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drawings/drawing1.xml" ContentType="application/vnd.openxmlformats-officedocument.drawing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xl/tables/table285.xml" ContentType="application/vnd.openxmlformats-officedocument.spreadsheetml.table+xml"/>
  <Override PartName="/xl/tables/table286.xml" ContentType="application/vnd.openxmlformats-officedocument.spreadsheetml.table+xml"/>
  <Override PartName="/xl/tables/table28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F:\250118\AUFTRÄGE\2025-05_NW\"/>
    </mc:Choice>
  </mc:AlternateContent>
  <xr:revisionPtr revIDLastSave="0" documentId="13_ncr:1_{9FDC7452-CBF8-4800-ABC5-4E1BAAD71667}" xr6:coauthVersionLast="47" xr6:coauthVersionMax="47" xr10:uidLastSave="{00000000-0000-0000-0000-000000000000}"/>
  <workbookProtection workbookAlgorithmName="SHA-512" workbookHashValue="sJTiTbgtvnMTJ4JmEfBI1+eW8LyfSBmrQlZNue+nNTWydwRTAOZ6h+Mk4B9o1tOIJ13aHkWnJLewrihHldXF8A==" workbookSaltValue="6u+tEZwOnWTQDzcgLEdtxg==" workbookSpinCount="100000" lockStructure="1"/>
  <bookViews>
    <workbookView xWindow="-120" yWindow="-120" windowWidth="19440" windowHeight="11160" tabRatio="851" xr2:uid="{00000000-000D-0000-FFFF-FFFF00000000}"/>
  </bookViews>
  <sheets>
    <sheet name="Resultatmappe" sheetId="1" r:id="rId1"/>
    <sheet name="Diplom" sheetId="21" r:id="rId2"/>
    <sheet name="Diplom_Unterschrift" sheetId="27" r:id="rId3"/>
    <sheet name="Diplom_Werte" sheetId="20" state="hidden" r:id="rId4"/>
    <sheet name="Diplom_Kantone" sheetId="23" state="hidden" r:id="rId5"/>
    <sheet name="Diplom_BilderMed" sheetId="25" state="hidden" r:id="rId6"/>
    <sheet name="Diplom_BilderPok" sheetId="26" state="hidden" r:id="rId7"/>
    <sheet name="BS 1_1" sheetId="8" state="hidden" r:id="rId8"/>
    <sheet name="BS 1_2" sheetId="14" state="hidden" r:id="rId9"/>
    <sheet name="BS 2_1" sheetId="6" state="hidden" r:id="rId10"/>
    <sheet name="BS 2_2" sheetId="15" state="hidden" r:id="rId11"/>
    <sheet name="BS 3_1" sheetId="7" state="hidden" r:id="rId12"/>
    <sheet name="BS 3_2" sheetId="16" state="hidden" r:id="rId13"/>
    <sheet name="BS 4_1" sheetId="3" state="hidden" r:id="rId14"/>
    <sheet name="BS 4_2" sheetId="17" state="hidden" r:id="rId15"/>
    <sheet name="BS 5" sheetId="11" state="hidden" r:id="rId16"/>
    <sheet name="BS 6" sheetId="10" state="hidden" r:id="rId17"/>
    <sheet name="FIT" sheetId="9" state="hidden" r:id="rId18"/>
    <sheet name="Stammdaten" sheetId="4" state="hidden" r:id="rId19"/>
    <sheet name="Statistik" sheetId="18" state="hidden" r:id="rId20"/>
  </sheets>
  <definedNames>
    <definedName name="_Diplom">Resultatmappe!$A$28:$ACN$57</definedName>
    <definedName name="_M_BS_1">Resultatmappe!$HB$28:$HB$57</definedName>
    <definedName name="_M_BS_2">Resultatmappe!$OQ$28:$OQ$57</definedName>
    <definedName name="_M_BS_3">Resultatmappe!$RJ$28:$RJ$57</definedName>
    <definedName name="_M_BS_4">Resultatmappe!$XL$28:$XL$57</definedName>
    <definedName name="_Spaltenindizes">Resultatmappe!$G$13:$ACN$13</definedName>
    <definedName name="_Stufe_Acht">Resultatmappe!$S$25</definedName>
    <definedName name="_Stufe_Aero">Resultatmappe!$QB$25</definedName>
    <definedName name="_Stufe_Ball">Resultatmappe!$CA$25</definedName>
    <definedName name="_Stufe_Bask">Resultatmappe!$RN$25</definedName>
    <definedName name="_Stufe_Bewe">Resultatmappe!$AAR$25</definedName>
    <definedName name="_Stufe_Bode">Resultatmappe!$HY$25</definedName>
    <definedName name="_Stufe_Fuss">Resultatmappe!$RZ$25</definedName>
    <definedName name="_Stufe_Glei">Resultatmappe!$ZK$25</definedName>
    <definedName name="_Stufe_Hand">Resultatmappe!$SL$25</definedName>
    <definedName name="_Stufe_Hoch">Resultatmappe!$BC$25</definedName>
    <definedName name="_Stufe_Kond">Resultatmappe!$ACB$25</definedName>
    <definedName name="_Stufe_Kuge">Resultatmappe!$CM$25</definedName>
    <definedName name="_Stufe_Para">Resultatmappe!$IQ$25</definedName>
    <definedName name="_Stufe_Park">Resultatmappe!$NG$25</definedName>
    <definedName name="_Stufe_Reck">Resultatmappe!$HP$25</definedName>
    <definedName name="_Stufe_Rope">Resultatmappe!$PO$25</definedName>
    <definedName name="_Stufe_Rump">Resultatmappe!$ABD$25</definedName>
    <definedName name="_Stufe_Scha">Resultatmappe!$IZ$25</definedName>
    <definedName name="_Stufe_Schw">Resultatmappe!$ZM$25</definedName>
    <definedName name="_Stufe_Sech">Resultatmappe!$G$25</definedName>
    <definedName name="_Stufe_Spee">Resultatmappe!$CY$25</definedName>
    <definedName name="_Stufe_Spru">Resultatmappe!$JI$25</definedName>
    <definedName name="_Stufe_Stuf">Resultatmappe!$IH$25</definedName>
    <definedName name="_Stufe_Tanz">Resultatmappe!$PC$25</definedName>
    <definedName name="_Stufe_Unih">Resultatmappe!$SX$25</definedName>
    <definedName name="_Stufe_Voll">Resultatmappe!$TJ$25</definedName>
    <definedName name="_Stufe_Weit">Resultatmappe!$BO$25</definedName>
    <definedName name="_Stufe_ZwölF">Resultatmappe!$AQ$25</definedName>
    <definedName name="_Stufe_ZwölH">Resultatmappe!$AE$25</definedName>
    <definedName name="_SuS">INDIRECT(Stammdaten!$BR$29)</definedName>
    <definedName name="_Zellen_offen_Eingabe" localSheetId="0">Resultatmappe!$G$28:$G$57,Resultatmappe!$S$28:$S$57,Resultatmappe!$AE$28:$AE$57,Resultatmappe!$AQ$28:$AQ$57,Resultatmappe!$BC$28:$BC$57,Resultatmappe!$BO$28:$BO$57,Resultatmappe!$CA$28:$CA$57,Resultatmappe!$CM$28:$CM$57,Resultatmappe!$CY$28:$CY$57,Resultatmappe!$HP$28:$HP$57,Resultatmappe!$HY$28:$HY$57,Resultatmappe!$IH$28:$IH$57,Resultatmappe!$IQ$28:$IQ$57,Resultatmappe!$IZ$28:$IZ$57,Resultatmappe!$JI$28:$JI$57,Resultatmappe!$NG$28:$NG$57,Resultatmappe!$PC$28:$PC$57,Resultatmappe!$PO$28:$PO$57,Resultatmappe!$QB$28:$QB$57,Resultatmappe!$RN$28:$RN$57,Resultatmappe!$RZ$28:$RZ$57,Resultatmappe!$SL$28:$SL$57,Resultatmappe!$SX$28:$SX$57,Resultatmappe!$TJ$28:$TJ$57,Resultatmappe!$ZK$28:$ZK$57,Resultatmappe!$ZM$28:$ZM$57,Resultatmappe!$AAR$28:$AAR$57,Resultatmappe!$ABD$28:$ABD$57,Resultatmappe!$ACB$28:$ACB$57,Resultatmappe!$ZR$28:$ZR$57</definedName>
    <definedName name="_Zellen_offen_StartStufen" localSheetId="0">Resultatmappe!$C$17:$C$21,Resultatmappe!$E$17:$E$17,Resultatmappe!$B$28:$C$57,Resultatmappe!$ZH$27:$ZH$57,Resultatmappe!$E$28:$E$57,Resultatmappe!$G$25,Resultatmappe!$S$25,Resultatmappe!$AE$25,Resultatmappe!$AQ$25,Resultatmappe!$BC$25,Resultatmappe!$BO$25,Resultatmappe!$CA$25,Resultatmappe!$CM$25,Resultatmappe!$CY$25,Resultatmappe!$HP$25,Resultatmappe!$HY$25,Resultatmappe!$IH$25,Resultatmappe!$IQ$25,Resultatmappe!$IZ$25,Resultatmappe!$JI$25,Resultatmappe!$NG$25,Resultatmappe!$PC$25,Resultatmappe!$PO$25,Resultatmappe!$QB$25,Resultatmappe!$RN$25,Resultatmappe!$RZ$25,Resultatmappe!$SL$25,Resultatmappe!$SX$25,Resultatmappe!$TJ$25,Resultatmappe!$ZK$25,Resultatmappe!$ZM$25,Resultatmappe!$AAR$25,Resultatmappe!$ABD$25,Resultatmappe!$ACB$25</definedName>
    <definedName name="BS_1_Med">INDIRECT("Diplom_BilderMed!A"&amp;Diplom!$H$19)</definedName>
    <definedName name="BS_2_Med">INDIRECT("Diplom_BilderMed!A"&amp;Diplom!$H$29)</definedName>
    <definedName name="BS_3_Med">INDIRECT("Diplom_BilderMed!A"&amp;Diplom!$H$39)</definedName>
    <definedName name="BS_4_Med">INDIRECT("Diplom_BilderMed!A"&amp;Diplom!$H$49)</definedName>
    <definedName name="_xlnm.Print_Area" localSheetId="1">Diplom!$M$2:$S$74</definedName>
    <definedName name="_xlnm.Print_Area" localSheetId="0">Resultatmappe!$A$1:$ABZ$58</definedName>
    <definedName name="_xlnm.Print_Titles" localSheetId="0">Resultatmappe!$B:$E</definedName>
    <definedName name="FormatBeurt">INDIRECT("Diplom_BilderPok!A"&amp;Diplom!$H$60)</definedName>
    <definedName name="Kanton">INDIRECT("Diplom_Kantone!A"&amp;Diplom!$H$2)</definedName>
    <definedName name="Unterschrift">Diplom_Unterschrift!$A$1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2" i="4" l="1"/>
  <c r="CC23" i="4"/>
  <c r="AL32" i="4"/>
  <c r="AK32" i="4"/>
  <c r="ZK23" i="1"/>
  <c r="ZH23" i="1"/>
  <c r="B10" i="21"/>
  <c r="BN28" i="4"/>
  <c r="BN27" i="4"/>
  <c r="ZJ4" i="1"/>
  <c r="ZJ1" i="1"/>
  <c r="ABV25" i="1"/>
  <c r="ABP25" i="1"/>
  <c r="AAL25" i="1"/>
  <c r="AAF25" i="1"/>
  <c r="ZN57" i="1"/>
  <c r="ZS12" i="1"/>
  <c r="ZR12" i="1"/>
  <c r="ZM12" i="1"/>
  <c r="ZK12" i="1"/>
  <c r="WV4" i="1"/>
  <c r="XA4" i="1" s="1"/>
  <c r="WX4" i="1"/>
  <c r="XC4" i="1" s="1"/>
  <c r="WW4" i="1"/>
  <c r="XB4" i="1" s="1"/>
  <c r="WU4" i="1"/>
  <c r="WZ4" i="1" s="1"/>
  <c r="WT4" i="1"/>
  <c r="WY4" i="1" s="1"/>
  <c r="W1" i="4"/>
  <c r="V1" i="4"/>
  <c r="NU4" i="1"/>
  <c r="NW4" i="1" s="1"/>
  <c r="BK6" i="4" a="1"/>
  <c r="BJ37" i="4" a="1"/>
  <c r="BK12" i="4" a="1"/>
  <c r="BK9" i="4" a="1"/>
  <c r="BK41" i="4" a="1"/>
  <c r="BJ39" i="4" a="1"/>
  <c r="BK36" i="4" a="1"/>
  <c r="BK35" i="4" a="1"/>
  <c r="BK38" i="4" a="1"/>
  <c r="BK13" i="4" a="1"/>
  <c r="BK28" i="4" a="1"/>
  <c r="BK20" i="4" a="1"/>
  <c r="BJ40" i="4" a="1"/>
  <c r="BJ41" i="4" a="1"/>
  <c r="BJ38" i="4" a="1"/>
  <c r="BA23" i="1" a="1"/>
  <c r="BK19" i="4" a="1"/>
  <c r="CK23" i="1" a="1"/>
  <c r="BK31" i="4" a="1"/>
  <c r="TH23" i="1" a="1"/>
  <c r="BK18" i="4" a="1"/>
  <c r="BK22" i="4" a="1"/>
  <c r="BK40" i="4" a="1"/>
  <c r="BK7" i="4" a="1"/>
  <c r="BK32" i="4" a="1"/>
  <c r="BK17" i="4" a="1"/>
  <c r="BK14" i="4" a="1"/>
  <c r="AC23" i="1" a="1"/>
  <c r="BK11" i="4" a="1"/>
  <c r="BK8" i="4" a="1"/>
  <c r="BK29" i="4" a="1"/>
  <c r="BK23" i="4" a="1"/>
  <c r="BK24" i="4" a="1"/>
  <c r="BK16" i="4" a="1"/>
  <c r="SJ23" i="1" a="1"/>
  <c r="BM23" i="1" a="1"/>
  <c r="BK39" i="4" a="1"/>
  <c r="BK30" i="4" a="1"/>
  <c r="BK34" i="4" a="1"/>
  <c r="BK26" i="4" a="1"/>
  <c r="AO23" i="1" a="1"/>
  <c r="BK21" i="4" a="1"/>
  <c r="BK15" i="4" a="1"/>
  <c r="BY23" i="1" a="1"/>
  <c r="BK25" i="4" a="1"/>
  <c r="RX23" i="1" a="1"/>
  <c r="BK37" i="4" a="1"/>
  <c r="BK10" i="4" a="1"/>
  <c r="BK33" i="4" a="1"/>
  <c r="BK27" i="4" a="1"/>
  <c r="SV23" i="1" a="1"/>
  <c r="BK38" i="4" l="1"/>
  <c r="BK34" i="4"/>
  <c r="BK32" i="4"/>
  <c r="BK28" i="4"/>
  <c r="BK26" i="4"/>
  <c r="BK24" i="4"/>
  <c r="BK22" i="4"/>
  <c r="BK18" i="4"/>
  <c r="BK16" i="4"/>
  <c r="BK14" i="4"/>
  <c r="BK12" i="4"/>
  <c r="BK10" i="4"/>
  <c r="BK8" i="4"/>
  <c r="BK41" i="4"/>
  <c r="BK39" i="4"/>
  <c r="BK37" i="4"/>
  <c r="BK35" i="4"/>
  <c r="BK33" i="4"/>
  <c r="BK31" i="4"/>
  <c r="BK29" i="4"/>
  <c r="BK27" i="4"/>
  <c r="BK25" i="4"/>
  <c r="BK23" i="4"/>
  <c r="BK21" i="4"/>
  <c r="BK19" i="4"/>
  <c r="BK17" i="4"/>
  <c r="BK15" i="4"/>
  <c r="BK13" i="4"/>
  <c r="BK11" i="4"/>
  <c r="BK9" i="4"/>
  <c r="BK7" i="4"/>
  <c r="BK40" i="4"/>
  <c r="BK36" i="4"/>
  <c r="BK30" i="4"/>
  <c r="BK20" i="4"/>
  <c r="BK6" i="4"/>
  <c r="BJ37" i="4"/>
  <c r="BJ41" i="4"/>
  <c r="BJ39" i="4"/>
  <c r="BJ40" i="4"/>
  <c r="BJ38" i="4"/>
  <c r="RL12" i="1"/>
  <c r="TH23" i="1"/>
  <c r="SV23" i="1"/>
  <c r="RX23" i="1"/>
  <c r="SJ23" i="1"/>
  <c r="CK23" i="1"/>
  <c r="BY23" i="1"/>
  <c r="BM23" i="1"/>
  <c r="BA23" i="1"/>
  <c r="AO23" i="1"/>
  <c r="AC23" i="1"/>
  <c r="DI23" i="1" a="1"/>
  <c r="CW23" i="1" a="1"/>
  <c r="CW23" i="1" l="1"/>
  <c r="DI23" i="1"/>
  <c r="MZ29" i="1"/>
  <c r="MZ30" i="1"/>
  <c r="MZ31" i="1"/>
  <c r="MZ32" i="1"/>
  <c r="MZ33" i="1"/>
  <c r="MZ34" i="1"/>
  <c r="MZ35" i="1"/>
  <c r="MZ36" i="1"/>
  <c r="MZ37" i="1"/>
  <c r="MZ38" i="1"/>
  <c r="MZ39" i="1"/>
  <c r="MZ40" i="1"/>
  <c r="MZ41" i="1"/>
  <c r="MZ42" i="1"/>
  <c r="MZ43" i="1"/>
  <c r="MZ44" i="1"/>
  <c r="MZ45" i="1"/>
  <c r="MZ46" i="1"/>
  <c r="MZ47" i="1"/>
  <c r="MZ48" i="1"/>
  <c r="MZ49" i="1"/>
  <c r="MZ50" i="1"/>
  <c r="MZ51" i="1"/>
  <c r="MZ52" i="1"/>
  <c r="MZ53" i="1"/>
  <c r="MZ54" i="1"/>
  <c r="MZ55" i="1"/>
  <c r="MZ56" i="1"/>
  <c r="MZ57" i="1"/>
  <c r="MZ28" i="1"/>
  <c r="ABX25" i="1" a="1"/>
  <c r="ABX25" i="1" s="1"/>
  <c r="ABR25" i="1" a="1"/>
  <c r="ABR25" i="1" s="1"/>
  <c r="AAN25" i="1" a="1"/>
  <c r="AAN25" i="1" s="1"/>
  <c r="ACB21" i="1" a="1"/>
  <c r="ACB21" i="1" s="1"/>
  <c r="ABD21" i="1" a="1"/>
  <c r="ABD21" i="1" s="1"/>
  <c r="ZM21" i="1" a="1"/>
  <c r="ZM21" i="1" s="1"/>
  <c r="TJ21" i="1" a="1"/>
  <c r="TJ21" i="1" s="1"/>
  <c r="SX21" i="1" a="1"/>
  <c r="SX21" i="1" s="1"/>
  <c r="SL21" i="1" a="1"/>
  <c r="SL21" i="1" s="1"/>
  <c r="RZ21" i="1" a="1"/>
  <c r="RZ21" i="1" s="1"/>
  <c r="RN21" i="1" a="1"/>
  <c r="RN21" i="1" s="1"/>
  <c r="QB21" i="1" a="1"/>
  <c r="QB21" i="1" s="1"/>
  <c r="PO21" i="1" a="1"/>
  <c r="PO21" i="1" s="1"/>
  <c r="PC21" i="1" a="1"/>
  <c r="PC21" i="1" s="1"/>
  <c r="NG21" i="1" a="1"/>
  <c r="NG21" i="1" s="1"/>
  <c r="JI21" i="1" a="1"/>
  <c r="JI21" i="1" s="1"/>
  <c r="IZ21" i="1" a="1"/>
  <c r="IZ21" i="1" s="1"/>
  <c r="IQ21" i="1" a="1"/>
  <c r="IQ21" i="1" s="1"/>
  <c r="IH21" i="1" a="1"/>
  <c r="IH21" i="1" s="1"/>
  <c r="HY21" i="1" a="1"/>
  <c r="HY21" i="1" s="1"/>
  <c r="HP21" i="1" a="1"/>
  <c r="HP21" i="1" s="1"/>
  <c r="CY21" i="1" a="1"/>
  <c r="CY21" i="1" s="1"/>
  <c r="CM21" i="1" a="1"/>
  <c r="CM21" i="1" s="1"/>
  <c r="CA21" i="1" a="1"/>
  <c r="CA21" i="1" s="1"/>
  <c r="BO21" i="1" a="1"/>
  <c r="BO21" i="1" s="1"/>
  <c r="BC21" i="1" a="1"/>
  <c r="BC21" i="1" s="1"/>
  <c r="AQ21" i="1" a="1"/>
  <c r="AQ21" i="1" s="1"/>
  <c r="AE21" i="1" a="1"/>
  <c r="AE21" i="1" s="1"/>
  <c r="S21" i="1" a="1"/>
  <c r="S21" i="1" s="1"/>
  <c r="G21" i="1" a="1"/>
  <c r="G21" i="1" s="1"/>
  <c r="ABV19" i="1" a="1"/>
  <c r="ABV19" i="1" s="1"/>
  <c r="ABP19" i="1" a="1"/>
  <c r="ABP19" i="1" s="1"/>
  <c r="AAL19" i="1" a="1"/>
  <c r="AAL19" i="1" s="1"/>
  <c r="AAF19" i="1" a="1"/>
  <c r="AAF19" i="1" s="1"/>
  <c r="XW19" i="1" a="1"/>
  <c r="XW19" i="1" s="1"/>
  <c r="RL19" i="1" a="1"/>
  <c r="RL19" i="1" s="1"/>
  <c r="PA19" i="1" a="1"/>
  <c r="PA19" i="1" s="1"/>
  <c r="HN19" i="1" a="1"/>
  <c r="HN19" i="1" s="1"/>
  <c r="ABP18" i="1" a="1"/>
  <c r="ABP18" i="1" s="1"/>
  <c r="ABD18" i="1" a="1"/>
  <c r="ABD18" i="1" s="1"/>
  <c r="AAR18" i="1" a="1"/>
  <c r="AAR18" i="1" s="1"/>
  <c r="AAF18" i="1" a="1"/>
  <c r="AAF18" i="1" s="1"/>
  <c r="JI18" i="1" a="1"/>
  <c r="JI18" i="1" s="1"/>
  <c r="IZ18" i="1" a="1"/>
  <c r="IZ18" i="1" s="1"/>
  <c r="IQ18" i="1" a="1"/>
  <c r="IQ18" i="1" s="1"/>
  <c r="IH18" i="1" a="1"/>
  <c r="IH18" i="1" s="1"/>
  <c r="HY18" i="1" a="1"/>
  <c r="HY18" i="1" s="1"/>
  <c r="HP18" i="1" a="1"/>
  <c r="HP18" i="1" s="1"/>
  <c r="CY18" i="1" a="1"/>
  <c r="CY18" i="1" s="1"/>
  <c r="CM18" i="1" a="1"/>
  <c r="CM18" i="1" s="1"/>
  <c r="CA18" i="1" a="1"/>
  <c r="CA18" i="1" s="1"/>
  <c r="BO18" i="1" a="1"/>
  <c r="BO18" i="1" s="1"/>
  <c r="BC18" i="1" a="1"/>
  <c r="BC18" i="1" s="1"/>
  <c r="AQ18" i="1" a="1"/>
  <c r="AQ18" i="1" s="1"/>
  <c r="AE18" i="1" a="1"/>
  <c r="AE18" i="1" s="1"/>
  <c r="S18" i="1" a="1"/>
  <c r="S18" i="1" s="1"/>
  <c r="G18" i="1" a="1"/>
  <c r="G18" i="1" s="1"/>
  <c r="ACB17" i="1" a="1"/>
  <c r="ACB17" i="1" s="1"/>
  <c r="AAF17" i="1" a="1"/>
  <c r="AAF17" i="1" s="1"/>
  <c r="ZM17" i="1" a="1"/>
  <c r="ZM17" i="1" s="1"/>
  <c r="TJ17" i="1" a="1"/>
  <c r="TJ17" i="1" s="1"/>
  <c r="SX17" i="1" a="1"/>
  <c r="SX17" i="1" s="1"/>
  <c r="SL17" i="1" a="1"/>
  <c r="SL17" i="1" s="1"/>
  <c r="RZ17" i="1" a="1"/>
  <c r="RZ17" i="1" s="1"/>
  <c r="RN17" i="1" a="1"/>
  <c r="RN17" i="1" s="1"/>
  <c r="QB17" i="1" a="1"/>
  <c r="QB17" i="1" s="1"/>
  <c r="PO17" i="1" a="1"/>
  <c r="PO17" i="1" s="1"/>
  <c r="PC17" i="1" a="1"/>
  <c r="PC17" i="1" s="1"/>
  <c r="NG17" i="1" a="1"/>
  <c r="NG17" i="1" s="1"/>
  <c r="AAF16" i="1" a="1"/>
  <c r="AAF16" i="1" s="1"/>
  <c r="H13" i="1"/>
  <c r="I13" i="1"/>
  <c r="J13" i="1"/>
  <c r="K13" i="1"/>
  <c r="L13" i="1"/>
  <c r="M13" i="1"/>
  <c r="N13" i="1"/>
  <c r="O13" i="1"/>
  <c r="P13" i="1"/>
  <c r="Q13" i="1"/>
  <c r="R13" i="1"/>
  <c r="T13" i="1"/>
  <c r="U13" i="1"/>
  <c r="V13" i="1"/>
  <c r="W13" i="1"/>
  <c r="X13" i="1"/>
  <c r="Y13" i="1"/>
  <c r="Z13" i="1"/>
  <c r="AA13" i="1"/>
  <c r="AB13" i="1"/>
  <c r="AC13" i="1"/>
  <c r="AD13" i="1"/>
  <c r="AF13" i="1"/>
  <c r="AG13" i="1"/>
  <c r="AH13" i="1"/>
  <c r="AI13" i="1"/>
  <c r="AJ13" i="1"/>
  <c r="AK13" i="1"/>
  <c r="AL13" i="1"/>
  <c r="AM13" i="1"/>
  <c r="AN13" i="1"/>
  <c r="AO13" i="1"/>
  <c r="AP13" i="1"/>
  <c r="AR13" i="1"/>
  <c r="AS13" i="1"/>
  <c r="AT13" i="1"/>
  <c r="AU13" i="1"/>
  <c r="AV13" i="1"/>
  <c r="AW13" i="1"/>
  <c r="AX13" i="1"/>
  <c r="AY13" i="1"/>
  <c r="AZ13" i="1"/>
  <c r="BA13" i="1"/>
  <c r="BB13" i="1"/>
  <c r="BD13" i="1"/>
  <c r="BE13" i="1"/>
  <c r="BF13" i="1"/>
  <c r="BG13" i="1"/>
  <c r="BH13" i="1"/>
  <c r="BI13" i="1"/>
  <c r="BJ13" i="1"/>
  <c r="BK13" i="1"/>
  <c r="BL13" i="1"/>
  <c r="BM13" i="1"/>
  <c r="BN13" i="1"/>
  <c r="BP13" i="1"/>
  <c r="BQ13" i="1"/>
  <c r="BR13" i="1"/>
  <c r="BS13" i="1"/>
  <c r="BT13" i="1"/>
  <c r="BU13" i="1"/>
  <c r="BV13" i="1"/>
  <c r="BW13" i="1"/>
  <c r="BX13" i="1"/>
  <c r="BY13" i="1"/>
  <c r="BZ13" i="1"/>
  <c r="CB13" i="1"/>
  <c r="CC13" i="1"/>
  <c r="CD13" i="1"/>
  <c r="CE13" i="1"/>
  <c r="CF13" i="1"/>
  <c r="CG13" i="1"/>
  <c r="CH13" i="1"/>
  <c r="CI13" i="1"/>
  <c r="CJ13" i="1"/>
  <c r="CK13" i="1"/>
  <c r="CL13" i="1"/>
  <c r="CN13" i="1"/>
  <c r="CO13" i="1"/>
  <c r="CP13" i="1"/>
  <c r="CQ13" i="1"/>
  <c r="CR13" i="1"/>
  <c r="CS13" i="1"/>
  <c r="CT13" i="1"/>
  <c r="CU13" i="1"/>
  <c r="CV13" i="1"/>
  <c r="CW13" i="1"/>
  <c r="CX13" i="1"/>
  <c r="CZ13" i="1"/>
  <c r="DA13" i="1"/>
  <c r="DB13" i="1"/>
  <c r="DC13" i="1"/>
  <c r="DD13" i="1"/>
  <c r="DE13" i="1"/>
  <c r="DF13" i="1"/>
  <c r="DG13" i="1"/>
  <c r="DH13" i="1"/>
  <c r="DI13" i="1"/>
  <c r="DJ13" i="1"/>
  <c r="DO13" i="1"/>
  <c r="DP13" i="1"/>
  <c r="DQ13" i="1"/>
  <c r="DR13" i="1"/>
  <c r="DS13" i="1"/>
  <c r="DT13" i="1"/>
  <c r="DU13" i="1"/>
  <c r="DV13" i="1"/>
  <c r="DX13" i="1"/>
  <c r="DZ13" i="1"/>
  <c r="EA13" i="1"/>
  <c r="EB13" i="1"/>
  <c r="EJ13" i="1"/>
  <c r="EK13" i="1"/>
  <c r="EL13" i="1"/>
  <c r="EM13" i="1"/>
  <c r="EN13" i="1"/>
  <c r="EO13" i="1"/>
  <c r="EP13" i="1"/>
  <c r="EQ13" i="1"/>
  <c r="ES13" i="1"/>
  <c r="EU13" i="1"/>
  <c r="EV13" i="1"/>
  <c r="EW13" i="1"/>
  <c r="FE13" i="1"/>
  <c r="FF13" i="1"/>
  <c r="FG13" i="1"/>
  <c r="FH13" i="1"/>
  <c r="FI13" i="1"/>
  <c r="FJ13" i="1"/>
  <c r="FK13" i="1"/>
  <c r="FL13" i="1"/>
  <c r="FN13" i="1"/>
  <c r="FP13" i="1"/>
  <c r="FQ13" i="1"/>
  <c r="FR13" i="1"/>
  <c r="GB13" i="1"/>
  <c r="GC13" i="1"/>
  <c r="GD13" i="1"/>
  <c r="GE13" i="1"/>
  <c r="GF13" i="1"/>
  <c r="GG13" i="1"/>
  <c r="GH13" i="1"/>
  <c r="GI13" i="1"/>
  <c r="GK13" i="1"/>
  <c r="GM13" i="1"/>
  <c r="GN13" i="1"/>
  <c r="GO13" i="1"/>
  <c r="GS13" i="1"/>
  <c r="GT13" i="1"/>
  <c r="GU13" i="1"/>
  <c r="GV13" i="1"/>
  <c r="GW13" i="1"/>
  <c r="GX13" i="1"/>
  <c r="GY13" i="1"/>
  <c r="GZ13" i="1"/>
  <c r="HA13" i="1"/>
  <c r="HB13" i="1"/>
  <c r="HC13" i="1"/>
  <c r="HD13" i="1"/>
  <c r="HE13" i="1"/>
  <c r="HF13" i="1"/>
  <c r="HG13" i="1"/>
  <c r="HH13" i="1"/>
  <c r="HI13" i="1"/>
  <c r="HJ13" i="1"/>
  <c r="HK13" i="1"/>
  <c r="HL13" i="1"/>
  <c r="HM13" i="1"/>
  <c r="HN13" i="1"/>
  <c r="HO13" i="1"/>
  <c r="HQ13" i="1"/>
  <c r="HR13" i="1"/>
  <c r="HS13" i="1"/>
  <c r="HT13" i="1"/>
  <c r="HU13" i="1"/>
  <c r="HV13" i="1"/>
  <c r="HW13" i="1"/>
  <c r="HX13" i="1"/>
  <c r="HZ13" i="1"/>
  <c r="IA13" i="1"/>
  <c r="IB13" i="1"/>
  <c r="IC13" i="1"/>
  <c r="ID13" i="1"/>
  <c r="IE13" i="1"/>
  <c r="IF13" i="1"/>
  <c r="IG13" i="1"/>
  <c r="II13" i="1"/>
  <c r="IJ13" i="1"/>
  <c r="IK13" i="1"/>
  <c r="IL13" i="1"/>
  <c r="IM13" i="1"/>
  <c r="IN13" i="1"/>
  <c r="IO13" i="1"/>
  <c r="IP13" i="1"/>
  <c r="IR13" i="1"/>
  <c r="IS13" i="1"/>
  <c r="IT13" i="1"/>
  <c r="IU13" i="1"/>
  <c r="IV13" i="1"/>
  <c r="IW13" i="1"/>
  <c r="IX13" i="1"/>
  <c r="IY13" i="1"/>
  <c r="JA13" i="1"/>
  <c r="JB13" i="1"/>
  <c r="JC13" i="1"/>
  <c r="JD13" i="1"/>
  <c r="JE13" i="1"/>
  <c r="JF13" i="1"/>
  <c r="JG13" i="1"/>
  <c r="JH13" i="1"/>
  <c r="JJ13" i="1"/>
  <c r="JK13" i="1"/>
  <c r="JL13" i="1"/>
  <c r="JM13" i="1"/>
  <c r="JN13" i="1"/>
  <c r="JO13" i="1"/>
  <c r="JP13" i="1"/>
  <c r="JQ13" i="1"/>
  <c r="JR13" i="1"/>
  <c r="JS13" i="1"/>
  <c r="JT13" i="1"/>
  <c r="JU13" i="1"/>
  <c r="JV13" i="1"/>
  <c r="JW13" i="1"/>
  <c r="JX13" i="1"/>
  <c r="JY13" i="1"/>
  <c r="JZ13" i="1"/>
  <c r="KA13" i="1"/>
  <c r="KB13" i="1"/>
  <c r="KC13" i="1"/>
  <c r="KD13" i="1"/>
  <c r="KE13" i="1"/>
  <c r="KF13" i="1"/>
  <c r="KG13" i="1"/>
  <c r="KH13" i="1"/>
  <c r="KI13" i="1"/>
  <c r="KJ13" i="1"/>
  <c r="KK13" i="1"/>
  <c r="KL13" i="1"/>
  <c r="KM13" i="1"/>
  <c r="KN13" i="1"/>
  <c r="KO13" i="1"/>
  <c r="KP13" i="1"/>
  <c r="KQ13" i="1"/>
  <c r="KR13" i="1"/>
  <c r="KS13" i="1"/>
  <c r="KT13" i="1"/>
  <c r="KU13" i="1"/>
  <c r="KV13" i="1"/>
  <c r="KW13" i="1"/>
  <c r="KX13" i="1"/>
  <c r="KY13" i="1"/>
  <c r="KZ13" i="1"/>
  <c r="LA13" i="1"/>
  <c r="LC13" i="1"/>
  <c r="LD13" i="1"/>
  <c r="LF13" i="1"/>
  <c r="LG13" i="1"/>
  <c r="LH13" i="1"/>
  <c r="LI13" i="1"/>
  <c r="LJ13" i="1"/>
  <c r="LL13" i="1"/>
  <c r="LN13" i="1"/>
  <c r="LO13" i="1"/>
  <c r="LP13" i="1"/>
  <c r="LT13" i="1"/>
  <c r="LU13" i="1"/>
  <c r="LV13" i="1"/>
  <c r="LX13" i="1"/>
  <c r="LZ13" i="1"/>
  <c r="MA13" i="1"/>
  <c r="MB13" i="1"/>
  <c r="MF13" i="1"/>
  <c r="MG13" i="1"/>
  <c r="MH13" i="1"/>
  <c r="MJ13" i="1"/>
  <c r="ML13" i="1"/>
  <c r="MM13" i="1"/>
  <c r="MN13" i="1"/>
  <c r="MR13" i="1"/>
  <c r="MS13" i="1"/>
  <c r="MT13" i="1"/>
  <c r="MU13" i="1"/>
  <c r="MV13" i="1"/>
  <c r="MW13" i="1"/>
  <c r="MX13" i="1"/>
  <c r="MY13" i="1"/>
  <c r="MZ13" i="1"/>
  <c r="NA13" i="1"/>
  <c r="NB13" i="1"/>
  <c r="NC13" i="1"/>
  <c r="ND13" i="1"/>
  <c r="NE13" i="1"/>
  <c r="NF13" i="1"/>
  <c r="NH13" i="1"/>
  <c r="NI13" i="1"/>
  <c r="NJ13" i="1"/>
  <c r="NK13" i="1"/>
  <c r="NL13" i="1"/>
  <c r="NM13" i="1"/>
  <c r="NN13" i="1"/>
  <c r="NO13" i="1"/>
  <c r="NP13" i="1"/>
  <c r="NQ13" i="1"/>
  <c r="NR13" i="1"/>
  <c r="NS13" i="1"/>
  <c r="NX13" i="1"/>
  <c r="NY13" i="1"/>
  <c r="NZ13" i="1"/>
  <c r="OB13" i="1"/>
  <c r="OD13" i="1"/>
  <c r="OE13" i="1"/>
  <c r="OF13" i="1"/>
  <c r="OJ13" i="1"/>
  <c r="OK13" i="1"/>
  <c r="OL13" i="1"/>
  <c r="OM13" i="1"/>
  <c r="ON13" i="1"/>
  <c r="OO13" i="1"/>
  <c r="OP13" i="1"/>
  <c r="OQ13" i="1"/>
  <c r="OR13" i="1"/>
  <c r="OS13" i="1"/>
  <c r="OT13" i="1"/>
  <c r="OU13" i="1"/>
  <c r="OV13" i="1"/>
  <c r="OW13" i="1"/>
  <c r="OX13" i="1"/>
  <c r="OY13" i="1"/>
  <c r="OZ13" i="1"/>
  <c r="PA13" i="1"/>
  <c r="PB13" i="1"/>
  <c r="PD13" i="1"/>
  <c r="PE13" i="1"/>
  <c r="PF13" i="1"/>
  <c r="PG13" i="1"/>
  <c r="PH13" i="1"/>
  <c r="PI13" i="1"/>
  <c r="PJ13" i="1"/>
  <c r="PK13" i="1"/>
  <c r="PL13" i="1"/>
  <c r="PM13" i="1"/>
  <c r="PN13" i="1"/>
  <c r="PP13" i="1"/>
  <c r="PQ13" i="1"/>
  <c r="PR13" i="1"/>
  <c r="PS13" i="1"/>
  <c r="PT13" i="1"/>
  <c r="PU13" i="1"/>
  <c r="PV13" i="1"/>
  <c r="PW13" i="1"/>
  <c r="PX13" i="1"/>
  <c r="PY13" i="1"/>
  <c r="PZ13" i="1"/>
  <c r="QA13" i="1"/>
  <c r="QC13" i="1"/>
  <c r="QD13" i="1"/>
  <c r="QE13" i="1"/>
  <c r="QF13" i="1"/>
  <c r="QG13" i="1"/>
  <c r="QH13" i="1"/>
  <c r="QI13" i="1"/>
  <c r="QJ13" i="1"/>
  <c r="QK13" i="1"/>
  <c r="QL13" i="1"/>
  <c r="QM13" i="1"/>
  <c r="QT13" i="1"/>
  <c r="QU13" i="1"/>
  <c r="QV13" i="1"/>
  <c r="QW13" i="1"/>
  <c r="QX13" i="1"/>
  <c r="QY13" i="1"/>
  <c r="QZ13" i="1"/>
  <c r="RB13" i="1"/>
  <c r="RD13" i="1"/>
  <c r="RE13" i="1"/>
  <c r="RF13" i="1"/>
  <c r="RJ13" i="1"/>
  <c r="RK13" i="1"/>
  <c r="RL13" i="1"/>
  <c r="RM13" i="1"/>
  <c r="RO13" i="1"/>
  <c r="RP13" i="1"/>
  <c r="RQ13" i="1"/>
  <c r="RR13" i="1"/>
  <c r="RS13" i="1"/>
  <c r="RT13" i="1"/>
  <c r="RU13" i="1"/>
  <c r="RV13" i="1"/>
  <c r="RW13" i="1"/>
  <c r="RX13" i="1"/>
  <c r="RY13" i="1"/>
  <c r="SA13" i="1"/>
  <c r="SB13" i="1"/>
  <c r="SC13" i="1"/>
  <c r="SD13" i="1"/>
  <c r="SE13" i="1"/>
  <c r="SF13" i="1"/>
  <c r="SG13" i="1"/>
  <c r="SH13" i="1"/>
  <c r="SI13" i="1"/>
  <c r="SJ13" i="1"/>
  <c r="SK13" i="1"/>
  <c r="SM13" i="1"/>
  <c r="SN13" i="1"/>
  <c r="SO13" i="1"/>
  <c r="SP13" i="1"/>
  <c r="SQ13" i="1"/>
  <c r="SR13" i="1"/>
  <c r="SS13" i="1"/>
  <c r="ST13" i="1"/>
  <c r="SU13" i="1"/>
  <c r="SV13" i="1"/>
  <c r="SW13" i="1"/>
  <c r="SY13" i="1"/>
  <c r="SZ13" i="1"/>
  <c r="TA13" i="1"/>
  <c r="TB13" i="1"/>
  <c r="TC13" i="1"/>
  <c r="TD13" i="1"/>
  <c r="TE13" i="1"/>
  <c r="TF13" i="1"/>
  <c r="TG13" i="1"/>
  <c r="TH13" i="1"/>
  <c r="TI13" i="1"/>
  <c r="TK13" i="1"/>
  <c r="TL13" i="1"/>
  <c r="TM13" i="1"/>
  <c r="TN13" i="1"/>
  <c r="TO13" i="1"/>
  <c r="TP13" i="1"/>
  <c r="TQ13" i="1"/>
  <c r="TR13" i="1"/>
  <c r="TS13" i="1"/>
  <c r="TT13" i="1"/>
  <c r="TU13" i="1"/>
  <c r="TV13" i="1"/>
  <c r="TW13" i="1"/>
  <c r="TX13" i="1"/>
  <c r="TY13" i="1"/>
  <c r="TZ13" i="1"/>
  <c r="UA13" i="1"/>
  <c r="UB13" i="1"/>
  <c r="UC13" i="1"/>
  <c r="UD13" i="1"/>
  <c r="UE13" i="1"/>
  <c r="UF13" i="1"/>
  <c r="UG13" i="1"/>
  <c r="UH13" i="1"/>
  <c r="UI13" i="1"/>
  <c r="UJ13" i="1"/>
  <c r="UK13" i="1"/>
  <c r="UL13" i="1"/>
  <c r="UM13" i="1"/>
  <c r="UN13" i="1"/>
  <c r="UO13" i="1"/>
  <c r="UP13" i="1"/>
  <c r="UQ13" i="1"/>
  <c r="UR13" i="1"/>
  <c r="US13" i="1"/>
  <c r="UT13" i="1"/>
  <c r="UU13" i="1"/>
  <c r="UV13" i="1"/>
  <c r="UW13" i="1"/>
  <c r="UX13" i="1"/>
  <c r="UY13" i="1"/>
  <c r="UZ13" i="1"/>
  <c r="VA13" i="1"/>
  <c r="VB13" i="1"/>
  <c r="VC13" i="1"/>
  <c r="VE13" i="1"/>
  <c r="VF13" i="1"/>
  <c r="VH13" i="1"/>
  <c r="VI13" i="1"/>
  <c r="VJ13" i="1"/>
  <c r="VK13" i="1"/>
  <c r="VL13" i="1"/>
  <c r="VN13" i="1"/>
  <c r="VP13" i="1"/>
  <c r="VQ13" i="1"/>
  <c r="VR13" i="1"/>
  <c r="VV13" i="1"/>
  <c r="VW13" i="1"/>
  <c r="VX13" i="1"/>
  <c r="VZ13" i="1"/>
  <c r="WB13" i="1"/>
  <c r="WC13" i="1"/>
  <c r="WD13" i="1"/>
  <c r="WH13" i="1"/>
  <c r="WI13" i="1"/>
  <c r="WJ13" i="1"/>
  <c r="WL13" i="1"/>
  <c r="WN13" i="1"/>
  <c r="WO13" i="1"/>
  <c r="WP13" i="1"/>
  <c r="XD13" i="1"/>
  <c r="XE13" i="1"/>
  <c r="XF13" i="1"/>
  <c r="XG13" i="1"/>
  <c r="XH13" i="1"/>
  <c r="XI13" i="1"/>
  <c r="XJ13" i="1"/>
  <c r="XK13" i="1"/>
  <c r="XL13" i="1"/>
  <c r="XM13" i="1"/>
  <c r="XN13" i="1"/>
  <c r="XO13" i="1"/>
  <c r="XP13" i="1"/>
  <c r="XQ13" i="1"/>
  <c r="XR13" i="1"/>
  <c r="XS13" i="1"/>
  <c r="XT13" i="1"/>
  <c r="XU13" i="1"/>
  <c r="XV13" i="1"/>
  <c r="XW13" i="1"/>
  <c r="XX13" i="1"/>
  <c r="XY13" i="1"/>
  <c r="XZ13" i="1"/>
  <c r="YA13" i="1"/>
  <c r="YB13" i="1"/>
  <c r="YC13" i="1"/>
  <c r="YD13" i="1"/>
  <c r="YE13" i="1"/>
  <c r="YF13" i="1"/>
  <c r="YG13" i="1"/>
  <c r="YH13" i="1"/>
  <c r="YI13" i="1"/>
  <c r="YJ13" i="1"/>
  <c r="YK13" i="1"/>
  <c r="YL13" i="1"/>
  <c r="YM13" i="1"/>
  <c r="YN13" i="1"/>
  <c r="YO13" i="1"/>
  <c r="YP13" i="1"/>
  <c r="YQ13" i="1"/>
  <c r="YR13" i="1"/>
  <c r="YS13" i="1"/>
  <c r="YT13" i="1"/>
  <c r="YU13" i="1"/>
  <c r="YV13" i="1"/>
  <c r="YW13" i="1"/>
  <c r="YX13" i="1"/>
  <c r="YY13" i="1"/>
  <c r="YZ13" i="1"/>
  <c r="ZA13" i="1"/>
  <c r="ZB13" i="1"/>
  <c r="ZC13" i="1"/>
  <c r="ZD13" i="1"/>
  <c r="ZE13" i="1"/>
  <c r="ZF13" i="1"/>
  <c r="ZG13" i="1"/>
  <c r="ZI13" i="1"/>
  <c r="ZJ13" i="1"/>
  <c r="ZL13" i="1"/>
  <c r="ZN13" i="1"/>
  <c r="ZO13" i="1"/>
  <c r="ZP13" i="1"/>
  <c r="ZQ13" i="1"/>
  <c r="ZR13" i="1"/>
  <c r="ZS13" i="1"/>
  <c r="ZT13" i="1"/>
  <c r="ZU13" i="1"/>
  <c r="ZV13" i="1"/>
  <c r="ZW13" i="1"/>
  <c r="ZX13" i="1"/>
  <c r="ZY13" i="1"/>
  <c r="ZZ13" i="1"/>
  <c r="AAA13" i="1"/>
  <c r="AAB13" i="1"/>
  <c r="AAC13" i="1"/>
  <c r="AAD13" i="1"/>
  <c r="AAE13" i="1"/>
  <c r="AAF13" i="1"/>
  <c r="AAG13" i="1"/>
  <c r="AAH13" i="1"/>
  <c r="AAI13" i="1"/>
  <c r="AAJ13" i="1"/>
  <c r="AAK13" i="1"/>
  <c r="AAM13" i="1"/>
  <c r="AAN13" i="1"/>
  <c r="AAO13" i="1"/>
  <c r="AAP13" i="1"/>
  <c r="AAQ13" i="1"/>
  <c r="AAS13" i="1"/>
  <c r="AAT13" i="1"/>
  <c r="AAU13" i="1"/>
  <c r="AAV13" i="1"/>
  <c r="AAW13" i="1"/>
  <c r="AAX13" i="1"/>
  <c r="AAY13" i="1"/>
  <c r="AAZ13" i="1"/>
  <c r="ABA13" i="1"/>
  <c r="ABB13" i="1"/>
  <c r="ABC13" i="1"/>
  <c r="ABE13" i="1"/>
  <c r="ABF13" i="1"/>
  <c r="ABG13" i="1"/>
  <c r="ABH13" i="1"/>
  <c r="ABI13" i="1"/>
  <c r="ABJ13" i="1"/>
  <c r="ABK13" i="1"/>
  <c r="ABL13" i="1"/>
  <c r="ABM13" i="1"/>
  <c r="ABN13" i="1"/>
  <c r="ABO13" i="1"/>
  <c r="ABQ13" i="1"/>
  <c r="ABR13" i="1"/>
  <c r="ABS13" i="1"/>
  <c r="ABT13" i="1"/>
  <c r="ABU13" i="1"/>
  <c r="ABW13" i="1"/>
  <c r="ABX13" i="1"/>
  <c r="ABY13" i="1"/>
  <c r="ABZ13" i="1"/>
  <c r="ACA13" i="1"/>
  <c r="ACC13" i="1"/>
  <c r="ACD13" i="1"/>
  <c r="ACE13" i="1"/>
  <c r="ACF13" i="1"/>
  <c r="ACG13" i="1"/>
  <c r="ACH13" i="1"/>
  <c r="ACI13" i="1"/>
  <c r="ACJ13" i="1"/>
  <c r="ACK13" i="1"/>
  <c r="ACL13" i="1"/>
  <c r="ACM13" i="1"/>
  <c r="G13" i="1"/>
  <c r="B11" i="1"/>
  <c r="CA35" i="4"/>
  <c r="BH1" i="4"/>
  <c r="BI2" i="4"/>
  <c r="BO28" i="4"/>
  <c r="BO27" i="4"/>
  <c r="BR28" i="4" l="1"/>
  <c r="BR27" i="4"/>
  <c r="BM24" i="4" a="1"/>
  <c r="V30" i="4"/>
  <c r="CB34" i="4"/>
  <c r="BX39" i="4" s="1"/>
  <c r="CB29" i="4"/>
  <c r="BU25" i="4"/>
  <c r="BU21" i="4"/>
  <c r="BU23" i="4" s="1"/>
  <c r="BU20" i="4"/>
  <c r="BU19" i="4"/>
  <c r="BX17" i="4"/>
  <c r="BZ25" i="4"/>
  <c r="CA25" i="4" s="1"/>
  <c r="BZ1" i="4"/>
  <c r="CA15" i="4"/>
  <c r="CA13" i="4"/>
  <c r="CA11" i="4"/>
  <c r="CC16" i="4"/>
  <c r="CB16" i="4"/>
  <c r="CA16" i="4"/>
  <c r="A13" i="1" s="1"/>
  <c r="CB10" i="4"/>
  <c r="CA5" i="4"/>
  <c r="BU9" i="4" s="1"/>
  <c r="CA17" i="1" s="1" a="1"/>
  <c r="CA17" i="1" s="1"/>
  <c r="BU10" i="4"/>
  <c r="HP17" i="1" s="1" a="1"/>
  <c r="HP17" i="1" s="1"/>
  <c r="BZ24" i="4"/>
  <c r="CB24" i="4" s="1"/>
  <c r="CA23" i="4"/>
  <c r="CB23" i="4" s="1"/>
  <c r="CD13" i="4" s="1"/>
  <c r="CC25" i="4"/>
  <c r="CB25" i="4"/>
  <c r="CB28" i="4"/>
  <c r="CC3" i="4"/>
  <c r="CB3" i="4"/>
  <c r="BZ2" i="4"/>
  <c r="CA3" i="4"/>
  <c r="CB21" i="4"/>
  <c r="CA21" i="4"/>
  <c r="CA9" i="4"/>
  <c r="AB3" i="4"/>
  <c r="Z1" i="4"/>
  <c r="Z3" i="4"/>
  <c r="X3" i="4"/>
  <c r="W3" i="4"/>
  <c r="BZ6" i="4"/>
  <c r="CA6" i="4" s="1"/>
  <c r="WT18" i="1"/>
  <c r="NT18" i="1"/>
  <c r="CB15" i="4"/>
  <c r="BX15" i="4"/>
  <c r="BV13" i="4" s="1"/>
  <c r="BX24" i="4"/>
  <c r="AF1" i="4" s="1"/>
  <c r="BX4" i="4"/>
  <c r="AJ1" i="4" s="1"/>
  <c r="BS15" i="4"/>
  <c r="AN1" i="4" s="1"/>
  <c r="BQ15" i="4"/>
  <c r="Q1" i="4" s="1"/>
  <c r="BM15" i="4" a="1"/>
  <c r="BM15" i="4" s="1"/>
  <c r="N1" i="4" s="1"/>
  <c r="BD2" i="4"/>
  <c r="AT6" i="4"/>
  <c r="AT7" i="4"/>
  <c r="AT8" i="4"/>
  <c r="AT9" i="4"/>
  <c r="AT10" i="4"/>
  <c r="AT11" i="4"/>
  <c r="AT12" i="4"/>
  <c r="AT13" i="4"/>
  <c r="AT14" i="4"/>
  <c r="AT25" i="4"/>
  <c r="AT26" i="4"/>
  <c r="AT27" i="4"/>
  <c r="AT28" i="4"/>
  <c r="AT30" i="4"/>
  <c r="AT31" i="4"/>
  <c r="AT32" i="4"/>
  <c r="AT33" i="4"/>
  <c r="AT34" i="4"/>
  <c r="AT35" i="4"/>
  <c r="AT36" i="4"/>
  <c r="AT37" i="4"/>
  <c r="AT38" i="4"/>
  <c r="AT39" i="4"/>
  <c r="AT40" i="4"/>
  <c r="BU15" i="4" a="1"/>
  <c r="BU15" i="4" s="1"/>
  <c r="AG1" i="4" s="1"/>
  <c r="BA9" i="4"/>
  <c r="BA10" i="4"/>
  <c r="BA11" i="4"/>
  <c r="BA15" i="4"/>
  <c r="BA16" i="4"/>
  <c r="BA17" i="4"/>
  <c r="BA18" i="4"/>
  <c r="BA19" i="4"/>
  <c r="BA20" i="4"/>
  <c r="BA21" i="4"/>
  <c r="BA23" i="4"/>
  <c r="BA29" i="4"/>
  <c r="BA30" i="4"/>
  <c r="BA31" i="4"/>
  <c r="BA32" i="4"/>
  <c r="BA33" i="4"/>
  <c r="BA34" i="4"/>
  <c r="BA35" i="4"/>
  <c r="BA40" i="4"/>
  <c r="XV7" i="1"/>
  <c r="XV12" i="1" s="1"/>
  <c r="XX7" i="1"/>
  <c r="XX12" i="1" s="1"/>
  <c r="XY7" i="1"/>
  <c r="XY12" i="1" s="1"/>
  <c r="XZ7" i="1"/>
  <c r="XZ12" i="1" s="1"/>
  <c r="YA7" i="1"/>
  <c r="YA12" i="1" s="1"/>
  <c r="YB7" i="1"/>
  <c r="YB12" i="1" s="1"/>
  <c r="YC7" i="1"/>
  <c r="YC12" i="1" s="1"/>
  <c r="YD7" i="1"/>
  <c r="YD12" i="1" s="1"/>
  <c r="YE7" i="1"/>
  <c r="YE12" i="1" s="1"/>
  <c r="YF7" i="1"/>
  <c r="YF12" i="1" s="1"/>
  <c r="YL7" i="1"/>
  <c r="YL12" i="1" s="1"/>
  <c r="YM7" i="1"/>
  <c r="YM12" i="1" s="1"/>
  <c r="YN7" i="1"/>
  <c r="YN12" i="1" s="1"/>
  <c r="YO7" i="1"/>
  <c r="YO12" i="1" s="1"/>
  <c r="YP7" i="1"/>
  <c r="YP12" i="1" s="1"/>
  <c r="YQ7" i="1"/>
  <c r="YQ12" i="1" s="1"/>
  <c r="YR7" i="1"/>
  <c r="YR12" i="1" s="1"/>
  <c r="YS7" i="1"/>
  <c r="YS12" i="1" s="1"/>
  <c r="YT7" i="1"/>
  <c r="YT12" i="1" s="1"/>
  <c r="YU7" i="1"/>
  <c r="YU12" i="1" s="1"/>
  <c r="YV7" i="1"/>
  <c r="YV12" i="1" s="1"/>
  <c r="XW27" i="1"/>
  <c r="XW7" i="1" s="1"/>
  <c r="XW12" i="1" s="1"/>
  <c r="XK27" i="1"/>
  <c r="OZ7" i="1"/>
  <c r="OZ12" i="1" s="1"/>
  <c r="PB7" i="1"/>
  <c r="PB12" i="1" s="1"/>
  <c r="PC7" i="1"/>
  <c r="PC12" i="1" s="1"/>
  <c r="PA27" i="1"/>
  <c r="PA7" i="1" s="1"/>
  <c r="PA12" i="1" s="1"/>
  <c r="OP27" i="1"/>
  <c r="HM7" i="1"/>
  <c r="HM12" i="1" s="1"/>
  <c r="HO7" i="1"/>
  <c r="HO12" i="1" s="1"/>
  <c r="HP7" i="1"/>
  <c r="HP12" i="1" s="1"/>
  <c r="HN27" i="1"/>
  <c r="HN7" i="1" s="1"/>
  <c r="HN12" i="1" s="1"/>
  <c r="HA27" i="1"/>
  <c r="BM24" i="4" l="1"/>
  <c r="B11" i="21" s="1"/>
  <c r="BG30" i="4"/>
  <c r="W30" i="4"/>
  <c r="BF30" i="4"/>
  <c r="BU24" i="4"/>
  <c r="BX30" i="4"/>
  <c r="BX32" i="4"/>
  <c r="BX34" i="4"/>
  <c r="BX26" i="4"/>
  <c r="BX28" i="4"/>
  <c r="CC6" i="4"/>
  <c r="BX37" i="4" s="1"/>
  <c r="BX31" i="4"/>
  <c r="CB6" i="4"/>
  <c r="BX38" i="4"/>
  <c r="BX27" i="4"/>
  <c r="BX35" i="4"/>
  <c r="BU7" i="4"/>
  <c r="BU8" i="4"/>
  <c r="BC17" i="1" s="1" a="1"/>
  <c r="BC17" i="1" s="1"/>
  <c r="BD38" i="4"/>
  <c r="BD37" i="4"/>
  <c r="BD40" i="4"/>
  <c r="BD36" i="4"/>
  <c r="CA24" i="4"/>
  <c r="BU6" i="4"/>
  <c r="G17" i="1" s="1" a="1"/>
  <c r="G17" i="1" s="1"/>
  <c r="BD39" i="4"/>
  <c r="BD35" i="4"/>
  <c r="P1" i="4"/>
  <c r="AI1" i="4"/>
  <c r="AH1" i="4"/>
  <c r="AI2" i="4"/>
  <c r="L4" i="4" a="1"/>
  <c r="NX17" i="1" a="1"/>
  <c r="NX17" i="1" l="1"/>
  <c r="B6" i="1"/>
  <c r="E2" i="1"/>
  <c r="AE17" i="1" a="1"/>
  <c r="AE17" i="1" s="1"/>
  <c r="BX29" i="4"/>
  <c r="BX36" i="4"/>
  <c r="BX33" i="4"/>
  <c r="L4" i="4"/>
  <c r="C6" i="1"/>
  <c r="PD28" i="1"/>
  <c r="AZ30" i="4"/>
  <c r="AZ35" i="4"/>
  <c r="AZ40" i="4"/>
  <c r="LA1" i="1"/>
  <c r="KZ1" i="1"/>
  <c r="KY1" i="1"/>
  <c r="KX1" i="1"/>
  <c r="KW1" i="1"/>
  <c r="KV1" i="1"/>
  <c r="VC1" i="1"/>
  <c r="VB1" i="1"/>
  <c r="VA1" i="1"/>
  <c r="UZ1" i="1"/>
  <c r="UY1" i="1"/>
  <c r="KU1" i="1"/>
  <c r="KT1" i="1"/>
  <c r="KS1" i="1"/>
  <c r="KR1" i="1"/>
  <c r="KQ1" i="1"/>
  <c r="KP1" i="1"/>
  <c r="UX1" i="1"/>
  <c r="UW1" i="1"/>
  <c r="UV1" i="1"/>
  <c r="UU1" i="1"/>
  <c r="UT1" i="1"/>
  <c r="JW1" i="1"/>
  <c r="JV1" i="1"/>
  <c r="JU1" i="1"/>
  <c r="JT1" i="1"/>
  <c r="JS1" i="1"/>
  <c r="JR1" i="1"/>
  <c r="AJ25" i="1" a="1"/>
  <c r="BI25" i="1" a="1"/>
  <c r="PV25" i="1" a="1"/>
  <c r="RS25" i="1" a="1"/>
  <c r="ACI25" i="1" a="1"/>
  <c r="TQ25" i="1" a="1"/>
  <c r="QG25" i="1" a="1"/>
  <c r="ACH25" i="1" a="1"/>
  <c r="M25" i="1" a="1"/>
  <c r="AV25" i="1" a="1"/>
  <c r="RT25" i="1" a="1"/>
  <c r="AW25" i="1" a="1"/>
  <c r="Y25" i="1" a="1"/>
  <c r="CS25" i="1" a="1"/>
  <c r="PI25" i="1" a="1"/>
  <c r="SE25" i="1" a="1"/>
  <c r="PH25" i="1" a="1"/>
  <c r="TD25" i="1" a="1"/>
  <c r="CF25" i="1" a="1"/>
  <c r="BH25" i="1" a="1"/>
  <c r="CG25" i="1" a="1"/>
  <c r="DD25" i="1" a="1"/>
  <c r="AK25" i="1" a="1"/>
  <c r="NN25" i="1" a="1"/>
  <c r="ABI25" i="1" a="1"/>
  <c r="ZY25" i="1" a="1"/>
  <c r="NM25" i="1" a="1"/>
  <c r="QH25" i="1" a="1"/>
  <c r="BT25" i="1" a="1"/>
  <c r="PU25" i="1" a="1"/>
  <c r="CR25" i="1" a="1"/>
  <c r="BU25" i="1" a="1"/>
  <c r="SF25" i="1" a="1"/>
  <c r="TP25" i="1" a="1"/>
  <c r="TC25" i="1" a="1"/>
  <c r="ABJ25" i="1" a="1"/>
  <c r="DE25" i="1" a="1"/>
  <c r="SQ25" i="1" a="1"/>
  <c r="X25" i="1" a="1"/>
  <c r="SR25" i="1" a="1"/>
  <c r="L25" i="1" a="1"/>
  <c r="ZY25" i="1" l="1"/>
  <c r="CS25" i="1"/>
  <c r="SF25" i="1"/>
  <c r="Y25" i="1"/>
  <c r="CG25" i="1"/>
  <c r="BI25" i="1"/>
  <c r="DE25" i="1"/>
  <c r="TQ25" i="1"/>
  <c r="PV25" i="1"/>
  <c r="PI25" i="1"/>
  <c r="QH25" i="1"/>
  <c r="AK25" i="1"/>
  <c r="BU25" i="1"/>
  <c r="AW25" i="1"/>
  <c r="ACI25" i="1"/>
  <c r="TD25" i="1"/>
  <c r="SR25" i="1"/>
  <c r="RT25" i="1"/>
  <c r="NN25" i="1"/>
  <c r="M25" i="1"/>
  <c r="ABJ25" i="1"/>
  <c r="AV25" i="1"/>
  <c r="QG25" i="1"/>
  <c r="DD25" i="1"/>
  <c r="RS25" i="1"/>
  <c r="SQ25" i="1"/>
  <c r="CF25" i="1"/>
  <c r="SE25" i="1"/>
  <c r="ABI25" i="1"/>
  <c r="PU25" i="1"/>
  <c r="ACH25" i="1"/>
  <c r="BH25" i="1"/>
  <c r="BT25" i="1"/>
  <c r="AJ25" i="1"/>
  <c r="PH25" i="1"/>
  <c r="TP25" i="1"/>
  <c r="TC25" i="1"/>
  <c r="X25" i="1"/>
  <c r="NM25" i="1"/>
  <c r="L25" i="1"/>
  <c r="CR25" i="1"/>
  <c r="WJ5" i="1"/>
  <c r="NZ5" i="1"/>
  <c r="DV5" i="1"/>
  <c r="VX5" i="1"/>
  <c r="GI5" i="1"/>
  <c r="QZ5" i="1"/>
  <c r="VL5" i="1"/>
  <c r="FL5" i="1"/>
  <c r="EQ5" i="1"/>
  <c r="H7" i="1"/>
  <c r="H12" i="1" s="1"/>
  <c r="I7" i="1"/>
  <c r="I12" i="1" s="1"/>
  <c r="J7" i="1"/>
  <c r="J12" i="1" s="1"/>
  <c r="K7" i="1"/>
  <c r="K12" i="1" s="1"/>
  <c r="L7" i="1"/>
  <c r="L12" i="1" s="1"/>
  <c r="M7" i="1"/>
  <c r="M12" i="1" s="1"/>
  <c r="N7" i="1"/>
  <c r="N12" i="1" s="1"/>
  <c r="O7" i="1"/>
  <c r="O12" i="1" s="1"/>
  <c r="P7" i="1"/>
  <c r="P12" i="1" s="1"/>
  <c r="Q7" i="1"/>
  <c r="Q12" i="1" s="1"/>
  <c r="R7" i="1"/>
  <c r="R12" i="1" s="1"/>
  <c r="S7" i="1"/>
  <c r="S12" i="1" s="1"/>
  <c r="T7" i="1"/>
  <c r="T12" i="1" s="1"/>
  <c r="U7" i="1"/>
  <c r="U12" i="1" s="1"/>
  <c r="V7" i="1"/>
  <c r="V12" i="1" s="1"/>
  <c r="W7" i="1"/>
  <c r="W12" i="1" s="1"/>
  <c r="X7" i="1"/>
  <c r="X12" i="1" s="1"/>
  <c r="Y7" i="1"/>
  <c r="Y12" i="1" s="1"/>
  <c r="Z7" i="1"/>
  <c r="Z12" i="1" s="1"/>
  <c r="AA7" i="1"/>
  <c r="AA12" i="1" s="1"/>
  <c r="AB7" i="1"/>
  <c r="AB12" i="1" s="1"/>
  <c r="AC7" i="1"/>
  <c r="AC12" i="1" s="1"/>
  <c r="AD7" i="1"/>
  <c r="AD12" i="1" s="1"/>
  <c r="AE7" i="1"/>
  <c r="AE12" i="1" s="1"/>
  <c r="AF7" i="1"/>
  <c r="AF12" i="1" s="1"/>
  <c r="AG7" i="1"/>
  <c r="AG12" i="1" s="1"/>
  <c r="AH7" i="1"/>
  <c r="AH12" i="1" s="1"/>
  <c r="AI7" i="1"/>
  <c r="AI12" i="1" s="1"/>
  <c r="AJ7" i="1"/>
  <c r="AJ12" i="1" s="1"/>
  <c r="AK7" i="1"/>
  <c r="AK12" i="1" s="1"/>
  <c r="AL7" i="1"/>
  <c r="AL12" i="1" s="1"/>
  <c r="AM7" i="1"/>
  <c r="AM12" i="1" s="1"/>
  <c r="AN7" i="1"/>
  <c r="AN12" i="1" s="1"/>
  <c r="AO7" i="1"/>
  <c r="AO12" i="1" s="1"/>
  <c r="AP7" i="1"/>
  <c r="AP12" i="1" s="1"/>
  <c r="AQ7" i="1"/>
  <c r="AQ12" i="1" s="1"/>
  <c r="AR7" i="1"/>
  <c r="AR12" i="1" s="1"/>
  <c r="AS7" i="1"/>
  <c r="AS12" i="1" s="1"/>
  <c r="AT7" i="1"/>
  <c r="AT12" i="1" s="1"/>
  <c r="AU7" i="1"/>
  <c r="AU12" i="1" s="1"/>
  <c r="AV7" i="1"/>
  <c r="AV12" i="1" s="1"/>
  <c r="AW7" i="1"/>
  <c r="AW12" i="1" s="1"/>
  <c r="AX7" i="1"/>
  <c r="AX12" i="1" s="1"/>
  <c r="AY7" i="1"/>
  <c r="AY12" i="1" s="1"/>
  <c r="AZ7" i="1"/>
  <c r="AZ12" i="1" s="1"/>
  <c r="BA7" i="1"/>
  <c r="BA12" i="1" s="1"/>
  <c r="BB7" i="1"/>
  <c r="BB12" i="1" s="1"/>
  <c r="BC7" i="1"/>
  <c r="BC12" i="1" s="1"/>
  <c r="BD7" i="1"/>
  <c r="BD12" i="1" s="1"/>
  <c r="BE7" i="1"/>
  <c r="BE12" i="1" s="1"/>
  <c r="BF7" i="1"/>
  <c r="BF12" i="1" s="1"/>
  <c r="BG7" i="1"/>
  <c r="BG12" i="1" s="1"/>
  <c r="BH7" i="1"/>
  <c r="BH12" i="1" s="1"/>
  <c r="BI7" i="1"/>
  <c r="BI12" i="1" s="1"/>
  <c r="BJ7" i="1"/>
  <c r="BJ12" i="1" s="1"/>
  <c r="BK7" i="1"/>
  <c r="BK12" i="1" s="1"/>
  <c r="BL7" i="1"/>
  <c r="BL12" i="1" s="1"/>
  <c r="BM7" i="1"/>
  <c r="BM12" i="1" s="1"/>
  <c r="BN7" i="1"/>
  <c r="BN12" i="1" s="1"/>
  <c r="BO7" i="1"/>
  <c r="BO12" i="1" s="1"/>
  <c r="BP7" i="1"/>
  <c r="BP12" i="1" s="1"/>
  <c r="BQ7" i="1"/>
  <c r="BQ12" i="1" s="1"/>
  <c r="BR7" i="1"/>
  <c r="BR12" i="1" s="1"/>
  <c r="BS7" i="1"/>
  <c r="BS12" i="1" s="1"/>
  <c r="BT7" i="1"/>
  <c r="BT12" i="1" s="1"/>
  <c r="BU7" i="1"/>
  <c r="BU12" i="1" s="1"/>
  <c r="BV7" i="1"/>
  <c r="BV12" i="1" s="1"/>
  <c r="BW7" i="1"/>
  <c r="BW12" i="1" s="1"/>
  <c r="BX7" i="1"/>
  <c r="BX12" i="1" s="1"/>
  <c r="BY7" i="1"/>
  <c r="BY12" i="1" s="1"/>
  <c r="BZ7" i="1"/>
  <c r="BZ12" i="1" s="1"/>
  <c r="CA7" i="1"/>
  <c r="CA12" i="1" s="1"/>
  <c r="CB7" i="1"/>
  <c r="CB12" i="1" s="1"/>
  <c r="CC7" i="1"/>
  <c r="CC12" i="1" s="1"/>
  <c r="CD7" i="1"/>
  <c r="CD12" i="1" s="1"/>
  <c r="CE7" i="1"/>
  <c r="CE12" i="1" s="1"/>
  <c r="CF7" i="1"/>
  <c r="CF12" i="1" s="1"/>
  <c r="CG7" i="1"/>
  <c r="CG12" i="1" s="1"/>
  <c r="CH7" i="1"/>
  <c r="CH12" i="1" s="1"/>
  <c r="CI7" i="1"/>
  <c r="CI12" i="1" s="1"/>
  <c r="CJ7" i="1"/>
  <c r="CJ12" i="1" s="1"/>
  <c r="CK7" i="1"/>
  <c r="CK12" i="1" s="1"/>
  <c r="CL7" i="1"/>
  <c r="CL12" i="1" s="1"/>
  <c r="CM7" i="1"/>
  <c r="CM12" i="1" s="1"/>
  <c r="CN7" i="1"/>
  <c r="CN12" i="1" s="1"/>
  <c r="CO7" i="1"/>
  <c r="CO12" i="1" s="1"/>
  <c r="CP7" i="1"/>
  <c r="CP12" i="1" s="1"/>
  <c r="CQ7" i="1"/>
  <c r="CQ12" i="1" s="1"/>
  <c r="CR7" i="1"/>
  <c r="CR12" i="1" s="1"/>
  <c r="CS7" i="1"/>
  <c r="CS12" i="1" s="1"/>
  <c r="CT7" i="1"/>
  <c r="CT12" i="1" s="1"/>
  <c r="CU7" i="1"/>
  <c r="CU12" i="1" s="1"/>
  <c r="CV7" i="1"/>
  <c r="CV12" i="1" s="1"/>
  <c r="CW7" i="1"/>
  <c r="CW12" i="1" s="1"/>
  <c r="CX7" i="1"/>
  <c r="CX12" i="1" s="1"/>
  <c r="CY7" i="1"/>
  <c r="CY12" i="1" s="1"/>
  <c r="CZ7" i="1"/>
  <c r="CZ12" i="1" s="1"/>
  <c r="DA7" i="1"/>
  <c r="DA12" i="1" s="1"/>
  <c r="DB7" i="1"/>
  <c r="DB12" i="1" s="1"/>
  <c r="DC7" i="1"/>
  <c r="DC12" i="1" s="1"/>
  <c r="DD7" i="1"/>
  <c r="DD12" i="1" s="1"/>
  <c r="DE7" i="1"/>
  <c r="DE12" i="1" s="1"/>
  <c r="DF7" i="1"/>
  <c r="DF12" i="1" s="1"/>
  <c r="DG7" i="1"/>
  <c r="DG12" i="1" s="1"/>
  <c r="DH7" i="1"/>
  <c r="DH12" i="1" s="1"/>
  <c r="DI7" i="1"/>
  <c r="DI12" i="1" s="1"/>
  <c r="DJ7" i="1"/>
  <c r="DJ12" i="1" s="1"/>
  <c r="DO7" i="1"/>
  <c r="DO12" i="1" s="1"/>
  <c r="DP7" i="1"/>
  <c r="DP12" i="1" s="1"/>
  <c r="DQ7" i="1"/>
  <c r="DQ12" i="1" s="1"/>
  <c r="DR7" i="1"/>
  <c r="DR12" i="1" s="1"/>
  <c r="DS7" i="1"/>
  <c r="DS12" i="1" s="1"/>
  <c r="DT7" i="1"/>
  <c r="DT12" i="1" s="1"/>
  <c r="DU7" i="1"/>
  <c r="DU12" i="1" s="1"/>
  <c r="DV7" i="1"/>
  <c r="DV12" i="1" s="1"/>
  <c r="DW7" i="1"/>
  <c r="DW12" i="1" s="1"/>
  <c r="DX7" i="1"/>
  <c r="DX12" i="1" s="1"/>
  <c r="DY7" i="1"/>
  <c r="DY12" i="1" s="1"/>
  <c r="DZ7" i="1"/>
  <c r="DZ12" i="1" s="1"/>
  <c r="EA7" i="1"/>
  <c r="EA12" i="1" s="1"/>
  <c r="EB7" i="1"/>
  <c r="EB12" i="1" s="1"/>
  <c r="EC7" i="1"/>
  <c r="EC12" i="1" s="1"/>
  <c r="ED7" i="1"/>
  <c r="ED12" i="1" s="1"/>
  <c r="EE7" i="1"/>
  <c r="EE12" i="1" s="1"/>
  <c r="EJ7" i="1"/>
  <c r="EJ12" i="1" s="1"/>
  <c r="EK7" i="1"/>
  <c r="EK12" i="1" s="1"/>
  <c r="EL7" i="1"/>
  <c r="EL12" i="1" s="1"/>
  <c r="EM7" i="1"/>
  <c r="EM12" i="1" s="1"/>
  <c r="EN7" i="1"/>
  <c r="EN12" i="1" s="1"/>
  <c r="EO7" i="1"/>
  <c r="EO12" i="1" s="1"/>
  <c r="EP7" i="1"/>
  <c r="EP12" i="1" s="1"/>
  <c r="EQ7" i="1"/>
  <c r="EQ12" i="1" s="1"/>
  <c r="ER7" i="1"/>
  <c r="ER12" i="1" s="1"/>
  <c r="ES7" i="1"/>
  <c r="ES12" i="1" s="1"/>
  <c r="ET7" i="1"/>
  <c r="ET12" i="1" s="1"/>
  <c r="EU7" i="1"/>
  <c r="EU12" i="1" s="1"/>
  <c r="EV7" i="1"/>
  <c r="EV12" i="1" s="1"/>
  <c r="EW7" i="1"/>
  <c r="EW12" i="1" s="1"/>
  <c r="EX7" i="1"/>
  <c r="EX12" i="1" s="1"/>
  <c r="EY7" i="1"/>
  <c r="EY12" i="1" s="1"/>
  <c r="EZ7" i="1"/>
  <c r="EZ12" i="1" s="1"/>
  <c r="FE7" i="1"/>
  <c r="FE12" i="1" s="1"/>
  <c r="FF7" i="1"/>
  <c r="FF12" i="1" s="1"/>
  <c r="FG7" i="1"/>
  <c r="FG12" i="1" s="1"/>
  <c r="FH7" i="1"/>
  <c r="FH12" i="1" s="1"/>
  <c r="FI7" i="1"/>
  <c r="FI12" i="1" s="1"/>
  <c r="FJ7" i="1"/>
  <c r="FJ12" i="1" s="1"/>
  <c r="FK7" i="1"/>
  <c r="FK12" i="1" s="1"/>
  <c r="FL7" i="1"/>
  <c r="FL12" i="1" s="1"/>
  <c r="FM7" i="1"/>
  <c r="FM12" i="1" s="1"/>
  <c r="FN7" i="1"/>
  <c r="FN12" i="1" s="1"/>
  <c r="FO7" i="1"/>
  <c r="FO12" i="1" s="1"/>
  <c r="FP7" i="1"/>
  <c r="FP12" i="1" s="1"/>
  <c r="FQ7" i="1"/>
  <c r="FQ12" i="1" s="1"/>
  <c r="FR7" i="1"/>
  <c r="FR12" i="1" s="1"/>
  <c r="FS7" i="1"/>
  <c r="FS12" i="1" s="1"/>
  <c r="FT7" i="1"/>
  <c r="FT12" i="1" s="1"/>
  <c r="FU7" i="1"/>
  <c r="FU12" i="1" s="1"/>
  <c r="GB7" i="1"/>
  <c r="GB12" i="1" s="1"/>
  <c r="GC7" i="1"/>
  <c r="GC12" i="1" s="1"/>
  <c r="GD7" i="1"/>
  <c r="GD12" i="1" s="1"/>
  <c r="GE7" i="1"/>
  <c r="GE12" i="1" s="1"/>
  <c r="GF7" i="1"/>
  <c r="GF12" i="1" s="1"/>
  <c r="GG7" i="1"/>
  <c r="GG12" i="1" s="1"/>
  <c r="GH7" i="1"/>
  <c r="GH12" i="1" s="1"/>
  <c r="GI7" i="1"/>
  <c r="GI12" i="1" s="1"/>
  <c r="GJ7" i="1"/>
  <c r="GJ12" i="1" s="1"/>
  <c r="GK7" i="1"/>
  <c r="GK12" i="1" s="1"/>
  <c r="GL7" i="1"/>
  <c r="GL12" i="1" s="1"/>
  <c r="GM7" i="1"/>
  <c r="GM12" i="1" s="1"/>
  <c r="GN7" i="1"/>
  <c r="GN12" i="1" s="1"/>
  <c r="GO7" i="1"/>
  <c r="GO12" i="1" s="1"/>
  <c r="GP7" i="1"/>
  <c r="GP12" i="1" s="1"/>
  <c r="GQ7" i="1"/>
  <c r="GQ12" i="1" s="1"/>
  <c r="GR7" i="1"/>
  <c r="GR12" i="1" s="1"/>
  <c r="GS7" i="1"/>
  <c r="GS12" i="1" s="1"/>
  <c r="GT7" i="1"/>
  <c r="GT12" i="1" s="1"/>
  <c r="GU7" i="1"/>
  <c r="GU12" i="1" s="1"/>
  <c r="GV7" i="1"/>
  <c r="GV12" i="1" s="1"/>
  <c r="GW7" i="1"/>
  <c r="GW12" i="1" s="1"/>
  <c r="GX7" i="1"/>
  <c r="GX12" i="1" s="1"/>
  <c r="GY7" i="1"/>
  <c r="GY12" i="1" s="1"/>
  <c r="GZ7" i="1"/>
  <c r="GZ12" i="1" s="1"/>
  <c r="HG7" i="1"/>
  <c r="HG12" i="1" s="1"/>
  <c r="HH7" i="1"/>
  <c r="HH12" i="1" s="1"/>
  <c r="HI7" i="1"/>
  <c r="HI12" i="1" s="1"/>
  <c r="HJ7" i="1"/>
  <c r="HJ12" i="1" s="1"/>
  <c r="HK7" i="1"/>
  <c r="HK12" i="1" s="1"/>
  <c r="HL7" i="1"/>
  <c r="HL12" i="1" s="1"/>
  <c r="HQ7" i="1"/>
  <c r="HQ12" i="1" s="1"/>
  <c r="HR7" i="1"/>
  <c r="HR12" i="1" s="1"/>
  <c r="HS7" i="1"/>
  <c r="HS12" i="1" s="1"/>
  <c r="HT7" i="1"/>
  <c r="HT12" i="1" s="1"/>
  <c r="HU7" i="1"/>
  <c r="HU12" i="1" s="1"/>
  <c r="HV7" i="1"/>
  <c r="HV12" i="1" s="1"/>
  <c r="HW7" i="1"/>
  <c r="HW12" i="1" s="1"/>
  <c r="HX7" i="1"/>
  <c r="HX12" i="1" s="1"/>
  <c r="HY7" i="1"/>
  <c r="HY12" i="1" s="1"/>
  <c r="HZ7" i="1"/>
  <c r="HZ12" i="1" s="1"/>
  <c r="IA7" i="1"/>
  <c r="IA12" i="1" s="1"/>
  <c r="IB7" i="1"/>
  <c r="IB12" i="1" s="1"/>
  <c r="IC7" i="1"/>
  <c r="IC12" i="1" s="1"/>
  <c r="ID7" i="1"/>
  <c r="ID12" i="1" s="1"/>
  <c r="IE7" i="1"/>
  <c r="IE12" i="1" s="1"/>
  <c r="IF7" i="1"/>
  <c r="IF12" i="1" s="1"/>
  <c r="IG7" i="1"/>
  <c r="IG12" i="1" s="1"/>
  <c r="IH7" i="1"/>
  <c r="IH12" i="1" s="1"/>
  <c r="II7" i="1"/>
  <c r="II12" i="1" s="1"/>
  <c r="IJ7" i="1"/>
  <c r="IJ12" i="1" s="1"/>
  <c r="IK7" i="1"/>
  <c r="IK12" i="1" s="1"/>
  <c r="IL7" i="1"/>
  <c r="IL12" i="1" s="1"/>
  <c r="IM7" i="1"/>
  <c r="IM12" i="1" s="1"/>
  <c r="IN7" i="1"/>
  <c r="IN12" i="1" s="1"/>
  <c r="IO7" i="1"/>
  <c r="IO12" i="1" s="1"/>
  <c r="IP7" i="1"/>
  <c r="IP12" i="1" s="1"/>
  <c r="IQ7" i="1"/>
  <c r="IQ12" i="1" s="1"/>
  <c r="IR7" i="1"/>
  <c r="IR12" i="1" s="1"/>
  <c r="IS7" i="1"/>
  <c r="IS12" i="1" s="1"/>
  <c r="IT7" i="1"/>
  <c r="IT12" i="1" s="1"/>
  <c r="IU7" i="1"/>
  <c r="IU12" i="1" s="1"/>
  <c r="IV7" i="1"/>
  <c r="IV12" i="1" s="1"/>
  <c r="IW7" i="1"/>
  <c r="IW12" i="1" s="1"/>
  <c r="IX7" i="1"/>
  <c r="IX12" i="1" s="1"/>
  <c r="IY7" i="1"/>
  <c r="IY12" i="1" s="1"/>
  <c r="IZ7" i="1"/>
  <c r="IZ12" i="1" s="1"/>
  <c r="JA7" i="1"/>
  <c r="JA12" i="1" s="1"/>
  <c r="JB7" i="1"/>
  <c r="JB12" i="1" s="1"/>
  <c r="JC7" i="1"/>
  <c r="JC12" i="1" s="1"/>
  <c r="JD7" i="1"/>
  <c r="JD12" i="1" s="1"/>
  <c r="JE7" i="1"/>
  <c r="JE12" i="1" s="1"/>
  <c r="JF7" i="1"/>
  <c r="JF12" i="1" s="1"/>
  <c r="JG7" i="1"/>
  <c r="JG12" i="1" s="1"/>
  <c r="JH7" i="1"/>
  <c r="JH12" i="1" s="1"/>
  <c r="JI7" i="1"/>
  <c r="JI12" i="1" s="1"/>
  <c r="JJ7" i="1"/>
  <c r="JJ12" i="1" s="1"/>
  <c r="JK7" i="1"/>
  <c r="JK12" i="1" s="1"/>
  <c r="JL7" i="1"/>
  <c r="JL12" i="1" s="1"/>
  <c r="JM7" i="1"/>
  <c r="JM12" i="1" s="1"/>
  <c r="JN7" i="1"/>
  <c r="JN12" i="1" s="1"/>
  <c r="JO7" i="1"/>
  <c r="JO12" i="1" s="1"/>
  <c r="JP7" i="1"/>
  <c r="JP12" i="1" s="1"/>
  <c r="JQ7" i="1"/>
  <c r="JQ12" i="1" s="1"/>
  <c r="JX7" i="1"/>
  <c r="JX12" i="1" s="1"/>
  <c r="JY7" i="1"/>
  <c r="JY12" i="1" s="1"/>
  <c r="JZ7" i="1"/>
  <c r="JZ12" i="1" s="1"/>
  <c r="KA7" i="1"/>
  <c r="KA12" i="1" s="1"/>
  <c r="KB7" i="1"/>
  <c r="KB12" i="1" s="1"/>
  <c r="KC7" i="1"/>
  <c r="KC12" i="1" s="1"/>
  <c r="KD7" i="1"/>
  <c r="KD12" i="1" s="1"/>
  <c r="KE7" i="1"/>
  <c r="KE12" i="1" s="1"/>
  <c r="KF7" i="1"/>
  <c r="KF12" i="1" s="1"/>
  <c r="KG7" i="1"/>
  <c r="KG12" i="1" s="1"/>
  <c r="KH7" i="1"/>
  <c r="KH12" i="1" s="1"/>
  <c r="KI7" i="1"/>
  <c r="KI12" i="1" s="1"/>
  <c r="KJ7" i="1"/>
  <c r="KJ12" i="1" s="1"/>
  <c r="KK7" i="1"/>
  <c r="KK12" i="1" s="1"/>
  <c r="KL7" i="1"/>
  <c r="KL12" i="1" s="1"/>
  <c r="KM7" i="1"/>
  <c r="KM12" i="1" s="1"/>
  <c r="KN7" i="1"/>
  <c r="KN12" i="1" s="1"/>
  <c r="KO7" i="1"/>
  <c r="KO12" i="1" s="1"/>
  <c r="KP7" i="1"/>
  <c r="KP12" i="1" s="1"/>
  <c r="KQ7" i="1"/>
  <c r="KQ12" i="1" s="1"/>
  <c r="KR7" i="1"/>
  <c r="KR12" i="1" s="1"/>
  <c r="KS7" i="1"/>
  <c r="KS12" i="1" s="1"/>
  <c r="KT7" i="1"/>
  <c r="KT12" i="1" s="1"/>
  <c r="KU7" i="1"/>
  <c r="KU12" i="1" s="1"/>
  <c r="KV7" i="1"/>
  <c r="KV12" i="1" s="1"/>
  <c r="KW7" i="1"/>
  <c r="KW12" i="1" s="1"/>
  <c r="KX7" i="1"/>
  <c r="KX12" i="1" s="1"/>
  <c r="KY7" i="1"/>
  <c r="KY12" i="1" s="1"/>
  <c r="KZ7" i="1"/>
  <c r="KZ12" i="1" s="1"/>
  <c r="LA7" i="1"/>
  <c r="LA12" i="1" s="1"/>
  <c r="LB7" i="1"/>
  <c r="LB12" i="1" s="1"/>
  <c r="LC7" i="1"/>
  <c r="LC12" i="1" s="1"/>
  <c r="LD7" i="1"/>
  <c r="LD12" i="1" s="1"/>
  <c r="LE7" i="1"/>
  <c r="LE12" i="1" s="1"/>
  <c r="LF7" i="1"/>
  <c r="LF12" i="1" s="1"/>
  <c r="LG7" i="1"/>
  <c r="LG12" i="1" s="1"/>
  <c r="LH7" i="1"/>
  <c r="LH12" i="1" s="1"/>
  <c r="LI7" i="1"/>
  <c r="LI12" i="1" s="1"/>
  <c r="LJ7" i="1"/>
  <c r="LJ12" i="1" s="1"/>
  <c r="LK7" i="1"/>
  <c r="LK12" i="1" s="1"/>
  <c r="LL7" i="1"/>
  <c r="LL12" i="1" s="1"/>
  <c r="LM7" i="1"/>
  <c r="LM12" i="1" s="1"/>
  <c r="LN7" i="1"/>
  <c r="LN12" i="1" s="1"/>
  <c r="LO7" i="1"/>
  <c r="LO12" i="1" s="1"/>
  <c r="LP7" i="1"/>
  <c r="LP12" i="1" s="1"/>
  <c r="LQ7" i="1"/>
  <c r="LQ12" i="1" s="1"/>
  <c r="LR7" i="1"/>
  <c r="LR12" i="1" s="1"/>
  <c r="LS7" i="1"/>
  <c r="LS12" i="1" s="1"/>
  <c r="LT7" i="1"/>
  <c r="LT12" i="1" s="1"/>
  <c r="LU7" i="1"/>
  <c r="LU12" i="1" s="1"/>
  <c r="LV7" i="1"/>
  <c r="LV12" i="1" s="1"/>
  <c r="LW7" i="1"/>
  <c r="LW12" i="1" s="1"/>
  <c r="LX7" i="1"/>
  <c r="LX12" i="1" s="1"/>
  <c r="LY7" i="1"/>
  <c r="LY12" i="1" s="1"/>
  <c r="LZ7" i="1"/>
  <c r="LZ12" i="1" s="1"/>
  <c r="MA7" i="1"/>
  <c r="MA12" i="1" s="1"/>
  <c r="MB7" i="1"/>
  <c r="MB12" i="1" s="1"/>
  <c r="MC7" i="1"/>
  <c r="MC12" i="1" s="1"/>
  <c r="MD7" i="1"/>
  <c r="MD12" i="1" s="1"/>
  <c r="ME7" i="1"/>
  <c r="ME12" i="1" s="1"/>
  <c r="MF7" i="1"/>
  <c r="MF12" i="1" s="1"/>
  <c r="MG7" i="1"/>
  <c r="MG12" i="1" s="1"/>
  <c r="MH7" i="1"/>
  <c r="MH12" i="1" s="1"/>
  <c r="MI7" i="1"/>
  <c r="MI12" i="1" s="1"/>
  <c r="MJ7" i="1"/>
  <c r="MJ12" i="1" s="1"/>
  <c r="MK7" i="1"/>
  <c r="MK12" i="1" s="1"/>
  <c r="ML7" i="1"/>
  <c r="ML12" i="1" s="1"/>
  <c r="MM7" i="1"/>
  <c r="MM12" i="1" s="1"/>
  <c r="MN7" i="1"/>
  <c r="MN12" i="1" s="1"/>
  <c r="MO7" i="1"/>
  <c r="MO12" i="1" s="1"/>
  <c r="MP7" i="1"/>
  <c r="MP12" i="1" s="1"/>
  <c r="MQ7" i="1"/>
  <c r="MQ12" i="1" s="1"/>
  <c r="MR7" i="1"/>
  <c r="MR12" i="1" s="1"/>
  <c r="MS7" i="1"/>
  <c r="MS12" i="1" s="1"/>
  <c r="MT7" i="1"/>
  <c r="MT12" i="1" s="1"/>
  <c r="MU7" i="1"/>
  <c r="MU12" i="1" s="1"/>
  <c r="MV7" i="1"/>
  <c r="MV12" i="1" s="1"/>
  <c r="MW7" i="1"/>
  <c r="MW12" i="1" s="1"/>
  <c r="MX7" i="1"/>
  <c r="MX12" i="1" s="1"/>
  <c r="MY7" i="1"/>
  <c r="MY12" i="1" s="1"/>
  <c r="MZ7" i="1"/>
  <c r="MZ12" i="1" s="1"/>
  <c r="NA7" i="1"/>
  <c r="NA12" i="1" s="1"/>
  <c r="NB7" i="1"/>
  <c r="NB12" i="1" s="1"/>
  <c r="NC7" i="1"/>
  <c r="NC12" i="1" s="1"/>
  <c r="ND7" i="1"/>
  <c r="ND12" i="1" s="1"/>
  <c r="NE7" i="1"/>
  <c r="NE12" i="1" s="1"/>
  <c r="NF7" i="1"/>
  <c r="NF12" i="1" s="1"/>
  <c r="NG7" i="1"/>
  <c r="NG12" i="1" s="1"/>
  <c r="NH7" i="1"/>
  <c r="NH12" i="1" s="1"/>
  <c r="NI7" i="1"/>
  <c r="NI12" i="1" s="1"/>
  <c r="NJ7" i="1"/>
  <c r="NJ12" i="1" s="1"/>
  <c r="NK7" i="1"/>
  <c r="NK12" i="1" s="1"/>
  <c r="NL7" i="1"/>
  <c r="NL12" i="1" s="1"/>
  <c r="NM7" i="1"/>
  <c r="NM12" i="1" s="1"/>
  <c r="NN7" i="1"/>
  <c r="NN12" i="1" s="1"/>
  <c r="NO7" i="1"/>
  <c r="NO12" i="1" s="1"/>
  <c r="NP7" i="1"/>
  <c r="NP12" i="1" s="1"/>
  <c r="NQ7" i="1"/>
  <c r="NQ12" i="1" s="1"/>
  <c r="NR7" i="1"/>
  <c r="NR12" i="1" s="1"/>
  <c r="NS7" i="1"/>
  <c r="NS12" i="1" s="1"/>
  <c r="NX7" i="1"/>
  <c r="NX12" i="1" s="1"/>
  <c r="NY7" i="1"/>
  <c r="NY12" i="1" s="1"/>
  <c r="NZ7" i="1"/>
  <c r="NZ12" i="1" s="1"/>
  <c r="OA7" i="1"/>
  <c r="OA12" i="1" s="1"/>
  <c r="OB7" i="1"/>
  <c r="OB12" i="1" s="1"/>
  <c r="OC7" i="1"/>
  <c r="OC12" i="1" s="1"/>
  <c r="OD7" i="1"/>
  <c r="OD12" i="1" s="1"/>
  <c r="OE7" i="1"/>
  <c r="OE12" i="1" s="1"/>
  <c r="OF7" i="1"/>
  <c r="OF12" i="1" s="1"/>
  <c r="OG7" i="1"/>
  <c r="OG12" i="1" s="1"/>
  <c r="OH7" i="1"/>
  <c r="OH12" i="1" s="1"/>
  <c r="OI7" i="1"/>
  <c r="OI12" i="1" s="1"/>
  <c r="OJ7" i="1"/>
  <c r="OJ12" i="1" s="1"/>
  <c r="OK7" i="1"/>
  <c r="OK12" i="1" s="1"/>
  <c r="OL7" i="1"/>
  <c r="OL12" i="1" s="1"/>
  <c r="OM7" i="1"/>
  <c r="OM12" i="1" s="1"/>
  <c r="ON7" i="1"/>
  <c r="ON12" i="1" s="1"/>
  <c r="OO7" i="1"/>
  <c r="OO12" i="1" s="1"/>
  <c r="OT7" i="1"/>
  <c r="OT12" i="1" s="1"/>
  <c r="OU7" i="1"/>
  <c r="OU12" i="1" s="1"/>
  <c r="OV7" i="1"/>
  <c r="OV12" i="1" s="1"/>
  <c r="OW7" i="1"/>
  <c r="OW12" i="1" s="1"/>
  <c r="OX7" i="1"/>
  <c r="OX12" i="1" s="1"/>
  <c r="OY7" i="1"/>
  <c r="OY12" i="1" s="1"/>
  <c r="PD7" i="1"/>
  <c r="PD12" i="1" s="1"/>
  <c r="PE7" i="1"/>
  <c r="PE12" i="1" s="1"/>
  <c r="PF7" i="1"/>
  <c r="PF12" i="1" s="1"/>
  <c r="PG7" i="1"/>
  <c r="PG12" i="1" s="1"/>
  <c r="PH7" i="1"/>
  <c r="PH12" i="1" s="1"/>
  <c r="PI7" i="1"/>
  <c r="PI12" i="1" s="1"/>
  <c r="PJ7" i="1"/>
  <c r="PJ12" i="1" s="1"/>
  <c r="PK7" i="1"/>
  <c r="PK12" i="1" s="1"/>
  <c r="PL7" i="1"/>
  <c r="PL12" i="1" s="1"/>
  <c r="PM7" i="1"/>
  <c r="PM12" i="1" s="1"/>
  <c r="PN7" i="1"/>
  <c r="PN12" i="1" s="1"/>
  <c r="PO7" i="1"/>
  <c r="PO12" i="1" s="1"/>
  <c r="PP7" i="1"/>
  <c r="PP12" i="1" s="1"/>
  <c r="PQ7" i="1"/>
  <c r="PQ12" i="1" s="1"/>
  <c r="PR7" i="1"/>
  <c r="PR12" i="1" s="1"/>
  <c r="PS7" i="1"/>
  <c r="PS12" i="1" s="1"/>
  <c r="PT7" i="1"/>
  <c r="PT12" i="1" s="1"/>
  <c r="PU7" i="1"/>
  <c r="PU12" i="1" s="1"/>
  <c r="PV7" i="1"/>
  <c r="PV12" i="1" s="1"/>
  <c r="PW7" i="1"/>
  <c r="PW12" i="1" s="1"/>
  <c r="PX7" i="1"/>
  <c r="PX12" i="1" s="1"/>
  <c r="PY7" i="1"/>
  <c r="PY12" i="1" s="1"/>
  <c r="PZ7" i="1"/>
  <c r="PZ12" i="1" s="1"/>
  <c r="QA7" i="1"/>
  <c r="QA12" i="1" s="1"/>
  <c r="QB7" i="1"/>
  <c r="QB12" i="1" s="1"/>
  <c r="QC7" i="1"/>
  <c r="QC12" i="1" s="1"/>
  <c r="QD7" i="1"/>
  <c r="QD12" i="1" s="1"/>
  <c r="QE7" i="1"/>
  <c r="QE12" i="1" s="1"/>
  <c r="QF7" i="1"/>
  <c r="QF12" i="1" s="1"/>
  <c r="QG7" i="1"/>
  <c r="QG12" i="1" s="1"/>
  <c r="QH7" i="1"/>
  <c r="QH12" i="1" s="1"/>
  <c r="QI7" i="1"/>
  <c r="QI12" i="1" s="1"/>
  <c r="QJ7" i="1"/>
  <c r="QJ12" i="1" s="1"/>
  <c r="QK7" i="1"/>
  <c r="QK12" i="1" s="1"/>
  <c r="QL7" i="1"/>
  <c r="QL12" i="1" s="1"/>
  <c r="QM7" i="1"/>
  <c r="QM12" i="1" s="1"/>
  <c r="QT7" i="1"/>
  <c r="QT12" i="1" s="1"/>
  <c r="QU7" i="1"/>
  <c r="QU12" i="1" s="1"/>
  <c r="QV7" i="1"/>
  <c r="QV12" i="1" s="1"/>
  <c r="QW7" i="1"/>
  <c r="QW12" i="1" s="1"/>
  <c r="QX7" i="1"/>
  <c r="QX12" i="1" s="1"/>
  <c r="QY7" i="1"/>
  <c r="QY12" i="1" s="1"/>
  <c r="QZ7" i="1"/>
  <c r="QZ12" i="1" s="1"/>
  <c r="RA7" i="1"/>
  <c r="RA12" i="1" s="1"/>
  <c r="RB7" i="1"/>
  <c r="RB12" i="1" s="1"/>
  <c r="RC7" i="1"/>
  <c r="RC12" i="1" s="1"/>
  <c r="RD7" i="1"/>
  <c r="RD12" i="1" s="1"/>
  <c r="RE7" i="1"/>
  <c r="RE12" i="1" s="1"/>
  <c r="RF7" i="1"/>
  <c r="RF12" i="1" s="1"/>
  <c r="RG7" i="1"/>
  <c r="RG12" i="1" s="1"/>
  <c r="RH7" i="1"/>
  <c r="RH12" i="1" s="1"/>
  <c r="RI7" i="1"/>
  <c r="RI12" i="1" s="1"/>
  <c r="RK7" i="1"/>
  <c r="RK12" i="1" s="1"/>
  <c r="RM7" i="1"/>
  <c r="RM12" i="1" s="1"/>
  <c r="RN7" i="1"/>
  <c r="RN12" i="1" s="1"/>
  <c r="RO7" i="1"/>
  <c r="RO12" i="1" s="1"/>
  <c r="RP7" i="1"/>
  <c r="RP12" i="1" s="1"/>
  <c r="RQ7" i="1"/>
  <c r="RQ12" i="1" s="1"/>
  <c r="RR7" i="1"/>
  <c r="RR12" i="1" s="1"/>
  <c r="RS7" i="1"/>
  <c r="RS12" i="1" s="1"/>
  <c r="RT7" i="1"/>
  <c r="RT12" i="1" s="1"/>
  <c r="RU7" i="1"/>
  <c r="RU12" i="1" s="1"/>
  <c r="RV7" i="1"/>
  <c r="RV12" i="1" s="1"/>
  <c r="RW7" i="1"/>
  <c r="RW12" i="1" s="1"/>
  <c r="RX7" i="1"/>
  <c r="RX12" i="1" s="1"/>
  <c r="RY7" i="1"/>
  <c r="RY12" i="1" s="1"/>
  <c r="RZ7" i="1"/>
  <c r="RZ12" i="1" s="1"/>
  <c r="SA7" i="1"/>
  <c r="SA12" i="1" s="1"/>
  <c r="SB7" i="1"/>
  <c r="SB12" i="1" s="1"/>
  <c r="SC7" i="1"/>
  <c r="SC12" i="1" s="1"/>
  <c r="SD7" i="1"/>
  <c r="SD12" i="1" s="1"/>
  <c r="SE7" i="1"/>
  <c r="SE12" i="1" s="1"/>
  <c r="SF7" i="1"/>
  <c r="SF12" i="1" s="1"/>
  <c r="SG7" i="1"/>
  <c r="SG12" i="1" s="1"/>
  <c r="SH7" i="1"/>
  <c r="SH12" i="1" s="1"/>
  <c r="SI7" i="1"/>
  <c r="SI12" i="1" s="1"/>
  <c r="SJ7" i="1"/>
  <c r="SJ12" i="1" s="1"/>
  <c r="SK7" i="1"/>
  <c r="SK12" i="1" s="1"/>
  <c r="SL7" i="1"/>
  <c r="SL12" i="1" s="1"/>
  <c r="SM7" i="1"/>
  <c r="SM12" i="1" s="1"/>
  <c r="SN7" i="1"/>
  <c r="SN12" i="1" s="1"/>
  <c r="SO7" i="1"/>
  <c r="SO12" i="1" s="1"/>
  <c r="SP7" i="1"/>
  <c r="SP12" i="1" s="1"/>
  <c r="SQ7" i="1"/>
  <c r="SQ12" i="1" s="1"/>
  <c r="SR7" i="1"/>
  <c r="SR12" i="1" s="1"/>
  <c r="SS7" i="1"/>
  <c r="SS12" i="1" s="1"/>
  <c r="ST7" i="1"/>
  <c r="ST12" i="1" s="1"/>
  <c r="SU7" i="1"/>
  <c r="SU12" i="1" s="1"/>
  <c r="SV7" i="1"/>
  <c r="SV12" i="1" s="1"/>
  <c r="SW7" i="1"/>
  <c r="SW12" i="1" s="1"/>
  <c r="SX7" i="1"/>
  <c r="SX12" i="1" s="1"/>
  <c r="SY7" i="1"/>
  <c r="SY12" i="1" s="1"/>
  <c r="SZ7" i="1"/>
  <c r="SZ12" i="1" s="1"/>
  <c r="TA7" i="1"/>
  <c r="TA12" i="1" s="1"/>
  <c r="TB7" i="1"/>
  <c r="TB12" i="1" s="1"/>
  <c r="TC7" i="1"/>
  <c r="TC12" i="1" s="1"/>
  <c r="TD7" i="1"/>
  <c r="TD12" i="1" s="1"/>
  <c r="TE7" i="1"/>
  <c r="TE12" i="1" s="1"/>
  <c r="TF7" i="1"/>
  <c r="TF12" i="1" s="1"/>
  <c r="TG7" i="1"/>
  <c r="TG12" i="1" s="1"/>
  <c r="TH7" i="1"/>
  <c r="TH12" i="1" s="1"/>
  <c r="TI7" i="1"/>
  <c r="TI12" i="1" s="1"/>
  <c r="TJ7" i="1"/>
  <c r="TJ12" i="1" s="1"/>
  <c r="TK7" i="1"/>
  <c r="TK12" i="1" s="1"/>
  <c r="TL7" i="1"/>
  <c r="TL12" i="1" s="1"/>
  <c r="TM7" i="1"/>
  <c r="TM12" i="1" s="1"/>
  <c r="TN7" i="1"/>
  <c r="TN12" i="1" s="1"/>
  <c r="TO7" i="1"/>
  <c r="TO12" i="1" s="1"/>
  <c r="TP7" i="1"/>
  <c r="TP12" i="1" s="1"/>
  <c r="TQ7" i="1"/>
  <c r="TQ12" i="1" s="1"/>
  <c r="TR7" i="1"/>
  <c r="TR12" i="1" s="1"/>
  <c r="TS7" i="1"/>
  <c r="TS12" i="1" s="1"/>
  <c r="TT7" i="1"/>
  <c r="TT12" i="1" s="1"/>
  <c r="TU7" i="1"/>
  <c r="TU12" i="1" s="1"/>
  <c r="TV7" i="1"/>
  <c r="TV12" i="1" s="1"/>
  <c r="UB7" i="1"/>
  <c r="UB12" i="1" s="1"/>
  <c r="UC7" i="1"/>
  <c r="UC12" i="1" s="1"/>
  <c r="UD7" i="1"/>
  <c r="UD12" i="1" s="1"/>
  <c r="UE7" i="1"/>
  <c r="UE12" i="1" s="1"/>
  <c r="UF7" i="1"/>
  <c r="UF12" i="1" s="1"/>
  <c r="UG7" i="1"/>
  <c r="UG12" i="1" s="1"/>
  <c r="UH7" i="1"/>
  <c r="UH12" i="1" s="1"/>
  <c r="UI7" i="1"/>
  <c r="UI12" i="1" s="1"/>
  <c r="UJ7" i="1"/>
  <c r="UJ12" i="1" s="1"/>
  <c r="UK7" i="1"/>
  <c r="UK12" i="1" s="1"/>
  <c r="UL7" i="1"/>
  <c r="UL12" i="1" s="1"/>
  <c r="UM7" i="1"/>
  <c r="UM12" i="1" s="1"/>
  <c r="UN7" i="1"/>
  <c r="UN12" i="1" s="1"/>
  <c r="UO7" i="1"/>
  <c r="UO12" i="1" s="1"/>
  <c r="UP7" i="1"/>
  <c r="UP12" i="1" s="1"/>
  <c r="UQ7" i="1"/>
  <c r="UQ12" i="1" s="1"/>
  <c r="UR7" i="1"/>
  <c r="UR12" i="1" s="1"/>
  <c r="US7" i="1"/>
  <c r="US12" i="1" s="1"/>
  <c r="UT7" i="1"/>
  <c r="UT12" i="1" s="1"/>
  <c r="UU7" i="1"/>
  <c r="UU12" i="1" s="1"/>
  <c r="UV7" i="1"/>
  <c r="UV12" i="1" s="1"/>
  <c r="UW7" i="1"/>
  <c r="UW12" i="1" s="1"/>
  <c r="UX7" i="1"/>
  <c r="UX12" i="1" s="1"/>
  <c r="UY7" i="1"/>
  <c r="UY12" i="1" s="1"/>
  <c r="UZ7" i="1"/>
  <c r="UZ12" i="1" s="1"/>
  <c r="VA7" i="1"/>
  <c r="VA12" i="1" s="1"/>
  <c r="VB7" i="1"/>
  <c r="VB12" i="1" s="1"/>
  <c r="VC7" i="1"/>
  <c r="VC12" i="1" s="1"/>
  <c r="VD7" i="1"/>
  <c r="VD12" i="1" s="1"/>
  <c r="VE7" i="1"/>
  <c r="VE12" i="1" s="1"/>
  <c r="VF7" i="1"/>
  <c r="VF12" i="1" s="1"/>
  <c r="VG7" i="1"/>
  <c r="VG12" i="1" s="1"/>
  <c r="VH7" i="1"/>
  <c r="VH12" i="1" s="1"/>
  <c r="VI7" i="1"/>
  <c r="VI12" i="1" s="1"/>
  <c r="VJ7" i="1"/>
  <c r="VJ12" i="1" s="1"/>
  <c r="VK7" i="1"/>
  <c r="VK12" i="1" s="1"/>
  <c r="VL7" i="1"/>
  <c r="VL12" i="1" s="1"/>
  <c r="VM7" i="1"/>
  <c r="VM12" i="1" s="1"/>
  <c r="VN7" i="1"/>
  <c r="VN12" i="1" s="1"/>
  <c r="VO7" i="1"/>
  <c r="VO12" i="1" s="1"/>
  <c r="VP7" i="1"/>
  <c r="VP12" i="1" s="1"/>
  <c r="VQ7" i="1"/>
  <c r="VQ12" i="1" s="1"/>
  <c r="VR7" i="1"/>
  <c r="VR12" i="1" s="1"/>
  <c r="VS7" i="1"/>
  <c r="VS12" i="1" s="1"/>
  <c r="VT7" i="1"/>
  <c r="VT12" i="1" s="1"/>
  <c r="VU7" i="1"/>
  <c r="VU12" i="1" s="1"/>
  <c r="VV7" i="1"/>
  <c r="VV12" i="1" s="1"/>
  <c r="VW7" i="1"/>
  <c r="VW12" i="1" s="1"/>
  <c r="VX7" i="1"/>
  <c r="VX12" i="1" s="1"/>
  <c r="VY7" i="1"/>
  <c r="VY12" i="1" s="1"/>
  <c r="VZ7" i="1"/>
  <c r="VZ12" i="1" s="1"/>
  <c r="WA7" i="1"/>
  <c r="WA12" i="1" s="1"/>
  <c r="WB7" i="1"/>
  <c r="WB12" i="1" s="1"/>
  <c r="WC7" i="1"/>
  <c r="WC12" i="1" s="1"/>
  <c r="WD7" i="1"/>
  <c r="WD12" i="1" s="1"/>
  <c r="WE7" i="1"/>
  <c r="WE12" i="1" s="1"/>
  <c r="WF7" i="1"/>
  <c r="WF12" i="1" s="1"/>
  <c r="WG7" i="1"/>
  <c r="WG12" i="1" s="1"/>
  <c r="WH7" i="1"/>
  <c r="WH12" i="1" s="1"/>
  <c r="WI7" i="1"/>
  <c r="WI12" i="1" s="1"/>
  <c r="WJ7" i="1"/>
  <c r="WJ12" i="1" s="1"/>
  <c r="WK7" i="1"/>
  <c r="WK12" i="1" s="1"/>
  <c r="WL7" i="1"/>
  <c r="WL12" i="1" s="1"/>
  <c r="WM7" i="1"/>
  <c r="WM12" i="1" s="1"/>
  <c r="WN7" i="1"/>
  <c r="WN12" i="1" s="1"/>
  <c r="WO7" i="1"/>
  <c r="WO12" i="1" s="1"/>
  <c r="WP7" i="1"/>
  <c r="WP12" i="1" s="1"/>
  <c r="WQ7" i="1"/>
  <c r="WQ12" i="1" s="1"/>
  <c r="WR7" i="1"/>
  <c r="WR12" i="1" s="1"/>
  <c r="WS7" i="1"/>
  <c r="WS12" i="1" s="1"/>
  <c r="XD7" i="1"/>
  <c r="XD12" i="1" s="1"/>
  <c r="XE7" i="1"/>
  <c r="XE12" i="1" s="1"/>
  <c r="XF7" i="1"/>
  <c r="XF12" i="1" s="1"/>
  <c r="XG7" i="1"/>
  <c r="XG12" i="1" s="1"/>
  <c r="XH7" i="1"/>
  <c r="XH12" i="1" s="1"/>
  <c r="XI7" i="1"/>
  <c r="XI12" i="1" s="1"/>
  <c r="XJ7" i="1"/>
  <c r="XJ12" i="1" s="1"/>
  <c r="XP7" i="1"/>
  <c r="XP12" i="1" s="1"/>
  <c r="XQ7" i="1"/>
  <c r="XQ12" i="1" s="1"/>
  <c r="XR7" i="1"/>
  <c r="XR12" i="1" s="1"/>
  <c r="XS7" i="1"/>
  <c r="XS12" i="1" s="1"/>
  <c r="XT7" i="1"/>
  <c r="XT12" i="1" s="1"/>
  <c r="XU7" i="1"/>
  <c r="XU12" i="1" s="1"/>
  <c r="YW7" i="1"/>
  <c r="YW12" i="1" s="1"/>
  <c r="YX7" i="1"/>
  <c r="YX12" i="1" s="1"/>
  <c r="YY7" i="1"/>
  <c r="YY12" i="1" s="1"/>
  <c r="YZ7" i="1"/>
  <c r="YZ12" i="1" s="1"/>
  <c r="ZA7" i="1"/>
  <c r="ZA12" i="1" s="1"/>
  <c r="ZB7" i="1"/>
  <c r="ZB12" i="1" s="1"/>
  <c r="ZC7" i="1"/>
  <c r="ZC12" i="1" s="1"/>
  <c r="ZD7" i="1"/>
  <c r="ZD12" i="1" s="1"/>
  <c r="ZE7" i="1"/>
  <c r="ZE12" i="1" s="1"/>
  <c r="ZF7" i="1"/>
  <c r="ZF12" i="1" s="1"/>
  <c r="ZG7" i="1"/>
  <c r="ZG12" i="1" s="1"/>
  <c r="ZI7" i="1"/>
  <c r="ZI12" i="1" s="1"/>
  <c r="ZJ7" i="1"/>
  <c r="ZJ12" i="1" s="1"/>
  <c r="ZK7" i="1"/>
  <c r="ZL7" i="1"/>
  <c r="ZL12" i="1" s="1"/>
  <c r="ZM7" i="1"/>
  <c r="ZN7" i="1"/>
  <c r="ZN12" i="1" s="1"/>
  <c r="ZO7" i="1"/>
  <c r="ZO12" i="1" s="1"/>
  <c r="ZP7" i="1"/>
  <c r="ZP12" i="1" s="1"/>
  <c r="ZQ7" i="1"/>
  <c r="ZQ12" i="1" s="1"/>
  <c r="ZR7" i="1"/>
  <c r="ZS7" i="1"/>
  <c r="ZT7" i="1"/>
  <c r="ZT12" i="1" s="1"/>
  <c r="ZU7" i="1"/>
  <c r="ZU12" i="1" s="1"/>
  <c r="ZV7" i="1"/>
  <c r="ZV12" i="1" s="1"/>
  <c r="ZW7" i="1"/>
  <c r="ZW12" i="1" s="1"/>
  <c r="ZX7" i="1"/>
  <c r="ZX12" i="1" s="1"/>
  <c r="ZY7" i="1"/>
  <c r="ZY12" i="1" s="1"/>
  <c r="ZZ7" i="1"/>
  <c r="ZZ12" i="1" s="1"/>
  <c r="AAA7" i="1"/>
  <c r="AAA12" i="1" s="1"/>
  <c r="AAB7" i="1"/>
  <c r="AAB12" i="1" s="1"/>
  <c r="AAC7" i="1"/>
  <c r="AAC12" i="1" s="1"/>
  <c r="AAD7" i="1"/>
  <c r="AAD12" i="1" s="1"/>
  <c r="AAE7" i="1"/>
  <c r="AAE12" i="1" s="1"/>
  <c r="AAF7" i="1"/>
  <c r="AAF12" i="1" s="1"/>
  <c r="AAG7" i="1"/>
  <c r="AAG12" i="1" s="1"/>
  <c r="AAH7" i="1"/>
  <c r="AAH12" i="1" s="1"/>
  <c r="AAI7" i="1"/>
  <c r="AAI12" i="1" s="1"/>
  <c r="AAJ7" i="1"/>
  <c r="AAJ12" i="1" s="1"/>
  <c r="AAK7" i="1"/>
  <c r="AAK12" i="1" s="1"/>
  <c r="AAL7" i="1"/>
  <c r="AAL12" i="1" s="1"/>
  <c r="AAM7" i="1"/>
  <c r="AAM12" i="1" s="1"/>
  <c r="AAN7" i="1"/>
  <c r="AAN12" i="1" s="1"/>
  <c r="AAO7" i="1"/>
  <c r="AAO12" i="1" s="1"/>
  <c r="AAP7" i="1"/>
  <c r="AAP12" i="1" s="1"/>
  <c r="AAQ7" i="1"/>
  <c r="AAQ12" i="1" s="1"/>
  <c r="AAR7" i="1"/>
  <c r="AAR12" i="1" s="1"/>
  <c r="AAS7" i="1"/>
  <c r="AAS12" i="1" s="1"/>
  <c r="AAT7" i="1"/>
  <c r="AAT12" i="1" s="1"/>
  <c r="AAU7" i="1"/>
  <c r="AAU12" i="1" s="1"/>
  <c r="AAV7" i="1"/>
  <c r="AAV12" i="1" s="1"/>
  <c r="AAW7" i="1"/>
  <c r="AAW12" i="1" s="1"/>
  <c r="AAX7" i="1"/>
  <c r="AAX12" i="1" s="1"/>
  <c r="AAY7" i="1"/>
  <c r="AAY12" i="1" s="1"/>
  <c r="AAZ7" i="1"/>
  <c r="AAZ12" i="1" s="1"/>
  <c r="ABA7" i="1"/>
  <c r="ABA12" i="1" s="1"/>
  <c r="ABB7" i="1"/>
  <c r="ABB12" i="1" s="1"/>
  <c r="ABC7" i="1"/>
  <c r="ABC12" i="1" s="1"/>
  <c r="ABD7" i="1"/>
  <c r="ABD12" i="1" s="1"/>
  <c r="ABE7" i="1"/>
  <c r="ABE12" i="1" s="1"/>
  <c r="ABF7" i="1"/>
  <c r="ABF12" i="1" s="1"/>
  <c r="ABG7" i="1"/>
  <c r="ABG12" i="1" s="1"/>
  <c r="ABH7" i="1"/>
  <c r="ABH12" i="1" s="1"/>
  <c r="ABI7" i="1"/>
  <c r="ABI12" i="1" s="1"/>
  <c r="ABJ7" i="1"/>
  <c r="ABJ12" i="1" s="1"/>
  <c r="ABK7" i="1"/>
  <c r="ABK12" i="1" s="1"/>
  <c r="ABL7" i="1"/>
  <c r="ABL12" i="1" s="1"/>
  <c r="ABM7" i="1"/>
  <c r="ABM12" i="1" s="1"/>
  <c r="ABN7" i="1"/>
  <c r="ABN12" i="1" s="1"/>
  <c r="ABO7" i="1"/>
  <c r="ABO12" i="1" s="1"/>
  <c r="ABP7" i="1"/>
  <c r="ABP12" i="1" s="1"/>
  <c r="ABQ7" i="1"/>
  <c r="ABQ12" i="1" s="1"/>
  <c r="ABR7" i="1"/>
  <c r="ABR12" i="1" s="1"/>
  <c r="ABS7" i="1"/>
  <c r="ABS12" i="1" s="1"/>
  <c r="ABT7" i="1"/>
  <c r="ABT12" i="1" s="1"/>
  <c r="ABU7" i="1"/>
  <c r="ABU12" i="1" s="1"/>
  <c r="ABV7" i="1"/>
  <c r="ABV12" i="1" s="1"/>
  <c r="ABW7" i="1"/>
  <c r="ABW12" i="1" s="1"/>
  <c r="ABX7" i="1"/>
  <c r="ABX12" i="1" s="1"/>
  <c r="ABY7" i="1"/>
  <c r="ABY12" i="1" s="1"/>
  <c r="ABZ7" i="1"/>
  <c r="ABZ12" i="1" s="1"/>
  <c r="ACA7" i="1"/>
  <c r="ACA12" i="1" s="1"/>
  <c r="ACB7" i="1"/>
  <c r="ACB12" i="1" s="1"/>
  <c r="ACC7" i="1"/>
  <c r="ACC12" i="1" s="1"/>
  <c r="ACD7" i="1"/>
  <c r="ACD12" i="1" s="1"/>
  <c r="ACE7" i="1"/>
  <c r="ACE12" i="1" s="1"/>
  <c r="ACF7" i="1"/>
  <c r="ACF12" i="1" s="1"/>
  <c r="ACG7" i="1"/>
  <c r="ACG12" i="1" s="1"/>
  <c r="ACH7" i="1"/>
  <c r="ACH12" i="1" s="1"/>
  <c r="ACI7" i="1"/>
  <c r="ACI12" i="1" s="1"/>
  <c r="ACJ7" i="1"/>
  <c r="ACJ12" i="1" s="1"/>
  <c r="ACK7" i="1"/>
  <c r="ACK12" i="1" s="1"/>
  <c r="ACL7" i="1"/>
  <c r="ACL12" i="1" s="1"/>
  <c r="ACM7" i="1"/>
  <c r="ACM12" i="1" s="1"/>
  <c r="ACC28" i="1"/>
  <c r="BN4" i="18" s="1"/>
  <c r="ACC29" i="1"/>
  <c r="ACC30" i="1"/>
  <c r="ACC31" i="1"/>
  <c r="ACD31" i="1" s="1"/>
  <c r="ACC32" i="1"/>
  <c r="BN8" i="18" s="1"/>
  <c r="ACC33" i="1"/>
  <c r="BN9" i="18" s="1"/>
  <c r="ACC34" i="1"/>
  <c r="ACC35" i="1"/>
  <c r="BN11" i="18" s="1"/>
  <c r="ACC36" i="1"/>
  <c r="BN12" i="18" s="1"/>
  <c r="ACC37" i="1"/>
  <c r="ACC38" i="1"/>
  <c r="ACC39" i="1"/>
  <c r="ACC40" i="1"/>
  <c r="BN16" i="18" s="1"/>
  <c r="ACC41" i="1"/>
  <c r="ACD41" i="1" s="1"/>
  <c r="ACC42" i="1"/>
  <c r="ACC43" i="1"/>
  <c r="BN19" i="18" s="1"/>
  <c r="ACC44" i="1"/>
  <c r="BN20" i="18" s="1"/>
  <c r="ACC45" i="1"/>
  <c r="ACD45" i="1" s="1"/>
  <c r="ACC46" i="1"/>
  <c r="ACC47" i="1"/>
  <c r="ACC48" i="1"/>
  <c r="ACC49" i="1"/>
  <c r="BN25" i="18" s="1"/>
  <c r="ACC50" i="1"/>
  <c r="ACC51" i="1"/>
  <c r="BN27" i="18" s="1"/>
  <c r="ACC52" i="1"/>
  <c r="BN28" i="18" s="1"/>
  <c r="ACC53" i="1"/>
  <c r="BN29" i="18" s="1"/>
  <c r="ACC54" i="1"/>
  <c r="ACD54" i="1" s="1"/>
  <c r="ACC55" i="1"/>
  <c r="ACD55" i="1" s="1"/>
  <c r="ACC56" i="1"/>
  <c r="ACC57" i="1"/>
  <c r="BN33" i="18" s="1"/>
  <c r="ACD51" i="1"/>
  <c r="ABE28" i="1"/>
  <c r="ABE29" i="1"/>
  <c r="BL5" i="18" s="1"/>
  <c r="ABE30" i="1"/>
  <c r="BL6" i="18" s="1"/>
  <c r="ABE31" i="1"/>
  <c r="BL7" i="18" s="1"/>
  <c r="ABE32" i="1"/>
  <c r="ABE33" i="1"/>
  <c r="ABF33" i="1" s="1"/>
  <c r="ABE34" i="1"/>
  <c r="ABF34" i="1" s="1"/>
  <c r="ABE35" i="1"/>
  <c r="ABF35" i="1" s="1"/>
  <c r="ABE36" i="1"/>
  <c r="ABE37" i="1"/>
  <c r="BL13" i="18" s="1"/>
  <c r="ABE38" i="1"/>
  <c r="BL14" i="18" s="1"/>
  <c r="ABE39" i="1"/>
  <c r="BL15" i="18" s="1"/>
  <c r="ABE40" i="1"/>
  <c r="ABE41" i="1"/>
  <c r="ABE42" i="1"/>
  <c r="ABE43" i="1"/>
  <c r="ABF43" i="1" s="1"/>
  <c r="ABE44" i="1"/>
  <c r="ABE45" i="1"/>
  <c r="BL21" i="18" s="1"/>
  <c r="ABE46" i="1"/>
  <c r="ABF46" i="1" s="1"/>
  <c r="ABE47" i="1"/>
  <c r="BL23" i="18" s="1"/>
  <c r="ABE48" i="1"/>
  <c r="ABE49" i="1"/>
  <c r="ABE50" i="1"/>
  <c r="ABE51" i="1"/>
  <c r="ABF51" i="1" s="1"/>
  <c r="ABE52" i="1"/>
  <c r="ABE53" i="1"/>
  <c r="BL29" i="18" s="1"/>
  <c r="ABE54" i="1"/>
  <c r="ABF54" i="1" s="1"/>
  <c r="ABE55" i="1"/>
  <c r="BL31" i="18" s="1"/>
  <c r="ABE56" i="1"/>
  <c r="ABF56" i="1" s="1"/>
  <c r="ABE57" i="1"/>
  <c r="ABF57" i="1" s="1"/>
  <c r="AAS28" i="1"/>
  <c r="AAS29" i="1"/>
  <c r="AAS30" i="1"/>
  <c r="AAS31" i="1"/>
  <c r="AAS32" i="1"/>
  <c r="AAS33" i="1"/>
  <c r="AAS34" i="1"/>
  <c r="AAS35" i="1"/>
  <c r="AAS36" i="1"/>
  <c r="AAS37" i="1"/>
  <c r="BJ13" i="18" s="1"/>
  <c r="AAS38" i="1"/>
  <c r="BJ14" i="18" s="1"/>
  <c r="AAS39" i="1"/>
  <c r="BJ15" i="18" s="1"/>
  <c r="AAS40" i="1"/>
  <c r="BJ16" i="18" s="1"/>
  <c r="AAS41" i="1"/>
  <c r="AAS42" i="1"/>
  <c r="AAS43" i="1"/>
  <c r="AAS44" i="1"/>
  <c r="BJ20" i="18" s="1"/>
  <c r="AAS45" i="1"/>
  <c r="BJ21" i="18" s="1"/>
  <c r="AAS46" i="1"/>
  <c r="BJ22" i="18" s="1"/>
  <c r="AAS47" i="1"/>
  <c r="BJ23" i="18" s="1"/>
  <c r="AAS48" i="1"/>
  <c r="BJ24" i="18" s="1"/>
  <c r="AAS49" i="1"/>
  <c r="AAT49" i="1" s="1"/>
  <c r="AAS50" i="1"/>
  <c r="AAS51" i="1"/>
  <c r="AAS52" i="1"/>
  <c r="BJ28" i="18" s="1"/>
  <c r="AAS53" i="1"/>
  <c r="BJ29" i="18" s="1"/>
  <c r="AAS54" i="1"/>
  <c r="BJ30" i="18" s="1"/>
  <c r="AAS55" i="1"/>
  <c r="BJ31" i="18" s="1"/>
  <c r="AAS56" i="1"/>
  <c r="AAT56" i="1" s="1"/>
  <c r="AAS57" i="1"/>
  <c r="AAT57" i="1" s="1"/>
  <c r="TK28" i="1"/>
  <c r="BD4" i="18" s="1"/>
  <c r="ZS28" i="1"/>
  <c r="ZT28" i="1" s="1"/>
  <c r="ZS29" i="1"/>
  <c r="ZT29" i="1" s="1"/>
  <c r="ZS30" i="1"/>
  <c r="ZT30" i="1" s="1"/>
  <c r="ZS31" i="1"/>
  <c r="ZT31" i="1" s="1"/>
  <c r="ZS32" i="1"/>
  <c r="ZT32" i="1" s="1"/>
  <c r="ZS33" i="1"/>
  <c r="ZT33" i="1" s="1"/>
  <c r="ZS34" i="1"/>
  <c r="ZT34" i="1" s="1"/>
  <c r="ZS35" i="1"/>
  <c r="ZT35" i="1" s="1"/>
  <c r="ZS36" i="1"/>
  <c r="ZT36" i="1" s="1"/>
  <c r="ZS37" i="1"/>
  <c r="ZT37" i="1" s="1"/>
  <c r="ZS38" i="1"/>
  <c r="ZT38" i="1" s="1"/>
  <c r="ZS39" i="1"/>
  <c r="ZT39" i="1" s="1"/>
  <c r="ZS40" i="1"/>
  <c r="ZT40" i="1" s="1"/>
  <c r="ZS41" i="1"/>
  <c r="ZT41" i="1" s="1"/>
  <c r="ZS42" i="1"/>
  <c r="ZT42" i="1" s="1"/>
  <c r="ZS43" i="1"/>
  <c r="ZT43" i="1" s="1"/>
  <c r="ZS44" i="1"/>
  <c r="ZT44" i="1" s="1"/>
  <c r="ZS45" i="1"/>
  <c r="ZT45" i="1" s="1"/>
  <c r="ZS46" i="1"/>
  <c r="ZT46" i="1" s="1"/>
  <c r="ZS47" i="1"/>
  <c r="ZT47" i="1" s="1"/>
  <c r="ZS48" i="1"/>
  <c r="ZT48" i="1" s="1"/>
  <c r="ZS49" i="1"/>
  <c r="ZT49" i="1" s="1"/>
  <c r="ZS50" i="1"/>
  <c r="ZT50" i="1" s="1"/>
  <c r="ZS51" i="1"/>
  <c r="ZT51" i="1" s="1"/>
  <c r="ZS52" i="1"/>
  <c r="ZT52" i="1" s="1"/>
  <c r="ZS53" i="1"/>
  <c r="ZT53" i="1" s="1"/>
  <c r="ZS54" i="1"/>
  <c r="ZT54" i="1" s="1"/>
  <c r="ZS55" i="1"/>
  <c r="ZT55" i="1" s="1"/>
  <c r="ZS56" i="1"/>
  <c r="ZT56" i="1" s="1"/>
  <c r="ZS57" i="1"/>
  <c r="ZT57" i="1" s="1"/>
  <c r="ZN28" i="1"/>
  <c r="ZO28" i="1" s="1"/>
  <c r="ZN29" i="1"/>
  <c r="ZO29" i="1" s="1"/>
  <c r="ZN30" i="1"/>
  <c r="ZO30" i="1" s="1"/>
  <c r="ZN31" i="1"/>
  <c r="ZO31" i="1" s="1"/>
  <c r="ZN32" i="1"/>
  <c r="ZO32" i="1" s="1"/>
  <c r="ZN33" i="1"/>
  <c r="ZO33" i="1" s="1"/>
  <c r="ZN34" i="1"/>
  <c r="ZO34" i="1" s="1"/>
  <c r="ZN35" i="1"/>
  <c r="ZO35" i="1" s="1"/>
  <c r="ZN36" i="1"/>
  <c r="ZO36" i="1" s="1"/>
  <c r="ZN37" i="1"/>
  <c r="ZO37" i="1" s="1"/>
  <c r="ZN38" i="1"/>
  <c r="ZO38" i="1" s="1"/>
  <c r="ZN39" i="1"/>
  <c r="ZO39" i="1" s="1"/>
  <c r="ZN40" i="1"/>
  <c r="ZO40" i="1" s="1"/>
  <c r="ZN41" i="1"/>
  <c r="ZO41" i="1" s="1"/>
  <c r="ZN42" i="1"/>
  <c r="ZO42" i="1" s="1"/>
  <c r="ZN43" i="1"/>
  <c r="ZO43" i="1" s="1"/>
  <c r="ZN44" i="1"/>
  <c r="ZO44" i="1" s="1"/>
  <c r="ZN45" i="1"/>
  <c r="ZO45" i="1" s="1"/>
  <c r="ZN46" i="1"/>
  <c r="ZO46" i="1" s="1"/>
  <c r="ZN47" i="1"/>
  <c r="ZO47" i="1" s="1"/>
  <c r="ZN48" i="1"/>
  <c r="ZO48" i="1" s="1"/>
  <c r="ZN49" i="1"/>
  <c r="ZO49" i="1" s="1"/>
  <c r="ZN50" i="1"/>
  <c r="ZO50" i="1" s="1"/>
  <c r="ZN51" i="1"/>
  <c r="ZO51" i="1" s="1"/>
  <c r="ZN52" i="1"/>
  <c r="ZO52" i="1" s="1"/>
  <c r="ZN53" i="1"/>
  <c r="ZO53" i="1" s="1"/>
  <c r="ZN54" i="1"/>
  <c r="ZO54" i="1" s="1"/>
  <c r="ZN55" i="1"/>
  <c r="ZO55" i="1" s="1"/>
  <c r="ZN56" i="1"/>
  <c r="ZO56" i="1" s="1"/>
  <c r="ZO57" i="1"/>
  <c r="SY28" i="1"/>
  <c r="BB4" i="18" s="1"/>
  <c r="SY29" i="1"/>
  <c r="BB5" i="18" s="1"/>
  <c r="SY30" i="1"/>
  <c r="BB6" i="18" s="1"/>
  <c r="SY31" i="1"/>
  <c r="BB7" i="18" s="1"/>
  <c r="SY32" i="1"/>
  <c r="BB8" i="18" s="1"/>
  <c r="SY33" i="1"/>
  <c r="BB9" i="18" s="1"/>
  <c r="SY34" i="1"/>
  <c r="BB10" i="18" s="1"/>
  <c r="SY35" i="1"/>
  <c r="BB11" i="18" s="1"/>
  <c r="SY36" i="1"/>
  <c r="BB12" i="18" s="1"/>
  <c r="SY37" i="1"/>
  <c r="BB13" i="18" s="1"/>
  <c r="SY38" i="1"/>
  <c r="BB14" i="18" s="1"/>
  <c r="SY39" i="1"/>
  <c r="BB15" i="18" s="1"/>
  <c r="SY40" i="1"/>
  <c r="BB16" i="18" s="1"/>
  <c r="SY41" i="1"/>
  <c r="BB17" i="18" s="1"/>
  <c r="SY42" i="1"/>
  <c r="BB18" i="18" s="1"/>
  <c r="SY43" i="1"/>
  <c r="BB19" i="18" s="1"/>
  <c r="SY44" i="1"/>
  <c r="BB20" i="18" s="1"/>
  <c r="SY45" i="1"/>
  <c r="BB21" i="18" s="1"/>
  <c r="SY46" i="1"/>
  <c r="BB22" i="18" s="1"/>
  <c r="SY47" i="1"/>
  <c r="BB23" i="18" s="1"/>
  <c r="SY48" i="1"/>
  <c r="BB24" i="18" s="1"/>
  <c r="SY49" i="1"/>
  <c r="BB25" i="18" s="1"/>
  <c r="SY50" i="1"/>
  <c r="BB26" i="18" s="1"/>
  <c r="SY51" i="1"/>
  <c r="BB27" i="18" s="1"/>
  <c r="SY52" i="1"/>
  <c r="BB28" i="18" s="1"/>
  <c r="SY53" i="1"/>
  <c r="BB29" i="18" s="1"/>
  <c r="SY54" i="1"/>
  <c r="BB30" i="18" s="1"/>
  <c r="SY55" i="1"/>
  <c r="BB31" i="18" s="1"/>
  <c r="SY56" i="1"/>
  <c r="BB32" i="18" s="1"/>
  <c r="SY57" i="1"/>
  <c r="BB33" i="18" s="1"/>
  <c r="TK29" i="1"/>
  <c r="TL29" i="1" s="1"/>
  <c r="TK30" i="1"/>
  <c r="TL30" i="1" s="1"/>
  <c r="TK31" i="1"/>
  <c r="TK32" i="1"/>
  <c r="TK33" i="1"/>
  <c r="TK34" i="1"/>
  <c r="TK35" i="1"/>
  <c r="TL35" i="1" s="1"/>
  <c r="TK36" i="1"/>
  <c r="TL36" i="1" s="1"/>
  <c r="TK37" i="1"/>
  <c r="TL37" i="1" s="1"/>
  <c r="TK38" i="1"/>
  <c r="TL38" i="1" s="1"/>
  <c r="TK39" i="1"/>
  <c r="TL39" i="1" s="1"/>
  <c r="TK40" i="1"/>
  <c r="TL40" i="1" s="1"/>
  <c r="TK41" i="1"/>
  <c r="TK42" i="1"/>
  <c r="TK43" i="1"/>
  <c r="TL43" i="1" s="1"/>
  <c r="TK44" i="1"/>
  <c r="TL44" i="1" s="1"/>
  <c r="TK45" i="1"/>
  <c r="TL45" i="1" s="1"/>
  <c r="TK46" i="1"/>
  <c r="TK47" i="1"/>
  <c r="TK48" i="1"/>
  <c r="TL48" i="1" s="1"/>
  <c r="TK49" i="1"/>
  <c r="TK50" i="1"/>
  <c r="TK51" i="1"/>
  <c r="TL51" i="1" s="1"/>
  <c r="TK52" i="1"/>
  <c r="TL52" i="1" s="1"/>
  <c r="TK53" i="1"/>
  <c r="TL53" i="1" s="1"/>
  <c r="TK54" i="1"/>
  <c r="TK55" i="1"/>
  <c r="TK56" i="1"/>
  <c r="TK57" i="1"/>
  <c r="SM28" i="1"/>
  <c r="AZ4" i="18" s="1"/>
  <c r="SM29" i="1"/>
  <c r="AZ5" i="18" s="1"/>
  <c r="SM30" i="1"/>
  <c r="AZ6" i="18" s="1"/>
  <c r="SM31" i="1"/>
  <c r="AZ7" i="18" s="1"/>
  <c r="SM32" i="1"/>
  <c r="AZ8" i="18" s="1"/>
  <c r="SM33" i="1"/>
  <c r="AZ9" i="18" s="1"/>
  <c r="SM34" i="1"/>
  <c r="AZ10" i="18" s="1"/>
  <c r="SM35" i="1"/>
  <c r="AZ11" i="18" s="1"/>
  <c r="SM36" i="1"/>
  <c r="AZ12" i="18" s="1"/>
  <c r="SM37" i="1"/>
  <c r="AZ13" i="18" s="1"/>
  <c r="SM38" i="1"/>
  <c r="AZ14" i="18" s="1"/>
  <c r="SM39" i="1"/>
  <c r="AZ15" i="18" s="1"/>
  <c r="SM40" i="1"/>
  <c r="AZ16" i="18" s="1"/>
  <c r="SM41" i="1"/>
  <c r="AZ17" i="18" s="1"/>
  <c r="SM42" i="1"/>
  <c r="AZ18" i="18" s="1"/>
  <c r="SM43" i="1"/>
  <c r="AZ19" i="18" s="1"/>
  <c r="SM44" i="1"/>
  <c r="AZ20" i="18" s="1"/>
  <c r="SM45" i="1"/>
  <c r="AZ21" i="18" s="1"/>
  <c r="SM46" i="1"/>
  <c r="AZ22" i="18" s="1"/>
  <c r="SM47" i="1"/>
  <c r="AZ23" i="18" s="1"/>
  <c r="SM48" i="1"/>
  <c r="AZ24" i="18" s="1"/>
  <c r="SM49" i="1"/>
  <c r="AZ25" i="18" s="1"/>
  <c r="SM50" i="1"/>
  <c r="AZ26" i="18" s="1"/>
  <c r="SM51" i="1"/>
  <c r="AZ27" i="18" s="1"/>
  <c r="SM52" i="1"/>
  <c r="AZ28" i="18" s="1"/>
  <c r="SM53" i="1"/>
  <c r="AZ29" i="18" s="1"/>
  <c r="SM54" i="1"/>
  <c r="AZ30" i="18" s="1"/>
  <c r="SM55" i="1"/>
  <c r="AZ31" i="18" s="1"/>
  <c r="SM56" i="1"/>
  <c r="AZ32" i="18" s="1"/>
  <c r="SM57" i="1"/>
  <c r="AZ33" i="18" s="1"/>
  <c r="SA28" i="1"/>
  <c r="AX4" i="18" s="1"/>
  <c r="SA29" i="1"/>
  <c r="AX5" i="18" s="1"/>
  <c r="SA30" i="1"/>
  <c r="AX6" i="18" s="1"/>
  <c r="SA31" i="1"/>
  <c r="AX7" i="18" s="1"/>
  <c r="SA32" i="1"/>
  <c r="AX8" i="18" s="1"/>
  <c r="SA33" i="1"/>
  <c r="AX9" i="18" s="1"/>
  <c r="SA34" i="1"/>
  <c r="AX10" i="18" s="1"/>
  <c r="SA35" i="1"/>
  <c r="AX11" i="18" s="1"/>
  <c r="SA36" i="1"/>
  <c r="AX12" i="18" s="1"/>
  <c r="SA37" i="1"/>
  <c r="AX13" i="18" s="1"/>
  <c r="SA38" i="1"/>
  <c r="AX14" i="18" s="1"/>
  <c r="SA39" i="1"/>
  <c r="AX15" i="18" s="1"/>
  <c r="SA40" i="1"/>
  <c r="AX16" i="18" s="1"/>
  <c r="SA41" i="1"/>
  <c r="AX17" i="18" s="1"/>
  <c r="SA42" i="1"/>
  <c r="AX18" i="18" s="1"/>
  <c r="SA43" i="1"/>
  <c r="AX19" i="18" s="1"/>
  <c r="SA44" i="1"/>
  <c r="AX20" i="18" s="1"/>
  <c r="SA45" i="1"/>
  <c r="AX21" i="18" s="1"/>
  <c r="SA46" i="1"/>
  <c r="AX22" i="18" s="1"/>
  <c r="SA47" i="1"/>
  <c r="AX23" i="18" s="1"/>
  <c r="SA48" i="1"/>
  <c r="AX24" i="18" s="1"/>
  <c r="SA49" i="1"/>
  <c r="AX25" i="18" s="1"/>
  <c r="SA50" i="1"/>
  <c r="AX26" i="18" s="1"/>
  <c r="SA51" i="1"/>
  <c r="AX27" i="18" s="1"/>
  <c r="SA52" i="1"/>
  <c r="AX28" i="18" s="1"/>
  <c r="SA53" i="1"/>
  <c r="AX29" i="18" s="1"/>
  <c r="SA54" i="1"/>
  <c r="AX30" i="18" s="1"/>
  <c r="SA55" i="1"/>
  <c r="AX31" i="18" s="1"/>
  <c r="SA56" i="1"/>
  <c r="AX32" i="18" s="1"/>
  <c r="SA57" i="1"/>
  <c r="AX33" i="18" s="1"/>
  <c r="RO28" i="1"/>
  <c r="AV4" i="18" s="1"/>
  <c r="RO29" i="1"/>
  <c r="AV5" i="18" s="1"/>
  <c r="RO30" i="1"/>
  <c r="AV6" i="18" s="1"/>
  <c r="RO31" i="1"/>
  <c r="AV7" i="18" s="1"/>
  <c r="RO32" i="1"/>
  <c r="AV8" i="18" s="1"/>
  <c r="RO33" i="1"/>
  <c r="AV9" i="18" s="1"/>
  <c r="RO34" i="1"/>
  <c r="AV10" i="18" s="1"/>
  <c r="RO35" i="1"/>
  <c r="AV11" i="18" s="1"/>
  <c r="RO36" i="1"/>
  <c r="AV12" i="18" s="1"/>
  <c r="RO37" i="1"/>
  <c r="AV13" i="18" s="1"/>
  <c r="RO38" i="1"/>
  <c r="AV14" i="18" s="1"/>
  <c r="RO39" i="1"/>
  <c r="AV15" i="18" s="1"/>
  <c r="RO40" i="1"/>
  <c r="AV16" i="18" s="1"/>
  <c r="RO41" i="1"/>
  <c r="AV17" i="18" s="1"/>
  <c r="RO42" i="1"/>
  <c r="AV18" i="18" s="1"/>
  <c r="RO43" i="1"/>
  <c r="AV19" i="18" s="1"/>
  <c r="RO44" i="1"/>
  <c r="AV20" i="18" s="1"/>
  <c r="RO45" i="1"/>
  <c r="AV21" i="18" s="1"/>
  <c r="RO46" i="1"/>
  <c r="AV22" i="18" s="1"/>
  <c r="RO47" i="1"/>
  <c r="AV23" i="18" s="1"/>
  <c r="RO48" i="1"/>
  <c r="AV24" i="18" s="1"/>
  <c r="RO49" i="1"/>
  <c r="AV25" i="18" s="1"/>
  <c r="RO50" i="1"/>
  <c r="AV26" i="18" s="1"/>
  <c r="RO51" i="1"/>
  <c r="AV27" i="18" s="1"/>
  <c r="RO52" i="1"/>
  <c r="AV28" i="18" s="1"/>
  <c r="RO53" i="1"/>
  <c r="AV29" i="18" s="1"/>
  <c r="RO54" i="1"/>
  <c r="AV30" i="18" s="1"/>
  <c r="RO55" i="1"/>
  <c r="AV31" i="18" s="1"/>
  <c r="RO56" i="1"/>
  <c r="AV32" i="18" s="1"/>
  <c r="RO57" i="1"/>
  <c r="AV33" i="18" s="1"/>
  <c r="QC28" i="1"/>
  <c r="AT4" i="18" s="1"/>
  <c r="QC29" i="1"/>
  <c r="AT5" i="18" s="1"/>
  <c r="QC30" i="1"/>
  <c r="AT6" i="18" s="1"/>
  <c r="QC31" i="1"/>
  <c r="AT7" i="18" s="1"/>
  <c r="QC32" i="1"/>
  <c r="AT8" i="18" s="1"/>
  <c r="QC33" i="1"/>
  <c r="AT9" i="18" s="1"/>
  <c r="QC34" i="1"/>
  <c r="AT10" i="18" s="1"/>
  <c r="QC35" i="1"/>
  <c r="AT11" i="18" s="1"/>
  <c r="QC36" i="1"/>
  <c r="AT12" i="18" s="1"/>
  <c r="QC37" i="1"/>
  <c r="AT13" i="18" s="1"/>
  <c r="QC38" i="1"/>
  <c r="AT14" i="18" s="1"/>
  <c r="QC39" i="1"/>
  <c r="AT15" i="18" s="1"/>
  <c r="QC40" i="1"/>
  <c r="AT16" i="18" s="1"/>
  <c r="QC41" i="1"/>
  <c r="AT17" i="18" s="1"/>
  <c r="QC42" i="1"/>
  <c r="AT18" i="18" s="1"/>
  <c r="QC43" i="1"/>
  <c r="AT19" i="18" s="1"/>
  <c r="QC44" i="1"/>
  <c r="AT20" i="18" s="1"/>
  <c r="QC45" i="1"/>
  <c r="AT21" i="18" s="1"/>
  <c r="QC46" i="1"/>
  <c r="AT22" i="18" s="1"/>
  <c r="QC47" i="1"/>
  <c r="AT23" i="18" s="1"/>
  <c r="QC48" i="1"/>
  <c r="AT24" i="18" s="1"/>
  <c r="QC49" i="1"/>
  <c r="AT25" i="18" s="1"/>
  <c r="QC50" i="1"/>
  <c r="AT26" i="18" s="1"/>
  <c r="QC51" i="1"/>
  <c r="AT27" i="18" s="1"/>
  <c r="QC52" i="1"/>
  <c r="AT28" i="18" s="1"/>
  <c r="QC53" i="1"/>
  <c r="AT29" i="18" s="1"/>
  <c r="QC54" i="1"/>
  <c r="AT30" i="18" s="1"/>
  <c r="QC55" i="1"/>
  <c r="AT31" i="18" s="1"/>
  <c r="QC56" i="1"/>
  <c r="AT32" i="18" s="1"/>
  <c r="QC57" i="1"/>
  <c r="AT33" i="18" s="1"/>
  <c r="PP28" i="1"/>
  <c r="PQ28" i="1" s="1"/>
  <c r="PP29" i="1"/>
  <c r="PP30" i="1"/>
  <c r="PQ30" i="1" s="1"/>
  <c r="PP31" i="1"/>
  <c r="PQ31" i="1" s="1"/>
  <c r="PP32" i="1"/>
  <c r="PP33" i="1"/>
  <c r="PP34" i="1"/>
  <c r="PP35" i="1"/>
  <c r="PQ35" i="1" s="1"/>
  <c r="PP36" i="1"/>
  <c r="PP37" i="1"/>
  <c r="PP38" i="1"/>
  <c r="PQ38" i="1" s="1"/>
  <c r="PP39" i="1"/>
  <c r="PQ39" i="1" s="1"/>
  <c r="PP40" i="1"/>
  <c r="PP41" i="1"/>
  <c r="PP42" i="1"/>
  <c r="PP43" i="1"/>
  <c r="PP44" i="1"/>
  <c r="PP45" i="1"/>
  <c r="PP46" i="1"/>
  <c r="PQ46" i="1" s="1"/>
  <c r="PP47" i="1"/>
  <c r="PQ47" i="1" s="1"/>
  <c r="PP48" i="1"/>
  <c r="PQ48" i="1" s="1"/>
  <c r="PP49" i="1"/>
  <c r="PQ49" i="1" s="1"/>
  <c r="PP50" i="1"/>
  <c r="PP51" i="1"/>
  <c r="PP52" i="1"/>
  <c r="PP53" i="1"/>
  <c r="PP54" i="1"/>
  <c r="PQ54" i="1" s="1"/>
  <c r="PP55" i="1"/>
  <c r="PQ55" i="1" s="1"/>
  <c r="PP56" i="1"/>
  <c r="PP57" i="1"/>
  <c r="PQ57" i="1" s="1"/>
  <c r="AP4" i="18"/>
  <c r="PD29" i="1"/>
  <c r="AP5" i="18" s="1"/>
  <c r="PD30" i="1"/>
  <c r="AP6" i="18" s="1"/>
  <c r="PD31" i="1"/>
  <c r="AP7" i="18" s="1"/>
  <c r="PD32" i="1"/>
  <c r="AP8" i="18" s="1"/>
  <c r="PD33" i="1"/>
  <c r="AP9" i="18" s="1"/>
  <c r="PD34" i="1"/>
  <c r="AP10" i="18" s="1"/>
  <c r="PD35" i="1"/>
  <c r="AP11" i="18" s="1"/>
  <c r="PD36" i="1"/>
  <c r="AP12" i="18" s="1"/>
  <c r="PD37" i="1"/>
  <c r="AP13" i="18" s="1"/>
  <c r="PD38" i="1"/>
  <c r="AP14" i="18" s="1"/>
  <c r="PD39" i="1"/>
  <c r="AP15" i="18" s="1"/>
  <c r="PD40" i="1"/>
  <c r="AP16" i="18" s="1"/>
  <c r="PD41" i="1"/>
  <c r="AP17" i="18" s="1"/>
  <c r="PD42" i="1"/>
  <c r="AP18" i="18" s="1"/>
  <c r="PD43" i="1"/>
  <c r="AP19" i="18" s="1"/>
  <c r="PD44" i="1"/>
  <c r="AP20" i="18" s="1"/>
  <c r="PD45" i="1"/>
  <c r="AP21" i="18" s="1"/>
  <c r="PD46" i="1"/>
  <c r="AP22" i="18" s="1"/>
  <c r="PD47" i="1"/>
  <c r="AP23" i="18" s="1"/>
  <c r="PD48" i="1"/>
  <c r="AP24" i="18" s="1"/>
  <c r="PD49" i="1"/>
  <c r="AP25" i="18" s="1"/>
  <c r="PD50" i="1"/>
  <c r="AP26" i="18" s="1"/>
  <c r="PD51" i="1"/>
  <c r="AP27" i="18" s="1"/>
  <c r="PD52" i="1"/>
  <c r="AP28" i="18" s="1"/>
  <c r="PD53" i="1"/>
  <c r="AP29" i="18" s="1"/>
  <c r="PD54" i="1"/>
  <c r="AP30" i="18" s="1"/>
  <c r="PD55" i="1"/>
  <c r="AP31" i="18" s="1"/>
  <c r="PD56" i="1"/>
  <c r="AP32" i="18" s="1"/>
  <c r="PD57" i="1"/>
  <c r="AP33" i="18" s="1"/>
  <c r="NH28" i="1"/>
  <c r="NI28" i="1" s="1"/>
  <c r="NH29" i="1"/>
  <c r="NH30" i="1"/>
  <c r="NH31" i="1"/>
  <c r="NI31" i="1" s="1"/>
  <c r="NH32" i="1"/>
  <c r="NI32" i="1" s="1"/>
  <c r="NH33" i="1"/>
  <c r="NI33" i="1" s="1"/>
  <c r="NH34" i="1"/>
  <c r="NH35" i="1"/>
  <c r="NH36" i="1"/>
  <c r="NH37" i="1"/>
  <c r="NH38" i="1"/>
  <c r="NH39" i="1"/>
  <c r="NH40" i="1"/>
  <c r="NI40" i="1" s="1"/>
  <c r="NH41" i="1"/>
  <c r="NI41" i="1" s="1"/>
  <c r="NH42" i="1"/>
  <c r="NH43" i="1"/>
  <c r="NH44" i="1"/>
  <c r="NI44" i="1" s="1"/>
  <c r="NH45" i="1"/>
  <c r="NI45" i="1" s="1"/>
  <c r="NH46" i="1"/>
  <c r="NH47" i="1"/>
  <c r="NH48" i="1"/>
  <c r="NI48" i="1" s="1"/>
  <c r="NH49" i="1"/>
  <c r="NI49" i="1" s="1"/>
  <c r="NH50" i="1"/>
  <c r="NH51" i="1"/>
  <c r="NH52" i="1"/>
  <c r="NI52" i="1" s="1"/>
  <c r="NH53" i="1"/>
  <c r="NI53" i="1" s="1"/>
  <c r="NH54" i="1"/>
  <c r="NI54" i="1" s="1"/>
  <c r="NH55" i="1"/>
  <c r="NI55" i="1" s="1"/>
  <c r="NH56" i="1"/>
  <c r="NI56" i="1" s="1"/>
  <c r="NH57" i="1"/>
  <c r="NI57" i="1" s="1"/>
  <c r="JJ28" i="1"/>
  <c r="JK28" i="1" s="1"/>
  <c r="JJ29" i="1"/>
  <c r="JJ30" i="1"/>
  <c r="JJ31" i="1"/>
  <c r="JJ32" i="1"/>
  <c r="JJ33" i="1"/>
  <c r="JK33" i="1" s="1"/>
  <c r="JJ34" i="1"/>
  <c r="JK34" i="1" s="1"/>
  <c r="JJ35" i="1"/>
  <c r="JK35" i="1" s="1"/>
  <c r="JJ36" i="1"/>
  <c r="JK36" i="1" s="1"/>
  <c r="JJ37" i="1"/>
  <c r="JJ38" i="1"/>
  <c r="JJ39" i="1"/>
  <c r="JJ40" i="1"/>
  <c r="JJ41" i="1"/>
  <c r="JJ42" i="1"/>
  <c r="JK42" i="1" s="1"/>
  <c r="JJ43" i="1"/>
  <c r="JK43" i="1" s="1"/>
  <c r="JJ44" i="1"/>
  <c r="JK44" i="1" s="1"/>
  <c r="JJ45" i="1"/>
  <c r="JJ46" i="1"/>
  <c r="JJ47" i="1"/>
  <c r="JK47" i="1" s="1"/>
  <c r="JJ48" i="1"/>
  <c r="JK48" i="1" s="1"/>
  <c r="JJ49" i="1"/>
  <c r="JJ50" i="1"/>
  <c r="JK50" i="1" s="1"/>
  <c r="JJ51" i="1"/>
  <c r="JK51" i="1" s="1"/>
  <c r="JJ52" i="1"/>
  <c r="JK52" i="1" s="1"/>
  <c r="JJ53" i="1"/>
  <c r="JJ54" i="1"/>
  <c r="JJ55" i="1"/>
  <c r="JK55" i="1" s="1"/>
  <c r="JJ56" i="1"/>
  <c r="JK56" i="1" s="1"/>
  <c r="JJ57" i="1"/>
  <c r="JK57" i="1" s="1"/>
  <c r="JA28" i="1"/>
  <c r="JB28" i="1" s="1"/>
  <c r="JA29" i="1"/>
  <c r="JB29" i="1" s="1"/>
  <c r="JA30" i="1"/>
  <c r="JB30" i="1" s="1"/>
  <c r="JA31" i="1"/>
  <c r="JB31" i="1" s="1"/>
  <c r="JA32" i="1"/>
  <c r="JA33" i="1"/>
  <c r="JA34" i="1"/>
  <c r="JA35" i="1"/>
  <c r="JA36" i="1"/>
  <c r="JB36" i="1" s="1"/>
  <c r="JA37" i="1"/>
  <c r="JB37" i="1" s="1"/>
  <c r="JA38" i="1"/>
  <c r="JB38" i="1" s="1"/>
  <c r="JA39" i="1"/>
  <c r="JB39" i="1" s="1"/>
  <c r="JA40" i="1"/>
  <c r="JA41" i="1"/>
  <c r="JA42" i="1"/>
  <c r="JA43" i="1"/>
  <c r="JA44" i="1"/>
  <c r="JB44" i="1" s="1"/>
  <c r="JA45" i="1"/>
  <c r="JB45" i="1" s="1"/>
  <c r="JA46" i="1"/>
  <c r="JB46" i="1" s="1"/>
  <c r="JA47" i="1"/>
  <c r="JB47" i="1" s="1"/>
  <c r="JA48" i="1"/>
  <c r="JA49" i="1"/>
  <c r="JA50" i="1"/>
  <c r="JB50" i="1" s="1"/>
  <c r="JA51" i="1"/>
  <c r="JB51" i="1" s="1"/>
  <c r="JA52" i="1"/>
  <c r="JB52" i="1" s="1"/>
  <c r="JA53" i="1"/>
  <c r="JB53" i="1" s="1"/>
  <c r="JA54" i="1"/>
  <c r="JB54" i="1" s="1"/>
  <c r="JA55" i="1"/>
  <c r="JB55" i="1" s="1"/>
  <c r="JA56" i="1"/>
  <c r="JA57" i="1"/>
  <c r="IR28" i="1"/>
  <c r="IS28" i="1" s="1"/>
  <c r="IR29" i="1"/>
  <c r="IS29" i="1" s="1"/>
  <c r="IR30" i="1"/>
  <c r="IS30" i="1" s="1"/>
  <c r="IR31" i="1"/>
  <c r="IS31" i="1" s="1"/>
  <c r="IR32" i="1"/>
  <c r="IS32" i="1" s="1"/>
  <c r="IR33" i="1"/>
  <c r="IS33" i="1" s="1"/>
  <c r="IR34" i="1"/>
  <c r="IR35" i="1"/>
  <c r="IR36" i="1"/>
  <c r="IR37" i="1"/>
  <c r="IR38" i="1"/>
  <c r="IS38" i="1" s="1"/>
  <c r="IR39" i="1"/>
  <c r="IS39" i="1" s="1"/>
  <c r="IR40" i="1"/>
  <c r="IS40" i="1" s="1"/>
  <c r="IR41" i="1"/>
  <c r="IS41" i="1" s="1"/>
  <c r="IR42" i="1"/>
  <c r="IS42" i="1" s="1"/>
  <c r="IR43" i="1"/>
  <c r="IR44" i="1"/>
  <c r="IR45" i="1"/>
  <c r="IR46" i="1"/>
  <c r="IS46" i="1" s="1"/>
  <c r="IR47" i="1"/>
  <c r="IS47" i="1" s="1"/>
  <c r="IR48" i="1"/>
  <c r="IS48" i="1" s="1"/>
  <c r="IR49" i="1"/>
  <c r="IS49" i="1" s="1"/>
  <c r="IR50" i="1"/>
  <c r="IS50" i="1" s="1"/>
  <c r="IR51" i="1"/>
  <c r="IR52" i="1"/>
  <c r="IR53" i="1"/>
  <c r="IS53" i="1" s="1"/>
  <c r="IR54" i="1"/>
  <c r="IS54" i="1" s="1"/>
  <c r="IR55" i="1"/>
  <c r="IS55" i="1" s="1"/>
  <c r="IR56" i="1"/>
  <c r="IS56" i="1" s="1"/>
  <c r="IR57" i="1"/>
  <c r="IS57" i="1" s="1"/>
  <c r="II28" i="1"/>
  <c r="II29" i="1"/>
  <c r="II30" i="1"/>
  <c r="II31" i="1"/>
  <c r="IJ31" i="1" s="1"/>
  <c r="II32" i="1"/>
  <c r="IJ32" i="1" s="1"/>
  <c r="II33" i="1"/>
  <c r="IJ33" i="1" s="1"/>
  <c r="II34" i="1"/>
  <c r="IJ34" i="1" s="1"/>
  <c r="II35" i="1"/>
  <c r="IJ35" i="1" s="1"/>
  <c r="II36" i="1"/>
  <c r="II37" i="1"/>
  <c r="II38" i="1"/>
  <c r="II39" i="1"/>
  <c r="II40" i="1"/>
  <c r="IJ40" i="1" s="1"/>
  <c r="II41" i="1"/>
  <c r="IJ41" i="1" s="1"/>
  <c r="II42" i="1"/>
  <c r="IJ42" i="1" s="1"/>
  <c r="II43" i="1"/>
  <c r="IJ43" i="1" s="1"/>
  <c r="II44" i="1"/>
  <c r="IJ44" i="1" s="1"/>
  <c r="II45" i="1"/>
  <c r="II46" i="1"/>
  <c r="II47" i="1"/>
  <c r="II48" i="1"/>
  <c r="IJ48" i="1" s="1"/>
  <c r="II49" i="1"/>
  <c r="IJ49" i="1" s="1"/>
  <c r="II50" i="1"/>
  <c r="IJ50" i="1" s="1"/>
  <c r="II51" i="1"/>
  <c r="IJ51" i="1" s="1"/>
  <c r="II52" i="1"/>
  <c r="IJ52" i="1" s="1"/>
  <c r="II53" i="1"/>
  <c r="II54" i="1"/>
  <c r="II55" i="1"/>
  <c r="IJ55" i="1" s="1"/>
  <c r="II56" i="1"/>
  <c r="IJ56" i="1" s="1"/>
  <c r="II57" i="1"/>
  <c r="IJ57" i="1" s="1"/>
  <c r="HZ28" i="1"/>
  <c r="IA28" i="1" s="1"/>
  <c r="HZ29" i="1"/>
  <c r="IA29" i="1" s="1"/>
  <c r="HZ30" i="1"/>
  <c r="HZ31" i="1"/>
  <c r="HZ32" i="1"/>
  <c r="HZ33" i="1"/>
  <c r="IA33" i="1" s="1"/>
  <c r="HZ34" i="1"/>
  <c r="IA34" i="1" s="1"/>
  <c r="HZ35" i="1"/>
  <c r="IA35" i="1" s="1"/>
  <c r="HZ36" i="1"/>
  <c r="IA36" i="1" s="1"/>
  <c r="HZ37" i="1"/>
  <c r="IA37" i="1" s="1"/>
  <c r="HZ38" i="1"/>
  <c r="HZ39" i="1"/>
  <c r="HZ40" i="1"/>
  <c r="HZ41" i="1"/>
  <c r="HZ42" i="1"/>
  <c r="IA42" i="1" s="1"/>
  <c r="HZ43" i="1"/>
  <c r="IA43" i="1" s="1"/>
  <c r="HZ44" i="1"/>
  <c r="IA44" i="1" s="1"/>
  <c r="HZ45" i="1"/>
  <c r="IA45" i="1" s="1"/>
  <c r="HZ46" i="1"/>
  <c r="IA46" i="1" s="1"/>
  <c r="HZ47" i="1"/>
  <c r="HZ48" i="1"/>
  <c r="HZ49" i="1"/>
  <c r="HZ50" i="1"/>
  <c r="IA50" i="1" s="1"/>
  <c r="HZ51" i="1"/>
  <c r="IA51" i="1" s="1"/>
  <c r="HZ52" i="1"/>
  <c r="IA52" i="1" s="1"/>
  <c r="HZ53" i="1"/>
  <c r="IA53" i="1" s="1"/>
  <c r="HZ54" i="1"/>
  <c r="IA54" i="1" s="1"/>
  <c r="HZ55" i="1"/>
  <c r="HZ56" i="1"/>
  <c r="HZ57" i="1"/>
  <c r="IA57" i="1" s="1"/>
  <c r="HQ28" i="1"/>
  <c r="HR28" i="1" s="1"/>
  <c r="HQ29" i="1"/>
  <c r="HR29" i="1" s="1"/>
  <c r="HQ30" i="1"/>
  <c r="HR30" i="1" s="1"/>
  <c r="HQ31" i="1"/>
  <c r="HR31" i="1" s="1"/>
  <c r="HQ32" i="1"/>
  <c r="HQ33" i="1"/>
  <c r="HQ34" i="1"/>
  <c r="HQ35" i="1"/>
  <c r="HQ36" i="1"/>
  <c r="HQ37" i="1"/>
  <c r="HR37" i="1" s="1"/>
  <c r="HQ38" i="1"/>
  <c r="HR38" i="1" s="1"/>
  <c r="HQ39" i="1"/>
  <c r="HR39" i="1" s="1"/>
  <c r="HQ40" i="1"/>
  <c r="HR40" i="1" s="1"/>
  <c r="HQ41" i="1"/>
  <c r="HQ42" i="1"/>
  <c r="HQ43" i="1"/>
  <c r="HQ44" i="1"/>
  <c r="HQ45" i="1"/>
  <c r="HR45" i="1" s="1"/>
  <c r="HQ46" i="1"/>
  <c r="HR46" i="1" s="1"/>
  <c r="HQ47" i="1"/>
  <c r="HR47" i="1" s="1"/>
  <c r="HQ48" i="1"/>
  <c r="HR48" i="1" s="1"/>
  <c r="HQ49" i="1"/>
  <c r="HR49" i="1" s="1"/>
  <c r="HQ50" i="1"/>
  <c r="HR50" i="1" s="1"/>
  <c r="HQ51" i="1"/>
  <c r="HQ52" i="1"/>
  <c r="HQ53" i="1"/>
  <c r="HR53" i="1" s="1"/>
  <c r="HQ54" i="1"/>
  <c r="HR54" i="1" s="1"/>
  <c r="HQ55" i="1"/>
  <c r="HR55" i="1" s="1"/>
  <c r="HQ56" i="1"/>
  <c r="HQ57" i="1"/>
  <c r="HR57" i="1" s="1"/>
  <c r="CZ28" i="1"/>
  <c r="X4" i="18" s="1"/>
  <c r="CZ29" i="1"/>
  <c r="X5" i="18" s="1"/>
  <c r="CZ30" i="1"/>
  <c r="X6" i="18" s="1"/>
  <c r="CZ31" i="1"/>
  <c r="X7" i="18" s="1"/>
  <c r="CZ32" i="1"/>
  <c r="X8" i="18" s="1"/>
  <c r="CZ33" i="1"/>
  <c r="X9" i="18" s="1"/>
  <c r="CZ34" i="1"/>
  <c r="X10" i="18" s="1"/>
  <c r="CZ35" i="1"/>
  <c r="X11" i="18" s="1"/>
  <c r="CZ36" i="1"/>
  <c r="X12" i="18" s="1"/>
  <c r="CZ37" i="1"/>
  <c r="X13" i="18" s="1"/>
  <c r="CZ38" i="1"/>
  <c r="X14" i="18" s="1"/>
  <c r="CZ39" i="1"/>
  <c r="X15" i="18" s="1"/>
  <c r="CZ40" i="1"/>
  <c r="X16" i="18" s="1"/>
  <c r="CZ41" i="1"/>
  <c r="X17" i="18" s="1"/>
  <c r="CZ42" i="1"/>
  <c r="X18" i="18" s="1"/>
  <c r="CZ43" i="1"/>
  <c r="X19" i="18" s="1"/>
  <c r="CZ44" i="1"/>
  <c r="X20" i="18" s="1"/>
  <c r="CZ45" i="1"/>
  <c r="X21" i="18" s="1"/>
  <c r="CZ46" i="1"/>
  <c r="X22" i="18" s="1"/>
  <c r="CZ47" i="1"/>
  <c r="X23" i="18" s="1"/>
  <c r="CZ48" i="1"/>
  <c r="X24" i="18" s="1"/>
  <c r="CZ49" i="1"/>
  <c r="X25" i="18" s="1"/>
  <c r="CZ50" i="1"/>
  <c r="X26" i="18" s="1"/>
  <c r="CZ51" i="1"/>
  <c r="X27" i="18" s="1"/>
  <c r="CZ52" i="1"/>
  <c r="X28" i="18" s="1"/>
  <c r="CZ53" i="1"/>
  <c r="X29" i="18" s="1"/>
  <c r="CZ54" i="1"/>
  <c r="X30" i="18" s="1"/>
  <c r="CZ55" i="1"/>
  <c r="X31" i="18" s="1"/>
  <c r="CZ56" i="1"/>
  <c r="X32" i="18" s="1"/>
  <c r="CZ57" i="1"/>
  <c r="X33" i="18" s="1"/>
  <c r="CN28" i="1"/>
  <c r="V4" i="18" s="1"/>
  <c r="CN29" i="1"/>
  <c r="V5" i="18" s="1"/>
  <c r="CN30" i="1"/>
  <c r="V6" i="18" s="1"/>
  <c r="CN31" i="1"/>
  <c r="V7" i="18" s="1"/>
  <c r="CN32" i="1"/>
  <c r="V8" i="18" s="1"/>
  <c r="CN33" i="1"/>
  <c r="V9" i="18" s="1"/>
  <c r="CN34" i="1"/>
  <c r="V10" i="18" s="1"/>
  <c r="CN35" i="1"/>
  <c r="V11" i="18" s="1"/>
  <c r="CN36" i="1"/>
  <c r="V12" i="18" s="1"/>
  <c r="CN37" i="1"/>
  <c r="V13" i="18" s="1"/>
  <c r="CN38" i="1"/>
  <c r="V14" i="18" s="1"/>
  <c r="CN39" i="1"/>
  <c r="V15" i="18" s="1"/>
  <c r="CN40" i="1"/>
  <c r="V16" i="18" s="1"/>
  <c r="CN41" i="1"/>
  <c r="V17" i="18" s="1"/>
  <c r="CN42" i="1"/>
  <c r="V18" i="18" s="1"/>
  <c r="CN43" i="1"/>
  <c r="V19" i="18" s="1"/>
  <c r="CN44" i="1"/>
  <c r="V20" i="18" s="1"/>
  <c r="CN45" i="1"/>
  <c r="V21" i="18" s="1"/>
  <c r="CN46" i="1"/>
  <c r="V22" i="18" s="1"/>
  <c r="CN47" i="1"/>
  <c r="V23" i="18" s="1"/>
  <c r="CN48" i="1"/>
  <c r="V24" i="18" s="1"/>
  <c r="CN49" i="1"/>
  <c r="V25" i="18" s="1"/>
  <c r="CN50" i="1"/>
  <c r="V26" i="18" s="1"/>
  <c r="CN51" i="1"/>
  <c r="V27" i="18" s="1"/>
  <c r="CN52" i="1"/>
  <c r="V28" i="18" s="1"/>
  <c r="CN53" i="1"/>
  <c r="V29" i="18" s="1"/>
  <c r="CN54" i="1"/>
  <c r="V30" i="18" s="1"/>
  <c r="CN55" i="1"/>
  <c r="V31" i="18" s="1"/>
  <c r="CN56" i="1"/>
  <c r="V32" i="18" s="1"/>
  <c r="CN57" i="1"/>
  <c r="V33" i="18" s="1"/>
  <c r="CB28" i="1"/>
  <c r="T4" i="18" s="1"/>
  <c r="CB29" i="1"/>
  <c r="T5" i="18" s="1"/>
  <c r="CB30" i="1"/>
  <c r="T6" i="18" s="1"/>
  <c r="CB31" i="1"/>
  <c r="T7" i="18" s="1"/>
  <c r="CB32" i="1"/>
  <c r="T8" i="18" s="1"/>
  <c r="CB33" i="1"/>
  <c r="T9" i="18" s="1"/>
  <c r="CB34" i="1"/>
  <c r="T10" i="18" s="1"/>
  <c r="CB35" i="1"/>
  <c r="T11" i="18" s="1"/>
  <c r="CB36" i="1"/>
  <c r="T12" i="18" s="1"/>
  <c r="CB37" i="1"/>
  <c r="T13" i="18" s="1"/>
  <c r="CB38" i="1"/>
  <c r="T14" i="18" s="1"/>
  <c r="CB39" i="1"/>
  <c r="T15" i="18" s="1"/>
  <c r="CB40" i="1"/>
  <c r="T16" i="18" s="1"/>
  <c r="CB41" i="1"/>
  <c r="T17" i="18" s="1"/>
  <c r="CB42" i="1"/>
  <c r="T18" i="18" s="1"/>
  <c r="CB43" i="1"/>
  <c r="T19" i="18" s="1"/>
  <c r="CB44" i="1"/>
  <c r="T20" i="18" s="1"/>
  <c r="CB45" i="1"/>
  <c r="T21" i="18" s="1"/>
  <c r="CB46" i="1"/>
  <c r="T22" i="18" s="1"/>
  <c r="CB47" i="1"/>
  <c r="T23" i="18" s="1"/>
  <c r="CB48" i="1"/>
  <c r="T24" i="18" s="1"/>
  <c r="CB49" i="1"/>
  <c r="T25" i="18" s="1"/>
  <c r="CB50" i="1"/>
  <c r="T26" i="18" s="1"/>
  <c r="CB51" i="1"/>
  <c r="T27" i="18" s="1"/>
  <c r="CB52" i="1"/>
  <c r="T28" i="18" s="1"/>
  <c r="CB53" i="1"/>
  <c r="T29" i="18" s="1"/>
  <c r="CB54" i="1"/>
  <c r="T30" i="18" s="1"/>
  <c r="CB55" i="1"/>
  <c r="T31" i="18" s="1"/>
  <c r="CB56" i="1"/>
  <c r="T32" i="18" s="1"/>
  <c r="CB57" i="1"/>
  <c r="T33" i="18" s="1"/>
  <c r="BP28" i="1"/>
  <c r="R4" i="18" s="1"/>
  <c r="BP29" i="1"/>
  <c r="R5" i="18" s="1"/>
  <c r="BP30" i="1"/>
  <c r="R6" i="18" s="1"/>
  <c r="BP31" i="1"/>
  <c r="R7" i="18" s="1"/>
  <c r="BP32" i="1"/>
  <c r="R8" i="18" s="1"/>
  <c r="BP33" i="1"/>
  <c r="R9" i="18" s="1"/>
  <c r="BP34" i="1"/>
  <c r="R10" i="18" s="1"/>
  <c r="BP35" i="1"/>
  <c r="R11" i="18" s="1"/>
  <c r="BP36" i="1"/>
  <c r="R12" i="18" s="1"/>
  <c r="BP37" i="1"/>
  <c r="R13" i="18" s="1"/>
  <c r="BP38" i="1"/>
  <c r="R14" i="18" s="1"/>
  <c r="BP39" i="1"/>
  <c r="R15" i="18" s="1"/>
  <c r="BP40" i="1"/>
  <c r="R16" i="18" s="1"/>
  <c r="BP41" i="1"/>
  <c r="R17" i="18" s="1"/>
  <c r="BP42" i="1"/>
  <c r="R18" i="18" s="1"/>
  <c r="BP43" i="1"/>
  <c r="R19" i="18" s="1"/>
  <c r="BP44" i="1"/>
  <c r="R20" i="18" s="1"/>
  <c r="BP45" i="1"/>
  <c r="R21" i="18" s="1"/>
  <c r="BP46" i="1"/>
  <c r="R22" i="18" s="1"/>
  <c r="BP47" i="1"/>
  <c r="R23" i="18" s="1"/>
  <c r="BP48" i="1"/>
  <c r="R24" i="18" s="1"/>
  <c r="BP49" i="1"/>
  <c r="R25" i="18" s="1"/>
  <c r="BP50" i="1"/>
  <c r="R26" i="18" s="1"/>
  <c r="BP51" i="1"/>
  <c r="R27" i="18" s="1"/>
  <c r="BP52" i="1"/>
  <c r="R28" i="18" s="1"/>
  <c r="BP53" i="1"/>
  <c r="R29" i="18" s="1"/>
  <c r="BP54" i="1"/>
  <c r="R30" i="18" s="1"/>
  <c r="BP55" i="1"/>
  <c r="R31" i="18" s="1"/>
  <c r="BP56" i="1"/>
  <c r="R32" i="18" s="1"/>
  <c r="BP57" i="1"/>
  <c r="R33" i="18" s="1"/>
  <c r="BD28" i="1"/>
  <c r="P4" i="18" s="1"/>
  <c r="BD29" i="1"/>
  <c r="P5" i="18" s="1"/>
  <c r="BD30" i="1"/>
  <c r="P6" i="18" s="1"/>
  <c r="BD31" i="1"/>
  <c r="P7" i="18" s="1"/>
  <c r="BD32" i="1"/>
  <c r="P8" i="18" s="1"/>
  <c r="BD33" i="1"/>
  <c r="P9" i="18" s="1"/>
  <c r="BD34" i="1"/>
  <c r="P10" i="18" s="1"/>
  <c r="BD35" i="1"/>
  <c r="P11" i="18" s="1"/>
  <c r="BD36" i="1"/>
  <c r="P12" i="18" s="1"/>
  <c r="BD37" i="1"/>
  <c r="P13" i="18" s="1"/>
  <c r="BD38" i="1"/>
  <c r="P14" i="18" s="1"/>
  <c r="BD39" i="1"/>
  <c r="P15" i="18" s="1"/>
  <c r="BD40" i="1"/>
  <c r="P16" i="18" s="1"/>
  <c r="BD41" i="1"/>
  <c r="P17" i="18" s="1"/>
  <c r="BD42" i="1"/>
  <c r="P18" i="18" s="1"/>
  <c r="BD43" i="1"/>
  <c r="P19" i="18" s="1"/>
  <c r="BD44" i="1"/>
  <c r="P20" i="18" s="1"/>
  <c r="BD45" i="1"/>
  <c r="P21" i="18" s="1"/>
  <c r="BD46" i="1"/>
  <c r="P22" i="18" s="1"/>
  <c r="BD47" i="1"/>
  <c r="P23" i="18" s="1"/>
  <c r="BD48" i="1"/>
  <c r="P24" i="18" s="1"/>
  <c r="BD49" i="1"/>
  <c r="P25" i="18" s="1"/>
  <c r="BD50" i="1"/>
  <c r="P26" i="18" s="1"/>
  <c r="BD51" i="1"/>
  <c r="P27" i="18" s="1"/>
  <c r="BD52" i="1"/>
  <c r="P28" i="18" s="1"/>
  <c r="BD53" i="1"/>
  <c r="P29" i="18" s="1"/>
  <c r="BD54" i="1"/>
  <c r="P30" i="18" s="1"/>
  <c r="BD55" i="1"/>
  <c r="P31" i="18" s="1"/>
  <c r="BD56" i="1"/>
  <c r="P32" i="18" s="1"/>
  <c r="BD57" i="1"/>
  <c r="P33" i="18" s="1"/>
  <c r="AR28" i="1"/>
  <c r="AAL28" i="1" s="1"/>
  <c r="AR29" i="1"/>
  <c r="AAL29" i="1" s="1"/>
  <c r="AR30" i="1"/>
  <c r="AAL30" i="1" s="1"/>
  <c r="AR31" i="1"/>
  <c r="AAL31" i="1" s="1"/>
  <c r="AR32" i="1"/>
  <c r="AAL32" i="1" s="1"/>
  <c r="AR33" i="1"/>
  <c r="AAL33" i="1" s="1"/>
  <c r="AR34" i="1"/>
  <c r="AR35" i="1"/>
  <c r="AAL35" i="1" s="1"/>
  <c r="AR36" i="1"/>
  <c r="AAL36" i="1" s="1"/>
  <c r="AR37" i="1"/>
  <c r="AAL37" i="1" s="1"/>
  <c r="AR38" i="1"/>
  <c r="AAL38" i="1" s="1"/>
  <c r="AR39" i="1"/>
  <c r="AAL39" i="1" s="1"/>
  <c r="AR40" i="1"/>
  <c r="AAL40" i="1" s="1"/>
  <c r="AR41" i="1"/>
  <c r="AR42" i="1"/>
  <c r="AR43" i="1"/>
  <c r="AAL43" i="1" s="1"/>
  <c r="AR44" i="1"/>
  <c r="AAL44" i="1" s="1"/>
  <c r="AR45" i="1"/>
  <c r="AAL45" i="1" s="1"/>
  <c r="AR46" i="1"/>
  <c r="AAL46" i="1" s="1"/>
  <c r="AR47" i="1"/>
  <c r="AAL47" i="1" s="1"/>
  <c r="AR48" i="1"/>
  <c r="AAL48" i="1" s="1"/>
  <c r="AR49" i="1"/>
  <c r="AAL49" i="1" s="1"/>
  <c r="AR50" i="1"/>
  <c r="AAL50" i="1" s="1"/>
  <c r="AR51" i="1"/>
  <c r="AAL51" i="1" s="1"/>
  <c r="AR52" i="1"/>
  <c r="AAL52" i="1" s="1"/>
  <c r="AR53" i="1"/>
  <c r="AAL53" i="1" s="1"/>
  <c r="AR54" i="1"/>
  <c r="AAL54" i="1" s="1"/>
  <c r="AR55" i="1"/>
  <c r="AAL55" i="1" s="1"/>
  <c r="AR56" i="1"/>
  <c r="AAL56" i="1" s="1"/>
  <c r="AR57" i="1"/>
  <c r="AF28" i="1"/>
  <c r="AF29" i="1"/>
  <c r="AAF29" i="1" s="1"/>
  <c r="AF30" i="1"/>
  <c r="AAF30" i="1" s="1"/>
  <c r="AF31" i="1"/>
  <c r="AAF31" i="1" s="1"/>
  <c r="AF32" i="1"/>
  <c r="AAF32" i="1" s="1"/>
  <c r="AF33" i="1"/>
  <c r="AAF33" i="1" s="1"/>
  <c r="AF34" i="1"/>
  <c r="AAF34" i="1" s="1"/>
  <c r="AF35" i="1"/>
  <c r="AF36" i="1"/>
  <c r="AAF36" i="1" s="1"/>
  <c r="AF37" i="1"/>
  <c r="AAF37" i="1" s="1"/>
  <c r="AF38" i="1"/>
  <c r="AAF38" i="1" s="1"/>
  <c r="AF39" i="1"/>
  <c r="AAF39" i="1" s="1"/>
  <c r="AF40" i="1"/>
  <c r="AAF40" i="1" s="1"/>
  <c r="AF41" i="1"/>
  <c r="AAF41" i="1" s="1"/>
  <c r="AF42" i="1"/>
  <c r="AAF42" i="1" s="1"/>
  <c r="AF43" i="1"/>
  <c r="AF44" i="1"/>
  <c r="AF45" i="1"/>
  <c r="AAF45" i="1" s="1"/>
  <c r="AF46" i="1"/>
  <c r="AAF46" i="1" s="1"/>
  <c r="AF47" i="1"/>
  <c r="AAF47" i="1" s="1"/>
  <c r="AF48" i="1"/>
  <c r="AAF48" i="1" s="1"/>
  <c r="AF49" i="1"/>
  <c r="AAF49" i="1" s="1"/>
  <c r="AF50" i="1"/>
  <c r="AAF50" i="1" s="1"/>
  <c r="AF51" i="1"/>
  <c r="AF52" i="1"/>
  <c r="AAF52" i="1" s="1"/>
  <c r="AF53" i="1"/>
  <c r="AAF53" i="1" s="1"/>
  <c r="AF54" i="1"/>
  <c r="AAF54" i="1" s="1"/>
  <c r="AF55" i="1"/>
  <c r="AAF55" i="1" s="1"/>
  <c r="AF56" i="1"/>
  <c r="AAF56" i="1" s="1"/>
  <c r="AF57" i="1"/>
  <c r="AAF57" i="1" s="1"/>
  <c r="T28" i="1"/>
  <c r="ABV28" i="1" s="1"/>
  <c r="T29" i="1"/>
  <c r="T30" i="1"/>
  <c r="ABV30" i="1" s="1"/>
  <c r="T31" i="1"/>
  <c r="ABV31" i="1" s="1"/>
  <c r="T32" i="1"/>
  <c r="ABV32" i="1" s="1"/>
  <c r="T33" i="1"/>
  <c r="ABV33" i="1" s="1"/>
  <c r="T34" i="1"/>
  <c r="ABV34" i="1" s="1"/>
  <c r="T35" i="1"/>
  <c r="ABV35" i="1" s="1"/>
  <c r="T36" i="1"/>
  <c r="ABV36" i="1" s="1"/>
  <c r="T37" i="1"/>
  <c r="T38" i="1"/>
  <c r="T39" i="1"/>
  <c r="ABV39" i="1" s="1"/>
  <c r="T40" i="1"/>
  <c r="ABV40" i="1" s="1"/>
  <c r="T41" i="1"/>
  <c r="ABV41" i="1" s="1"/>
  <c r="T42" i="1"/>
  <c r="ABV42" i="1" s="1"/>
  <c r="T43" i="1"/>
  <c r="ABV43" i="1" s="1"/>
  <c r="T44" i="1"/>
  <c r="ABV44" i="1" s="1"/>
  <c r="T45" i="1"/>
  <c r="T46" i="1"/>
  <c r="ABV46" i="1" s="1"/>
  <c r="T47" i="1"/>
  <c r="ABV47" i="1" s="1"/>
  <c r="T48" i="1"/>
  <c r="ABV48" i="1" s="1"/>
  <c r="T49" i="1"/>
  <c r="ABV49" i="1" s="1"/>
  <c r="T50" i="1"/>
  <c r="ABV50" i="1" s="1"/>
  <c r="T51" i="1"/>
  <c r="ABV51" i="1" s="1"/>
  <c r="T52" i="1"/>
  <c r="ABV52" i="1" s="1"/>
  <c r="T53" i="1"/>
  <c r="T54" i="1"/>
  <c r="T55" i="1"/>
  <c r="ABV55" i="1" s="1"/>
  <c r="T56" i="1"/>
  <c r="ABV56" i="1" s="1"/>
  <c r="T57" i="1"/>
  <c r="ABV57" i="1" s="1"/>
  <c r="H28" i="1"/>
  <c r="ABP28" i="1" s="1"/>
  <c r="H29" i="1"/>
  <c r="ABP29" i="1" s="1"/>
  <c r="H30" i="1"/>
  <c r="ABP30" i="1" s="1"/>
  <c r="H31" i="1"/>
  <c r="H32" i="1"/>
  <c r="ABP32" i="1" s="1"/>
  <c r="H33" i="1"/>
  <c r="ABP33" i="1" s="1"/>
  <c r="H34" i="1"/>
  <c r="ABP34" i="1" s="1"/>
  <c r="H35" i="1"/>
  <c r="ABP35" i="1" s="1"/>
  <c r="H36" i="1"/>
  <c r="ABP36" i="1" s="1"/>
  <c r="H37" i="1"/>
  <c r="ABP37" i="1" s="1"/>
  <c r="H38" i="1"/>
  <c r="ABP38" i="1" s="1"/>
  <c r="H39" i="1"/>
  <c r="ABP39" i="1" s="1"/>
  <c r="H40" i="1"/>
  <c r="H41" i="1"/>
  <c r="ABP41" i="1" s="1"/>
  <c r="H42" i="1"/>
  <c r="ABP42" i="1" s="1"/>
  <c r="H43" i="1"/>
  <c r="ABP43" i="1" s="1"/>
  <c r="H44" i="1"/>
  <c r="ABP44" i="1" s="1"/>
  <c r="H45" i="1"/>
  <c r="ABP45" i="1" s="1"/>
  <c r="H46" i="1"/>
  <c r="ABP46" i="1" s="1"/>
  <c r="H47" i="1"/>
  <c r="ABP47" i="1" s="1"/>
  <c r="H48" i="1"/>
  <c r="H49" i="1"/>
  <c r="ABP49" i="1" s="1"/>
  <c r="H50" i="1"/>
  <c r="ABP50" i="1" s="1"/>
  <c r="H51" i="1"/>
  <c r="ABP51" i="1" s="1"/>
  <c r="H52" i="1"/>
  <c r="ABP52" i="1" s="1"/>
  <c r="H53" i="1"/>
  <c r="ABP53" i="1" s="1"/>
  <c r="H54" i="1"/>
  <c r="ABP54" i="1" s="1"/>
  <c r="H55" i="1"/>
  <c r="ABP55" i="1" s="1"/>
  <c r="H56" i="1"/>
  <c r="H57" i="1"/>
  <c r="ABP57" i="1" s="1"/>
  <c r="XL27" i="1"/>
  <c r="RJ27" i="1"/>
  <c r="OQ27" i="1"/>
  <c r="OQ7" i="1" s="1"/>
  <c r="OQ12" i="1" s="1"/>
  <c r="HB27" i="1"/>
  <c r="BE37" i="4"/>
  <c r="BE36" i="4"/>
  <c r="BE38" i="4"/>
  <c r="BH30" i="4" a="1"/>
  <c r="BE35" i="4"/>
  <c r="AI6" i="4"/>
  <c r="BE40" i="4"/>
  <c r="BE39" i="4"/>
  <c r="ACD43" i="1" l="1"/>
  <c r="BJ12" i="18"/>
  <c r="AAT35" i="1"/>
  <c r="BJ8" i="18"/>
  <c r="BJ7" i="18"/>
  <c r="BJ6" i="18"/>
  <c r="BJ5" i="18"/>
  <c r="BJ4" i="18"/>
  <c r="BH30" i="4"/>
  <c r="ACD35" i="1"/>
  <c r="ABF38" i="1"/>
  <c r="ACD57" i="1"/>
  <c r="AD28" i="18"/>
  <c r="AAT39" i="1"/>
  <c r="ACD40" i="1"/>
  <c r="AD10" i="18"/>
  <c r="BJ32" i="18"/>
  <c r="ABF53" i="1"/>
  <c r="ACD49" i="1"/>
  <c r="AJ24" i="18"/>
  <c r="ACD44" i="1"/>
  <c r="N24" i="18"/>
  <c r="AJ12" i="18"/>
  <c r="H7" i="18"/>
  <c r="ABP31" i="1"/>
  <c r="L19" i="18"/>
  <c r="AAF43" i="1"/>
  <c r="H32" i="18"/>
  <c r="ABP56" i="1"/>
  <c r="H24" i="18"/>
  <c r="ABP48" i="1"/>
  <c r="H16" i="18"/>
  <c r="ABP40" i="1"/>
  <c r="J30" i="18"/>
  <c r="ABV54" i="1"/>
  <c r="J14" i="18"/>
  <c r="ABV38" i="1"/>
  <c r="L20" i="18"/>
  <c r="AAF44" i="1"/>
  <c r="L4" i="18"/>
  <c r="AAF28" i="1"/>
  <c r="N18" i="18"/>
  <c r="AAL42" i="1"/>
  <c r="N10" i="18"/>
  <c r="AAL34" i="1"/>
  <c r="N32" i="18"/>
  <c r="BL9" i="18"/>
  <c r="ABF37" i="1"/>
  <c r="AF7" i="18"/>
  <c r="AN24" i="18"/>
  <c r="BD28" i="18"/>
  <c r="BN7" i="18"/>
  <c r="J5" i="18"/>
  <c r="ABV29" i="1"/>
  <c r="AF6" i="18"/>
  <c r="AN9" i="18"/>
  <c r="BD27" i="18"/>
  <c r="J29" i="18"/>
  <c r="ABV53" i="1"/>
  <c r="L27" i="18"/>
  <c r="AAF51" i="1"/>
  <c r="N17" i="18"/>
  <c r="AAL41" i="1"/>
  <c r="ACD53" i="1"/>
  <c r="AH22" i="18"/>
  <c r="AN8" i="18"/>
  <c r="J21" i="18"/>
  <c r="ABV45" i="1"/>
  <c r="L11" i="18"/>
  <c r="AAF35" i="1"/>
  <c r="ACD52" i="1"/>
  <c r="Z26" i="18"/>
  <c r="AH14" i="18"/>
  <c r="BL33" i="18"/>
  <c r="J13" i="18"/>
  <c r="ABV37" i="1"/>
  <c r="N33" i="18"/>
  <c r="AAL57" i="1"/>
  <c r="N16" i="18"/>
  <c r="AF16" i="18"/>
  <c r="AN25" i="18"/>
  <c r="AAT55" i="1"/>
  <c r="AB12" i="18"/>
  <c r="AJ32" i="18"/>
  <c r="BL10" i="18"/>
  <c r="AZ17" i="4"/>
  <c r="AZ31" i="4"/>
  <c r="AZ33" i="4"/>
  <c r="AZ10" i="4"/>
  <c r="AZ16" i="4"/>
  <c r="AZ32" i="4"/>
  <c r="AZ18" i="4"/>
  <c r="AZ11" i="4"/>
  <c r="AZ29" i="4"/>
  <c r="AZ15" i="4"/>
  <c r="AZ9" i="4"/>
  <c r="AZ19" i="4"/>
  <c r="AZ20" i="4"/>
  <c r="AZ34" i="4"/>
  <c r="AZ23" i="4"/>
  <c r="AZ21" i="4"/>
  <c r="Z15" i="18"/>
  <c r="AB21" i="18"/>
  <c r="AD19" i="18"/>
  <c r="AR23" i="18"/>
  <c r="BD13" i="18"/>
  <c r="AAT48" i="1"/>
  <c r="H31" i="18"/>
  <c r="N27" i="18"/>
  <c r="N19" i="18"/>
  <c r="N9" i="18"/>
  <c r="Z23" i="18"/>
  <c r="Z14" i="18"/>
  <c r="AB29" i="18"/>
  <c r="AB20" i="18"/>
  <c r="AB11" i="18"/>
  <c r="AD27" i="18"/>
  <c r="AD18" i="18"/>
  <c r="AD9" i="18"/>
  <c r="AF24" i="18"/>
  <c r="AF15" i="18"/>
  <c r="AH21" i="18"/>
  <c r="AH13" i="18"/>
  <c r="AJ31" i="18"/>
  <c r="AJ20" i="18"/>
  <c r="AJ11" i="18"/>
  <c r="AR22" i="18"/>
  <c r="BD12" i="18"/>
  <c r="BL22" i="18"/>
  <c r="AAT47" i="1"/>
  <c r="ACD33" i="1"/>
  <c r="H30" i="18"/>
  <c r="N26" i="18"/>
  <c r="N8" i="18"/>
  <c r="Z22" i="18"/>
  <c r="Z13" i="18"/>
  <c r="AB28" i="18"/>
  <c r="AB19" i="18"/>
  <c r="AB10" i="18"/>
  <c r="AD26" i="18"/>
  <c r="AD17" i="18"/>
  <c r="AD8" i="18"/>
  <c r="AF23" i="18"/>
  <c r="AF14" i="18"/>
  <c r="AH26" i="18"/>
  <c r="AH20" i="18"/>
  <c r="AH12" i="18"/>
  <c r="AJ28" i="18"/>
  <c r="AJ19" i="18"/>
  <c r="AJ10" i="18"/>
  <c r="AN17" i="18"/>
  <c r="AR15" i="18"/>
  <c r="BD24" i="18"/>
  <c r="BD11" i="18"/>
  <c r="BL32" i="18"/>
  <c r="BL19" i="18"/>
  <c r="BN17" i="18"/>
  <c r="AB33" i="18"/>
  <c r="AF25" i="18"/>
  <c r="BL27" i="18"/>
  <c r="AAT40" i="1"/>
  <c r="ABF45" i="1"/>
  <c r="ACD32" i="1"/>
  <c r="N25" i="18"/>
  <c r="N6" i="18"/>
  <c r="Z21" i="18"/>
  <c r="Z6" i="18"/>
  <c r="AB27" i="18"/>
  <c r="AB18" i="18"/>
  <c r="AD32" i="18"/>
  <c r="AD25" i="18"/>
  <c r="AD16" i="18"/>
  <c r="AF30" i="18"/>
  <c r="AF17" i="18"/>
  <c r="AF8" i="18"/>
  <c r="AH23" i="18"/>
  <c r="AH15" i="18"/>
  <c r="AH5" i="18"/>
  <c r="AJ27" i="18"/>
  <c r="AJ18" i="18"/>
  <c r="AN28" i="18"/>
  <c r="AN16" i="18"/>
  <c r="AR33" i="18"/>
  <c r="AR14" i="18"/>
  <c r="BD14" i="18"/>
  <c r="BD5" i="18"/>
  <c r="BL30" i="18"/>
  <c r="BL11" i="18"/>
  <c r="TL28" i="1"/>
  <c r="N23" i="18"/>
  <c r="IJ47" i="1"/>
  <c r="AD23" i="18"/>
  <c r="JB43" i="1"/>
  <c r="AH19" i="18"/>
  <c r="N28" i="18"/>
  <c r="N12" i="18"/>
  <c r="HR32" i="1"/>
  <c r="Z8" i="18"/>
  <c r="IJ36" i="1"/>
  <c r="AD12" i="18"/>
  <c r="JB56" i="1"/>
  <c r="AH32" i="18"/>
  <c r="JB32" i="1"/>
  <c r="AH8" i="18"/>
  <c r="JK46" i="1"/>
  <c r="AJ22" i="18"/>
  <c r="JK30" i="1"/>
  <c r="AJ6" i="18"/>
  <c r="TL46" i="1"/>
  <c r="BD22" i="18"/>
  <c r="BN14" i="18"/>
  <c r="ACD38" i="1"/>
  <c r="Z33" i="18"/>
  <c r="AD7" i="18"/>
  <c r="BN5" i="18"/>
  <c r="ACD29" i="1"/>
  <c r="N7" i="18"/>
  <c r="Z24" i="18"/>
  <c r="AD31" i="18"/>
  <c r="AF26" i="18"/>
  <c r="AJ33" i="18"/>
  <c r="AN29" i="18"/>
  <c r="BD15" i="18"/>
  <c r="BN21" i="18"/>
  <c r="HR51" i="1"/>
  <c r="Z27" i="18"/>
  <c r="IS37" i="1"/>
  <c r="AF13" i="18"/>
  <c r="JB35" i="1"/>
  <c r="AH11" i="18"/>
  <c r="JK49" i="1"/>
  <c r="AJ25" i="18"/>
  <c r="NI47" i="1"/>
  <c r="AN23" i="18"/>
  <c r="PQ51" i="1"/>
  <c r="AR27" i="18"/>
  <c r="TL41" i="1"/>
  <c r="BD17" i="18"/>
  <c r="ABF50" i="1"/>
  <c r="BL26" i="18"/>
  <c r="ABF42" i="1"/>
  <c r="BL18" i="18"/>
  <c r="H19" i="18"/>
  <c r="AB30" i="18"/>
  <c r="AN7" i="18"/>
  <c r="BJ25" i="18"/>
  <c r="N30" i="18"/>
  <c r="N22" i="18"/>
  <c r="N14" i="18"/>
  <c r="HR42" i="1"/>
  <c r="Z18" i="18"/>
  <c r="HR34" i="1"/>
  <c r="Z10" i="18"/>
  <c r="IA56" i="1"/>
  <c r="AB32" i="18"/>
  <c r="IA48" i="1"/>
  <c r="AB24" i="18"/>
  <c r="IA40" i="1"/>
  <c r="AB16" i="18"/>
  <c r="IA32" i="1"/>
  <c r="AB8" i="18"/>
  <c r="IJ54" i="1"/>
  <c r="AD30" i="18"/>
  <c r="IJ46" i="1"/>
  <c r="AD22" i="18"/>
  <c r="IJ38" i="1"/>
  <c r="AD14" i="18"/>
  <c r="IJ30" i="1"/>
  <c r="AD6" i="18"/>
  <c r="IS52" i="1"/>
  <c r="AF28" i="18"/>
  <c r="IS44" i="1"/>
  <c r="AF20" i="18"/>
  <c r="IS36" i="1"/>
  <c r="AF12" i="18"/>
  <c r="JB42" i="1"/>
  <c r="AH18" i="18"/>
  <c r="JB34" i="1"/>
  <c r="AH10" i="18"/>
  <c r="JK40" i="1"/>
  <c r="AJ16" i="18"/>
  <c r="JK32" i="1"/>
  <c r="AJ8" i="18"/>
  <c r="NI46" i="1"/>
  <c r="AN22" i="18"/>
  <c r="NI38" i="1"/>
  <c r="AN14" i="18"/>
  <c r="NI30" i="1"/>
  <c r="AN6" i="18"/>
  <c r="PQ50" i="1"/>
  <c r="AR26" i="18"/>
  <c r="PQ42" i="1"/>
  <c r="AR18" i="18"/>
  <c r="PQ34" i="1"/>
  <c r="AR10" i="18"/>
  <c r="TL56" i="1"/>
  <c r="BD32" i="18"/>
  <c r="TL32" i="1"/>
  <c r="BD8" i="18"/>
  <c r="AAT51" i="1"/>
  <c r="BJ27" i="18"/>
  <c r="AAT43" i="1"/>
  <c r="BJ19" i="18"/>
  <c r="ABF49" i="1"/>
  <c r="BL25" i="18"/>
  <c r="ABF41" i="1"/>
  <c r="BL17" i="18"/>
  <c r="BN32" i="18"/>
  <c r="ACD56" i="1"/>
  <c r="BN24" i="18"/>
  <c r="ACD48" i="1"/>
  <c r="H18" i="18"/>
  <c r="BN31" i="18"/>
  <c r="HR43" i="1"/>
  <c r="Z19" i="18"/>
  <c r="IA41" i="1"/>
  <c r="AB17" i="18"/>
  <c r="JK41" i="1"/>
  <c r="AJ17" i="18"/>
  <c r="NI39" i="1"/>
  <c r="AN15" i="18"/>
  <c r="PQ43" i="1"/>
  <c r="AR19" i="18"/>
  <c r="TL57" i="1"/>
  <c r="BD33" i="18"/>
  <c r="TL49" i="1"/>
  <c r="BD25" i="18"/>
  <c r="TL33" i="1"/>
  <c r="BD9" i="18"/>
  <c r="H27" i="18"/>
  <c r="N29" i="18"/>
  <c r="N21" i="18"/>
  <c r="N13" i="18"/>
  <c r="N5" i="18"/>
  <c r="HR41" i="1"/>
  <c r="Z17" i="18"/>
  <c r="HR33" i="1"/>
  <c r="Z9" i="18"/>
  <c r="IA55" i="1"/>
  <c r="AB31" i="18"/>
  <c r="IA47" i="1"/>
  <c r="AB23" i="18"/>
  <c r="IA39" i="1"/>
  <c r="AB15" i="18"/>
  <c r="IA31" i="1"/>
  <c r="AB7" i="18"/>
  <c r="IJ53" i="1"/>
  <c r="AD29" i="18"/>
  <c r="IJ45" i="1"/>
  <c r="AD21" i="18"/>
  <c r="IJ37" i="1"/>
  <c r="AD13" i="18"/>
  <c r="IJ29" i="1"/>
  <c r="AD5" i="18"/>
  <c r="IS51" i="1"/>
  <c r="AF27" i="18"/>
  <c r="IS43" i="1"/>
  <c r="AF19" i="18"/>
  <c r="IS35" i="1"/>
  <c r="AF11" i="18"/>
  <c r="JB57" i="1"/>
  <c r="AH33" i="18"/>
  <c r="JB49" i="1"/>
  <c r="AH25" i="18"/>
  <c r="JB41" i="1"/>
  <c r="AH17" i="18"/>
  <c r="JB33" i="1"/>
  <c r="AH9" i="18"/>
  <c r="JK39" i="1"/>
  <c r="AJ15" i="18"/>
  <c r="JK31" i="1"/>
  <c r="AJ7" i="18"/>
  <c r="NI37" i="1"/>
  <c r="AN13" i="18"/>
  <c r="NI29" i="1"/>
  <c r="AN5" i="18"/>
  <c r="PQ41" i="1"/>
  <c r="AR17" i="18"/>
  <c r="PQ33" i="1"/>
  <c r="AR9" i="18"/>
  <c r="TL55" i="1"/>
  <c r="BD31" i="18"/>
  <c r="TL47" i="1"/>
  <c r="BD23" i="18"/>
  <c r="TL31" i="1"/>
  <c r="BD7" i="18"/>
  <c r="AAT50" i="1"/>
  <c r="BJ26" i="18"/>
  <c r="AAT42" i="1"/>
  <c r="BJ18" i="18"/>
  <c r="AAT34" i="1"/>
  <c r="BJ10" i="18"/>
  <c r="ABF48" i="1"/>
  <c r="BL24" i="18"/>
  <c r="ABF40" i="1"/>
  <c r="BL16" i="18"/>
  <c r="ABF32" i="1"/>
  <c r="BL8" i="18"/>
  <c r="BN23" i="18"/>
  <c r="ACD47" i="1"/>
  <c r="BN15" i="18"/>
  <c r="ACD39" i="1"/>
  <c r="Z16" i="18"/>
  <c r="AF18" i="18"/>
  <c r="AF5" i="18"/>
  <c r="AN21" i="18"/>
  <c r="AR11" i="18"/>
  <c r="BN30" i="18"/>
  <c r="N31" i="18"/>
  <c r="IA49" i="1"/>
  <c r="AB25" i="18"/>
  <c r="IS45" i="1"/>
  <c r="AF21" i="18"/>
  <c r="N15" i="18"/>
  <c r="HR35" i="1"/>
  <c r="Z11" i="18"/>
  <c r="IJ39" i="1"/>
  <c r="AD15" i="18"/>
  <c r="H26" i="18"/>
  <c r="N20" i="18"/>
  <c r="N4" i="18"/>
  <c r="HR56" i="1"/>
  <c r="Z32" i="18"/>
  <c r="IA38" i="1"/>
  <c r="AB14" i="18"/>
  <c r="IA30" i="1"/>
  <c r="AB6" i="18"/>
  <c r="IJ28" i="1"/>
  <c r="AD4" i="18"/>
  <c r="IS34" i="1"/>
  <c r="AF10" i="18"/>
  <c r="JB48" i="1"/>
  <c r="AH24" i="18"/>
  <c r="JB40" i="1"/>
  <c r="AH16" i="18"/>
  <c r="JK54" i="1"/>
  <c r="AJ30" i="18"/>
  <c r="JK38" i="1"/>
  <c r="AJ14" i="18"/>
  <c r="NI36" i="1"/>
  <c r="AN12" i="18"/>
  <c r="PQ56" i="1"/>
  <c r="AR32" i="18"/>
  <c r="PQ40" i="1"/>
  <c r="AR16" i="18"/>
  <c r="PQ32" i="1"/>
  <c r="AR8" i="18"/>
  <c r="TL54" i="1"/>
  <c r="BD30" i="18"/>
  <c r="AAT41" i="1"/>
  <c r="BJ17" i="18"/>
  <c r="AAT33" i="1"/>
  <c r="BJ9" i="18"/>
  <c r="BN22" i="18"/>
  <c r="ACD46" i="1"/>
  <c r="BN6" i="18"/>
  <c r="ACD30" i="1"/>
  <c r="AD20" i="18"/>
  <c r="AH27" i="18"/>
  <c r="AJ9" i="18"/>
  <c r="AN20" i="18"/>
  <c r="BD6" i="18"/>
  <c r="BN13" i="18"/>
  <c r="ACD37" i="1"/>
  <c r="AB22" i="18"/>
  <c r="AB9" i="18"/>
  <c r="AJ23" i="18"/>
  <c r="AN31" i="18"/>
  <c r="AR25" i="18"/>
  <c r="Z25" i="18"/>
  <c r="AF29" i="18"/>
  <c r="AN30" i="18"/>
  <c r="AR24" i="18"/>
  <c r="BD16" i="18"/>
  <c r="BJ33" i="18"/>
  <c r="BJ11" i="18"/>
  <c r="JK45" i="1"/>
  <c r="AJ21" i="18"/>
  <c r="JK29" i="1"/>
  <c r="AJ5" i="18"/>
  <c r="NI35" i="1"/>
  <c r="AN11" i="18"/>
  <c r="N11" i="18"/>
  <c r="JK37" i="1"/>
  <c r="AJ13" i="18"/>
  <c r="NI43" i="1"/>
  <c r="AN19" i="18"/>
  <c r="NI42" i="1"/>
  <c r="AN18" i="18"/>
  <c r="AAT32" i="1"/>
  <c r="Z31" i="18"/>
  <c r="AF33" i="18"/>
  <c r="BD21" i="18"/>
  <c r="PQ53" i="1"/>
  <c r="AR29" i="18"/>
  <c r="PQ45" i="1"/>
  <c r="AR21" i="18"/>
  <c r="PQ37" i="1"/>
  <c r="AR13" i="18"/>
  <c r="PQ29" i="1"/>
  <c r="AR5" i="18"/>
  <c r="ABF52" i="1"/>
  <c r="BL28" i="18"/>
  <c r="ABF44" i="1"/>
  <c r="BL20" i="18"/>
  <c r="ABF36" i="1"/>
  <c r="BL12" i="18"/>
  <c r="ABF28" i="1"/>
  <c r="BL4" i="18"/>
  <c r="AAT31" i="1"/>
  <c r="ABF29" i="1"/>
  <c r="ACD28" i="1"/>
  <c r="ACD50" i="1"/>
  <c r="BN26" i="18"/>
  <c r="ACD42" i="1"/>
  <c r="BN18" i="18"/>
  <c r="ACD34" i="1"/>
  <c r="BN10" i="18"/>
  <c r="H23" i="18"/>
  <c r="Z30" i="18"/>
  <c r="AB26" i="18"/>
  <c r="AB4" i="18"/>
  <c r="AD24" i="18"/>
  <c r="AF32" i="18"/>
  <c r="AF22" i="18"/>
  <c r="AH29" i="18"/>
  <c r="AH7" i="18"/>
  <c r="AJ26" i="18"/>
  <c r="AN33" i="18"/>
  <c r="AR7" i="18"/>
  <c r="BD20" i="18"/>
  <c r="JK53" i="1"/>
  <c r="AJ29" i="18"/>
  <c r="NI51" i="1"/>
  <c r="AN27" i="18"/>
  <c r="AH31" i="18"/>
  <c r="AR31" i="18"/>
  <c r="NI50" i="1"/>
  <c r="AN26" i="18"/>
  <c r="NI34" i="1"/>
  <c r="AN10" i="18"/>
  <c r="ABF30" i="1"/>
  <c r="AB5" i="18"/>
  <c r="AH30" i="18"/>
  <c r="AR30" i="18"/>
  <c r="HR52" i="1"/>
  <c r="Z28" i="18"/>
  <c r="HR44" i="1"/>
  <c r="Z20" i="18"/>
  <c r="HR36" i="1"/>
  <c r="Z12" i="18"/>
  <c r="PQ52" i="1"/>
  <c r="AR28" i="18"/>
  <c r="PQ44" i="1"/>
  <c r="AR20" i="18"/>
  <c r="PQ36" i="1"/>
  <c r="AR12" i="18"/>
  <c r="TL50" i="1"/>
  <c r="BD26" i="18"/>
  <c r="TL42" i="1"/>
  <c r="BD18" i="18"/>
  <c r="TL34" i="1"/>
  <c r="BD10" i="18"/>
  <c r="ACD36" i="1"/>
  <c r="H22" i="18"/>
  <c r="Z29" i="18"/>
  <c r="Z7" i="18"/>
  <c r="AB13" i="18"/>
  <c r="AD33" i="18"/>
  <c r="AD11" i="18"/>
  <c r="AF31" i="18"/>
  <c r="AF9" i="18"/>
  <c r="AH28" i="18"/>
  <c r="AH6" i="18"/>
  <c r="AN32" i="18"/>
  <c r="AR6" i="18"/>
  <c r="BD29" i="18"/>
  <c r="BD19" i="18"/>
  <c r="AJ4" i="18"/>
  <c r="AH4" i="18"/>
  <c r="AN4" i="18"/>
  <c r="AF4" i="18"/>
  <c r="Z5" i="18"/>
  <c r="L33" i="18"/>
  <c r="L29" i="18"/>
  <c r="L25" i="18"/>
  <c r="L21" i="18"/>
  <c r="L17" i="18"/>
  <c r="L13" i="18"/>
  <c r="L9" i="18"/>
  <c r="L5" i="18"/>
  <c r="L32" i="18"/>
  <c r="L28" i="18"/>
  <c r="L24" i="18"/>
  <c r="L16" i="18"/>
  <c r="L12" i="18"/>
  <c r="L8" i="18"/>
  <c r="L31" i="18"/>
  <c r="L23" i="18"/>
  <c r="L15" i="18"/>
  <c r="L7" i="18"/>
  <c r="L30" i="18"/>
  <c r="L26" i="18"/>
  <c r="L22" i="18"/>
  <c r="L18" i="18"/>
  <c r="L14" i="18"/>
  <c r="L10" i="18"/>
  <c r="L6" i="18"/>
  <c r="J33" i="18"/>
  <c r="J25" i="18"/>
  <c r="J17" i="18"/>
  <c r="J9" i="18"/>
  <c r="J31" i="18"/>
  <c r="J27" i="18"/>
  <c r="J23" i="18"/>
  <c r="J19" i="18"/>
  <c r="J15" i="18"/>
  <c r="J11" i="18"/>
  <c r="J7" i="18"/>
  <c r="J26" i="18"/>
  <c r="J22" i="18"/>
  <c r="J18" i="18"/>
  <c r="J10" i="18"/>
  <c r="J6" i="18"/>
  <c r="J32" i="18"/>
  <c r="J28" i="18"/>
  <c r="J24" i="18"/>
  <c r="J20" i="18"/>
  <c r="J16" i="18"/>
  <c r="J12" i="18"/>
  <c r="J8" i="18"/>
  <c r="J4" i="18"/>
  <c r="H9" i="18"/>
  <c r="H12" i="18"/>
  <c r="H4" i="18"/>
  <c r="H33" i="18"/>
  <c r="H29" i="18"/>
  <c r="H25" i="18"/>
  <c r="H21" i="18"/>
  <c r="H17" i="18"/>
  <c r="H11" i="18"/>
  <c r="H13" i="18"/>
  <c r="H5" i="18"/>
  <c r="H8" i="18"/>
  <c r="H28" i="18"/>
  <c r="H20" i="18"/>
  <c r="H14" i="18"/>
  <c r="H10" i="18"/>
  <c r="H6" i="18"/>
  <c r="Z4" i="18"/>
  <c r="AR4" i="18"/>
  <c r="H15" i="18"/>
  <c r="XL7" i="1"/>
  <c r="XL12" i="1" s="1"/>
  <c r="HB7" i="1"/>
  <c r="HB12" i="1" s="1"/>
  <c r="RJ7" i="1"/>
  <c r="RJ12" i="1" s="1"/>
  <c r="ABF55" i="1"/>
  <c r="ABF47" i="1"/>
  <c r="ABF39" i="1"/>
  <c r="ABF31" i="1"/>
  <c r="AAT54" i="1"/>
  <c r="AAT46" i="1"/>
  <c r="AAT38" i="1"/>
  <c r="AAT30" i="1"/>
  <c r="AAT53" i="1"/>
  <c r="AAT45" i="1"/>
  <c r="AAT37" i="1"/>
  <c r="AAT29" i="1"/>
  <c r="AAT52" i="1"/>
  <c r="AAT44" i="1"/>
  <c r="AAT36" i="1"/>
  <c r="AAT28" i="1"/>
  <c r="BI30" i="4" l="1"/>
  <c r="XL1" i="1"/>
  <c r="OQ1" i="1"/>
  <c r="RJ1" i="1"/>
  <c r="RJ2" i="1"/>
  <c r="ACN3" i="1"/>
  <c r="L41" i="4" a="1"/>
  <c r="L41" i="4" s="1"/>
  <c r="A4" i="4" a="1"/>
  <c r="YM51" i="1"/>
  <c r="YN51" i="1"/>
  <c r="YO51" i="1"/>
  <c r="YP51" i="1"/>
  <c r="YM52" i="1"/>
  <c r="YN52" i="1"/>
  <c r="YO52" i="1"/>
  <c r="YP52" i="1"/>
  <c r="YM53" i="1"/>
  <c r="YN53" i="1"/>
  <c r="YO53" i="1"/>
  <c r="YP53" i="1"/>
  <c r="YM54" i="1"/>
  <c r="YN54" i="1"/>
  <c r="YO54" i="1"/>
  <c r="YP54" i="1"/>
  <c r="YM55" i="1"/>
  <c r="YN55" i="1"/>
  <c r="YO55" i="1"/>
  <c r="YP55" i="1"/>
  <c r="YM56" i="1"/>
  <c r="YN56" i="1"/>
  <c r="YO56" i="1"/>
  <c r="YP56" i="1"/>
  <c r="YQ17" i="1"/>
  <c r="YM17" i="1"/>
  <c r="YP19" i="1"/>
  <c r="YO19" i="1"/>
  <c r="YN19" i="1"/>
  <c r="YM19" i="1"/>
  <c r="L40" i="4" a="1"/>
  <c r="L40" i="4" s="1"/>
  <c r="YG9" i="1" s="1"/>
  <c r="AI40" i="4"/>
  <c r="AM40" i="4"/>
  <c r="YJ27" i="1"/>
  <c r="YJ7" i="1" s="1"/>
  <c r="YJ12" i="1" s="1"/>
  <c r="YK27" i="1"/>
  <c r="YK7" i="1" s="1"/>
  <c r="YK12" i="1" s="1"/>
  <c r="YH27" i="1"/>
  <c r="YH7" i="1" s="1"/>
  <c r="YH12" i="1" s="1"/>
  <c r="YI27" i="1"/>
  <c r="YI7" i="1" s="1"/>
  <c r="YI12" i="1" s="1"/>
  <c r="AS6" i="4"/>
  <c r="AS7" i="4"/>
  <c r="AS8" i="4"/>
  <c r="AS9" i="4"/>
  <c r="AS10" i="4"/>
  <c r="AS11" i="4"/>
  <c r="AS12" i="4"/>
  <c r="AS13" i="4"/>
  <c r="AS14" i="4"/>
  <c r="AS25" i="4"/>
  <c r="AS26" i="4"/>
  <c r="AS27" i="4"/>
  <c r="AS28" i="4"/>
  <c r="AS30" i="4"/>
  <c r="AS31" i="4"/>
  <c r="AS32" i="4"/>
  <c r="AS33" i="4"/>
  <c r="AS34" i="4"/>
  <c r="AS2" i="4"/>
  <c r="AT2" i="4" s="1"/>
  <c r="BJ30" i="4" a="1"/>
  <c r="BJ30" i="4" l="1"/>
  <c r="A4" i="4"/>
  <c r="A1" i="1"/>
  <c r="AT15" i="4"/>
  <c r="AT19" i="4"/>
  <c r="AT16" i="4"/>
  <c r="AT20" i="4"/>
  <c r="AT17" i="4"/>
  <c r="AT18" i="4"/>
  <c r="MW3" i="1"/>
  <c r="OR9" i="1"/>
  <c r="ZJ29" i="1" a="1"/>
  <c r="ZJ29" i="1" s="1"/>
  <c r="ZJ28" i="1" a="1"/>
  <c r="ZJ28" i="1" s="1"/>
  <c r="ZJ30" i="1" a="1"/>
  <c r="ZJ30" i="1" s="1"/>
  <c r="ZH7" i="1"/>
  <c r="ZH12" i="1" s="1"/>
  <c r="OU17" i="1"/>
  <c r="HH17" i="1"/>
  <c r="XQ17" i="1"/>
  <c r="HF27" i="1"/>
  <c r="HE27" i="1"/>
  <c r="HD27" i="1"/>
  <c r="HC27" i="1"/>
  <c r="OS27" i="1"/>
  <c r="OR27" i="1"/>
  <c r="XO27" i="1"/>
  <c r="XN27" i="1"/>
  <c r="XM27" i="1"/>
  <c r="AW41" i="4"/>
  <c r="G7" i="1"/>
  <c r="G12" i="1" s="1"/>
  <c r="WK20" i="1"/>
  <c r="WK13" i="1" s="1"/>
  <c r="WK19" i="1"/>
  <c r="VY20" i="1"/>
  <c r="VY13" i="1" s="1"/>
  <c r="VY19" i="1"/>
  <c r="VM20" i="1"/>
  <c r="VM13" i="1" s="1"/>
  <c r="VM19" i="1"/>
  <c r="RA20" i="1"/>
  <c r="RA13" i="1" s="1"/>
  <c r="RA19" i="1"/>
  <c r="OA20" i="1"/>
  <c r="OA13" i="1" s="1"/>
  <c r="OA19" i="1"/>
  <c r="MI20" i="1"/>
  <c r="MI13" i="1" s="1"/>
  <c r="MI19" i="1"/>
  <c r="LW20" i="1"/>
  <c r="LW13" i="1" s="1"/>
  <c r="LW19" i="1"/>
  <c r="LM20" i="1"/>
  <c r="LM13" i="1" s="1"/>
  <c r="LM19" i="1"/>
  <c r="LK20" i="1"/>
  <c r="LK13" i="1" s="1"/>
  <c r="LK19" i="1"/>
  <c r="HC17" i="1"/>
  <c r="L39" i="4" a="1"/>
  <c r="L39" i="4" s="1"/>
  <c r="GJ20" i="1"/>
  <c r="GJ13" i="1" s="1"/>
  <c r="GJ19" i="1"/>
  <c r="FM20" i="1"/>
  <c r="FM13" i="1" s="1"/>
  <c r="FM19" i="1"/>
  <c r="ER20" i="1"/>
  <c r="ER13" i="1" s="1"/>
  <c r="ER19" i="1"/>
  <c r="CA28" i="4"/>
  <c r="B12" i="1" s="1"/>
  <c r="DW20" i="1"/>
  <c r="DW13" i="1" s="1"/>
  <c r="DW19" i="1"/>
  <c r="L36" i="4" a="1"/>
  <c r="L36" i="4" s="1"/>
  <c r="BR6" i="4" s="1"/>
  <c r="L37" i="4" a="1"/>
  <c r="L37" i="4" s="1"/>
  <c r="BR7" i="4" s="1"/>
  <c r="OQ9" i="1" s="1"/>
  <c r="OQ10" i="1" s="1"/>
  <c r="L38" i="4" a="1"/>
  <c r="L38" i="4" s="1"/>
  <c r="BR8" i="4" s="1"/>
  <c r="B9" i="1"/>
  <c r="A9" i="1"/>
  <c r="ABZ9" i="1"/>
  <c r="ABZ10" i="1" s="1"/>
  <c r="ABX9" i="1"/>
  <c r="ABX10" i="1" s="1"/>
  <c r="ABV9" i="1"/>
  <c r="ABV10" i="1" s="1"/>
  <c r="ABT9" i="1"/>
  <c r="ABT10" i="1" s="1"/>
  <c r="ABR9" i="1"/>
  <c r="ABR10" i="1" s="1"/>
  <c r="ABP9" i="1"/>
  <c r="ABP10" i="1" s="1"/>
  <c r="AAP9" i="1"/>
  <c r="AAP10" i="1" s="1"/>
  <c r="AAN9" i="1"/>
  <c r="AAN10" i="1" s="1"/>
  <c r="AAL9" i="1"/>
  <c r="AAL10" i="1" s="1"/>
  <c r="AAJ9" i="1"/>
  <c r="AAJ10" i="1" s="1"/>
  <c r="AAH9" i="1"/>
  <c r="AAH10" i="1" s="1"/>
  <c r="AAF9" i="1"/>
  <c r="AAF10" i="1" s="1"/>
  <c r="JS27" i="1"/>
  <c r="JT27" i="1"/>
  <c r="JU27" i="1"/>
  <c r="JV27" i="1"/>
  <c r="JW27" i="1"/>
  <c r="JR27" i="1"/>
  <c r="B10" i="1"/>
  <c r="B8" i="1"/>
  <c r="A10" i="1"/>
  <c r="YG27" i="1"/>
  <c r="YG7" i="1" s="1"/>
  <c r="YG12" i="1" s="1"/>
  <c r="WZ27" i="1"/>
  <c r="XA27" i="1"/>
  <c r="XB27" i="1"/>
  <c r="XC27" i="1"/>
  <c r="WY27" i="1"/>
  <c r="WW27" i="1"/>
  <c r="WX27" i="1"/>
  <c r="WU27" i="1"/>
  <c r="WV27" i="1"/>
  <c r="WT27" i="1"/>
  <c r="TX27" i="1"/>
  <c r="TY27" i="1"/>
  <c r="TZ27" i="1"/>
  <c r="UA27" i="1"/>
  <c r="TW27" i="1"/>
  <c r="QR27" i="1"/>
  <c r="QS27" i="1"/>
  <c r="QQ27" i="1"/>
  <c r="QO27" i="1"/>
  <c r="QP27" i="1"/>
  <c r="QN27" i="1"/>
  <c r="NW27" i="1"/>
  <c r="NV27" i="1"/>
  <c r="NU27" i="1"/>
  <c r="NT27" i="1"/>
  <c r="FZ27" i="1"/>
  <c r="GA27" i="1"/>
  <c r="FY27" i="1"/>
  <c r="FW27" i="1"/>
  <c r="FX27" i="1"/>
  <c r="FV27" i="1"/>
  <c r="FD27" i="1"/>
  <c r="FC27" i="1"/>
  <c r="FB27" i="1"/>
  <c r="FA27" i="1"/>
  <c r="EI27" i="1"/>
  <c r="EH27" i="1"/>
  <c r="EG27" i="1"/>
  <c r="EF27" i="1"/>
  <c r="DN27" i="1"/>
  <c r="DM27" i="1"/>
  <c r="DL27" i="1"/>
  <c r="DK27" i="1"/>
  <c r="Y6" i="4"/>
  <c r="Y7" i="4"/>
  <c r="Y8" i="4"/>
  <c r="Y9" i="4"/>
  <c r="Y23" i="4"/>
  <c r="Y30" i="4"/>
  <c r="D4" i="4" a="1"/>
  <c r="D4" i="4" s="1"/>
  <c r="E1" i="1" s="1"/>
  <c r="A11" i="1"/>
  <c r="A12" i="1"/>
  <c r="A8" i="1"/>
  <c r="A7" i="1"/>
  <c r="ZK13" i="1"/>
  <c r="CB13" i="4"/>
  <c r="ZF19" i="1"/>
  <c r="ZF18" i="1"/>
  <c r="ZB17" i="1"/>
  <c r="YB16" i="1"/>
  <c r="YZ17" i="1"/>
  <c r="YA16" i="1"/>
  <c r="YX17" i="1"/>
  <c r="XZ16" i="1"/>
  <c r="YV17" i="1"/>
  <c r="XY16" i="1"/>
  <c r="CC27" i="4"/>
  <c r="YV16" i="1" s="1"/>
  <c r="CB27" i="4"/>
  <c r="YC16" i="1" s="1"/>
  <c r="CA27" i="4"/>
  <c r="LE20" i="1"/>
  <c r="LE13" i="1" s="1"/>
  <c r="TW18" i="1"/>
  <c r="JR18" i="1"/>
  <c r="UE18" i="1"/>
  <c r="UQ18" i="1"/>
  <c r="UT18" i="1"/>
  <c r="VD20" i="1"/>
  <c r="VD13" i="1" s="1"/>
  <c r="VD18" i="1"/>
  <c r="XK17" i="1"/>
  <c r="XL18" i="1"/>
  <c r="CC22" i="4"/>
  <c r="ZD17" i="1" s="1"/>
  <c r="MY18" i="1"/>
  <c r="LB20" i="1"/>
  <c r="LB13" i="1" s="1"/>
  <c r="KP18" i="1"/>
  <c r="LB18" i="1"/>
  <c r="KM18" i="1"/>
  <c r="KA18" i="1"/>
  <c r="E6" i="10" a="1"/>
  <c r="E6" i="10" s="1"/>
  <c r="E7" i="10" a="1"/>
  <c r="E7" i="10"/>
  <c r="E8" i="10" a="1"/>
  <c r="E8" i="10" s="1"/>
  <c r="E9" i="10" a="1"/>
  <c r="E9" i="10" s="1"/>
  <c r="E10" i="10" a="1"/>
  <c r="E10" i="10" s="1"/>
  <c r="E11" i="10" a="1"/>
  <c r="E11" i="10" s="1"/>
  <c r="E12" i="10" a="1"/>
  <c r="E12" i="10" s="1"/>
  <c r="E13" i="10" a="1"/>
  <c r="E13" i="10"/>
  <c r="E5" i="10" a="1"/>
  <c r="E5" i="10" s="1"/>
  <c r="A6" i="10" a="1"/>
  <c r="A6" i="10"/>
  <c r="A7" i="10" a="1"/>
  <c r="A7" i="10"/>
  <c r="A8" i="10" a="1"/>
  <c r="A8" i="10"/>
  <c r="A9" i="10" a="1"/>
  <c r="A9" i="10"/>
  <c r="A10" i="10" a="1"/>
  <c r="A10" i="10"/>
  <c r="A11" i="10" a="1"/>
  <c r="A11" i="10"/>
  <c r="A12" i="10" a="1"/>
  <c r="A12" i="10"/>
  <c r="A13" i="10" a="1"/>
  <c r="A13" i="10" s="1"/>
  <c r="A5" i="10" a="1"/>
  <c r="A5" i="10" s="1"/>
  <c r="K13" i="10"/>
  <c r="ZW25" i="1"/>
  <c r="F6" i="4"/>
  <c r="S2" i="9" s="1"/>
  <c r="F7" i="4"/>
  <c r="V2" i="9" s="1"/>
  <c r="E6" i="4"/>
  <c r="M2" i="9" s="1"/>
  <c r="E7" i="4"/>
  <c r="NA25" i="1" a="1"/>
  <c r="NA25" i="1" l="1"/>
  <c r="MY9" i="1"/>
  <c r="MY10" i="1" s="1"/>
  <c r="NT4" i="1"/>
  <c r="NV4" i="1" s="1"/>
  <c r="CC13" i="4"/>
  <c r="ZF21" i="1" s="1"/>
  <c r="NB9" i="1"/>
  <c r="NB10" i="1" s="1"/>
  <c r="NE9" i="1"/>
  <c r="NE10" i="1" s="1"/>
  <c r="DN7" i="1"/>
  <c r="DN12" i="1" s="1"/>
  <c r="FY7" i="1"/>
  <c r="FY12" i="1" s="1"/>
  <c r="OP7" i="1"/>
  <c r="OP12" i="1" s="1"/>
  <c r="WT7" i="1"/>
  <c r="WT12" i="1" s="1"/>
  <c r="XA7" i="1"/>
  <c r="XA12" i="1" s="1"/>
  <c r="JW7" i="1"/>
  <c r="JW12" i="1" s="1"/>
  <c r="XN7" i="1"/>
  <c r="XN12" i="1" s="1"/>
  <c r="HC7" i="1"/>
  <c r="HC12" i="1" s="1"/>
  <c r="DK7" i="1"/>
  <c r="DK12" i="1" s="1"/>
  <c r="EF7" i="1"/>
  <c r="EF12" i="1" s="1"/>
  <c r="FA7" i="1"/>
  <c r="FA12" i="1" s="1"/>
  <c r="FV7" i="1"/>
  <c r="FV12" i="1" s="1"/>
  <c r="GA7" i="1"/>
  <c r="GA12" i="1" s="1"/>
  <c r="NU7" i="1"/>
  <c r="NU12" i="1" s="1"/>
  <c r="QN7" i="1"/>
  <c r="QN12" i="1" s="1"/>
  <c r="QS7" i="1"/>
  <c r="QS12" i="1" s="1"/>
  <c r="TZ7" i="1"/>
  <c r="TZ12" i="1" s="1"/>
  <c r="WV7" i="1"/>
  <c r="WV12" i="1" s="1"/>
  <c r="WY7" i="1"/>
  <c r="WY12" i="1" s="1"/>
  <c r="WZ7" i="1"/>
  <c r="WZ12" i="1" s="1"/>
  <c r="JV7" i="1"/>
  <c r="JV12" i="1" s="1"/>
  <c r="XO7" i="1"/>
  <c r="XO12" i="1" s="1"/>
  <c r="HD7" i="1"/>
  <c r="HD12" i="1" s="1"/>
  <c r="FD7" i="1"/>
  <c r="FD12" i="1" s="1"/>
  <c r="UA7" i="1"/>
  <c r="UA12" i="1" s="1"/>
  <c r="DL7" i="1"/>
  <c r="DL12" i="1" s="1"/>
  <c r="EG7" i="1"/>
  <c r="EG12" i="1" s="1"/>
  <c r="FB7" i="1"/>
  <c r="FB12" i="1" s="1"/>
  <c r="FX7" i="1"/>
  <c r="FX12" i="1" s="1"/>
  <c r="FZ7" i="1"/>
  <c r="FZ12" i="1" s="1"/>
  <c r="NV7" i="1"/>
  <c r="NV12" i="1" s="1"/>
  <c r="QP7" i="1"/>
  <c r="QP12" i="1" s="1"/>
  <c r="QR7" i="1"/>
  <c r="QR12" i="1" s="1"/>
  <c r="TY7" i="1"/>
  <c r="TY12" i="1" s="1"/>
  <c r="WU7" i="1"/>
  <c r="WU12" i="1" s="1"/>
  <c r="XC7" i="1"/>
  <c r="XC12" i="1" s="1"/>
  <c r="XK7" i="1"/>
  <c r="XK12" i="1" s="1"/>
  <c r="JU7" i="1"/>
  <c r="JU12" i="1" s="1"/>
  <c r="OR7" i="1"/>
  <c r="OR12" i="1" s="1"/>
  <c r="HE7" i="1"/>
  <c r="HE12" i="1" s="1"/>
  <c r="EI7" i="1"/>
  <c r="EI12" i="1" s="1"/>
  <c r="NT7" i="1"/>
  <c r="NT12" i="1" s="1"/>
  <c r="QQ7" i="1"/>
  <c r="QQ12" i="1" s="1"/>
  <c r="WW7" i="1"/>
  <c r="WW12" i="1" s="1"/>
  <c r="JS7" i="1"/>
  <c r="JS12" i="1" s="1"/>
  <c r="DM7" i="1"/>
  <c r="DM12" i="1" s="1"/>
  <c r="EH7" i="1"/>
  <c r="EH12" i="1" s="1"/>
  <c r="FC7" i="1"/>
  <c r="FC12" i="1" s="1"/>
  <c r="FW7" i="1"/>
  <c r="FW12" i="1" s="1"/>
  <c r="HA7" i="1"/>
  <c r="HA12" i="1" s="1"/>
  <c r="NW7" i="1"/>
  <c r="NW12" i="1" s="1"/>
  <c r="QO7" i="1"/>
  <c r="QO12" i="1" s="1"/>
  <c r="TW7" i="1"/>
  <c r="TW12" i="1" s="1"/>
  <c r="TX7" i="1"/>
  <c r="TX12" i="1" s="1"/>
  <c r="WX7" i="1"/>
  <c r="WX12" i="1" s="1"/>
  <c r="XB7" i="1"/>
  <c r="XB12" i="1" s="1"/>
  <c r="JR7" i="1"/>
  <c r="JR12" i="1" s="1"/>
  <c r="JT7" i="1"/>
  <c r="JT12" i="1" s="1"/>
  <c r="XM7" i="1"/>
  <c r="XM12" i="1" s="1"/>
  <c r="OS7" i="1"/>
  <c r="OS12" i="1" s="1"/>
  <c r="HF7" i="1"/>
  <c r="HF12" i="1" s="1"/>
  <c r="YJ9" i="1"/>
  <c r="YJ10" i="1" s="1"/>
  <c r="RJ9" i="1"/>
  <c r="RJ10" i="1" s="1"/>
  <c r="HE9" i="1"/>
  <c r="HE10" i="1" s="1"/>
  <c r="HB9" i="1"/>
  <c r="HB10" i="1" s="1"/>
  <c r="P2" i="9"/>
  <c r="D2" i="8"/>
  <c r="YG10" i="1"/>
  <c r="BR9" i="4"/>
  <c r="OS9" i="1"/>
  <c r="OS10" i="1" s="1"/>
  <c r="YI9" i="1"/>
  <c r="YI10" i="1" s="1"/>
  <c r="HD9" i="1"/>
  <c r="HD10" i="1" s="1"/>
  <c r="YH9" i="1"/>
  <c r="YH10" i="1" s="1"/>
  <c r="OP9" i="1"/>
  <c r="OP10" i="1" s="1"/>
  <c r="HF9" i="1"/>
  <c r="HF10" i="1" s="1"/>
  <c r="HC9" i="1"/>
  <c r="HC10" i="1" s="1"/>
  <c r="HA9" i="1"/>
  <c r="HA10" i="1" s="1"/>
  <c r="XU17" i="1"/>
  <c r="OY17" i="1"/>
  <c r="HL17" i="1"/>
  <c r="VG20" i="1"/>
  <c r="VG13" i="1" s="1"/>
  <c r="A2" i="8"/>
  <c r="G2" i="8" s="1"/>
  <c r="D2" i="3"/>
  <c r="A2" i="14"/>
  <c r="A2" i="15"/>
  <c r="A2" i="16"/>
  <c r="A2" i="17"/>
  <c r="D2" i="14"/>
  <c r="D2" i="15"/>
  <c r="D2" i="16"/>
  <c r="D2" i="17"/>
  <c r="A2" i="6"/>
  <c r="G2" i="6" s="1"/>
  <c r="A2" i="7"/>
  <c r="A2" i="3"/>
  <c r="D2" i="6"/>
  <c r="J2" i="6" s="1"/>
  <c r="D2" i="7"/>
  <c r="UY18" i="1"/>
  <c r="KV18" i="1"/>
  <c r="CC14" i="4"/>
  <c r="CA12" i="4"/>
  <c r="CB14" i="4"/>
  <c r="XM9" i="1" l="1"/>
  <c r="XM10" i="1" s="1"/>
  <c r="XL9" i="1"/>
  <c r="XL10" i="1" s="1"/>
  <c r="XO9" i="1"/>
  <c r="XO10" i="1" s="1"/>
  <c r="YK9" i="1"/>
  <c r="YK10" i="1" s="1"/>
  <c r="XK9" i="1"/>
  <c r="XK10" i="1" s="1"/>
  <c r="XN9" i="1"/>
  <c r="XN10" i="1" s="1"/>
  <c r="RL18" i="1"/>
  <c r="CB20" i="4"/>
  <c r="OY21" i="1" s="1"/>
  <c r="CA20" i="4"/>
  <c r="CA14" i="4"/>
  <c r="CB5" i="4"/>
  <c r="RL21" i="1" s="1"/>
  <c r="AM2" i="4"/>
  <c r="AM6" i="4"/>
  <c r="AM7" i="4"/>
  <c r="AM8" i="4"/>
  <c r="AM9" i="4"/>
  <c r="AM10" i="4"/>
  <c r="AM11" i="4"/>
  <c r="AM12" i="4"/>
  <c r="AM13" i="4"/>
  <c r="AM14" i="4"/>
  <c r="AM25" i="4"/>
  <c r="AM26" i="4"/>
  <c r="AM27" i="4"/>
  <c r="AM28" i="4"/>
  <c r="AM30" i="4"/>
  <c r="AM31" i="4"/>
  <c r="AM33" i="4"/>
  <c r="AM34" i="4"/>
  <c r="AL23" i="4"/>
  <c r="AK23" i="4"/>
  <c r="AT23" i="4" l="1"/>
  <c r="AS23" i="4"/>
  <c r="AM23" i="4"/>
  <c r="UB18" i="1" l="1"/>
  <c r="MR18" i="1"/>
  <c r="JX18" i="1"/>
  <c r="XG18" i="1"/>
  <c r="D19" i="4" a="1"/>
  <c r="D19" i="4" s="1"/>
  <c r="D20" i="4" a="1"/>
  <c r="D20" i="4" s="1"/>
  <c r="D21" i="4" a="1"/>
  <c r="D21" i="4" s="1"/>
  <c r="D22" i="4" a="1"/>
  <c r="D22" i="4" s="1"/>
  <c r="D23" i="4" a="1"/>
  <c r="D23" i="4" s="1"/>
  <c r="D24" i="4" a="1"/>
  <c r="D24" i="4" s="1"/>
  <c r="D25" i="4" a="1"/>
  <c r="D25" i="4" s="1"/>
  <c r="D26" i="4" a="1"/>
  <c r="D26" i="4" s="1"/>
  <c r="D27" i="4" a="1"/>
  <c r="D27" i="4" s="1"/>
  <c r="D28" i="4" a="1"/>
  <c r="D28" i="4" s="1"/>
  <c r="D29" i="4" a="1"/>
  <c r="D29" i="4" s="1"/>
  <c r="D30" i="4" a="1"/>
  <c r="D30" i="4" s="1"/>
  <c r="D31" i="4" a="1"/>
  <c r="D31" i="4" s="1"/>
  <c r="D32" i="4" a="1"/>
  <c r="D32" i="4" s="1"/>
  <c r="D33" i="4" a="1"/>
  <c r="D33" i="4" s="1"/>
  <c r="D34" i="4" a="1"/>
  <c r="D34" i="4" s="1"/>
  <c r="D35" i="4" a="1"/>
  <c r="D35" i="4" s="1"/>
  <c r="D36" i="4" a="1"/>
  <c r="D36" i="4" s="1"/>
  <c r="D37" i="4" a="1"/>
  <c r="D37" i="4" s="1"/>
  <c r="D38" i="4" a="1"/>
  <c r="D38" i="4" s="1"/>
  <c r="D39" i="4" a="1"/>
  <c r="D39" i="4" s="1"/>
  <c r="D40" i="4" a="1"/>
  <c r="D40" i="4" s="1"/>
  <c r="D41" i="4" a="1"/>
  <c r="D41" i="4" s="1"/>
  <c r="D42" i="4" a="1"/>
  <c r="D42" i="4" s="1"/>
  <c r="D43" i="4" a="1"/>
  <c r="D43" i="4" s="1"/>
  <c r="D44" i="4" a="1"/>
  <c r="D44" i="4" s="1"/>
  <c r="D45" i="4" a="1"/>
  <c r="D45" i="4" s="1"/>
  <c r="D46" i="4" a="1"/>
  <c r="D46" i="4" s="1"/>
  <c r="D47" i="4" a="1"/>
  <c r="D47" i="4" s="1"/>
  <c r="D48" i="4" a="1"/>
  <c r="D48" i="4" s="1"/>
  <c r="D49" i="4" a="1"/>
  <c r="D49" i="4" s="1"/>
  <c r="D50" i="4" a="1"/>
  <c r="D50" i="4" s="1"/>
  <c r="D51" i="4" a="1"/>
  <c r="D51" i="4" s="1"/>
  <c r="D52" i="4" a="1"/>
  <c r="D52" i="4" s="1"/>
  <c r="D53" i="4" a="1"/>
  <c r="D53" i="4" s="1"/>
  <c r="D54" i="4" a="1"/>
  <c r="D54" i="4" s="1"/>
  <c r="D55" i="4" a="1"/>
  <c r="D55" i="4" s="1"/>
  <c r="D56" i="4" a="1"/>
  <c r="D56" i="4" s="1"/>
  <c r="D57" i="4" a="1"/>
  <c r="D57" i="4" s="1"/>
  <c r="D58" i="4" a="1"/>
  <c r="D58" i="4" s="1"/>
  <c r="D59" i="4" a="1"/>
  <c r="D59" i="4" s="1"/>
  <c r="D60" i="4" a="1"/>
  <c r="D60" i="4" s="1"/>
  <c r="D61" i="4" a="1"/>
  <c r="D61" i="4" s="1"/>
  <c r="D17" i="4" a="1"/>
  <c r="D17" i="4" s="1"/>
  <c r="I17" i="4" a="1"/>
  <c r="I17" i="4" s="1"/>
  <c r="F15" i="4" s="1"/>
  <c r="B60" i="21"/>
  <c r="A60" i="21"/>
  <c r="XL2" i="1"/>
  <c r="XL19" i="1"/>
  <c r="RJ19" i="1"/>
  <c r="RJ18" i="1"/>
  <c r="OQ19" i="1"/>
  <c r="OQ18" i="1"/>
  <c r="HB19" i="1"/>
  <c r="HB18" i="1"/>
  <c r="HA17" i="1"/>
  <c r="H1" i="20"/>
  <c r="C1" i="20"/>
  <c r="T3" i="20" a="1"/>
  <c r="T3" i="20" s="1"/>
  <c r="O3" i="20" a="1"/>
  <c r="O3" i="20" s="1"/>
  <c r="J3" i="20" a="1"/>
  <c r="J3" i="20" s="1"/>
  <c r="B3" i="20" a="1"/>
  <c r="B3" i="20" s="1"/>
  <c r="E3" i="20" a="1"/>
  <c r="E3" i="20" s="1"/>
  <c r="HB1" i="1" l="1"/>
  <c r="OQ2" i="1"/>
  <c r="HB2" i="1"/>
  <c r="B2" i="21"/>
  <c r="A2" i="21"/>
  <c r="G15" i="4"/>
  <c r="C1" i="1"/>
  <c r="A9" i="21"/>
  <c r="A20" i="4"/>
  <c r="A21" i="4"/>
  <c r="A22" i="4"/>
  <c r="A23" i="4"/>
  <c r="A24" i="4"/>
  <c r="A25" i="4"/>
  <c r="A19" i="4"/>
  <c r="E17" i="21"/>
  <c r="B17" i="21"/>
  <c r="D42" i="21"/>
  <c r="C42" i="21"/>
  <c r="B42" i="21"/>
  <c r="D54" i="21"/>
  <c r="C54" i="21"/>
  <c r="B54" i="21"/>
  <c r="D53" i="21"/>
  <c r="C53" i="21"/>
  <c r="B53" i="21"/>
  <c r="D52" i="21"/>
  <c r="C52" i="21"/>
  <c r="B52" i="21"/>
  <c r="D35" i="21"/>
  <c r="C35" i="21"/>
  <c r="B35" i="21"/>
  <c r="D34" i="21"/>
  <c r="C34" i="21"/>
  <c r="B34" i="21"/>
  <c r="D33" i="21"/>
  <c r="C33" i="21"/>
  <c r="B33" i="21"/>
  <c r="D32" i="21"/>
  <c r="C32" i="21"/>
  <c r="B32" i="21"/>
  <c r="B23" i="21"/>
  <c r="C23" i="21"/>
  <c r="D23" i="21"/>
  <c r="B24" i="21"/>
  <c r="C24" i="21"/>
  <c r="D24" i="21"/>
  <c r="B25" i="21"/>
  <c r="C25" i="21"/>
  <c r="D25" i="21"/>
  <c r="C22" i="21"/>
  <c r="D22" i="21"/>
  <c r="B22" i="21"/>
  <c r="B19" i="21"/>
  <c r="WQ19" i="1"/>
  <c r="WE19" i="1"/>
  <c r="VS19" i="1"/>
  <c r="RG19" i="1"/>
  <c r="OG19" i="1"/>
  <c r="MC19" i="1"/>
  <c r="LQ19" i="1"/>
  <c r="EC19" i="1"/>
  <c r="EX19" i="1"/>
  <c r="FS19" i="1"/>
  <c r="GP19" i="1"/>
  <c r="MO19" i="1"/>
  <c r="CC26" i="4"/>
  <c r="WS20" i="1" s="1"/>
  <c r="WS13" i="1" s="1"/>
  <c r="CA26" i="4"/>
  <c r="WE20" i="1" s="1"/>
  <c r="WE13" i="1" s="1"/>
  <c r="CB26" i="4"/>
  <c r="WF20" i="1" s="1"/>
  <c r="WF13" i="1" s="1"/>
  <c r="WN19" i="1"/>
  <c r="WB19" i="1"/>
  <c r="VP19" i="1"/>
  <c r="RD19" i="1"/>
  <c r="OD19" i="1"/>
  <c r="ML19" i="1"/>
  <c r="LZ19" i="1"/>
  <c r="LN19" i="1"/>
  <c r="GM19" i="1"/>
  <c r="FP19" i="1"/>
  <c r="EU19" i="1"/>
  <c r="T9" i="4"/>
  <c r="T6" i="4"/>
  <c r="T7" i="4"/>
  <c r="T8" i="4"/>
  <c r="T23" i="4"/>
  <c r="T30" i="4"/>
  <c r="DZ19" i="1"/>
  <c r="XM17" i="1"/>
  <c r="OR17" i="1"/>
  <c r="YH17" i="1"/>
  <c r="YF19" i="1"/>
  <c r="YE18" i="1"/>
  <c r="YD18" i="1"/>
  <c r="YG17" i="1"/>
  <c r="XY17" i="1"/>
  <c r="XJ19" i="1"/>
  <c r="XI18" i="1"/>
  <c r="XH18" i="1"/>
  <c r="QW19" i="1"/>
  <c r="QV18" i="1"/>
  <c r="QU18" i="1"/>
  <c r="OJ17" i="1"/>
  <c r="OO19" i="1"/>
  <c r="ON18" i="1"/>
  <c r="OM18" i="1"/>
  <c r="OP17" i="1"/>
  <c r="MT18" i="1"/>
  <c r="MV19" i="1"/>
  <c r="MU18" i="1"/>
  <c r="MS18" i="1"/>
  <c r="GZ19" i="1"/>
  <c r="GY18" i="1"/>
  <c r="GX18" i="1"/>
  <c r="GS17" i="1"/>
  <c r="GF19" i="1"/>
  <c r="GE18" i="1"/>
  <c r="GD18" i="1"/>
  <c r="FI19" i="1"/>
  <c r="FH18" i="1"/>
  <c r="FG18" i="1"/>
  <c r="EN19" i="1"/>
  <c r="EM18" i="1"/>
  <c r="EL18" i="1"/>
  <c r="DS19" i="1"/>
  <c r="CA4" i="4"/>
  <c r="A1" i="21" s="1"/>
  <c r="DS18" i="1"/>
  <c r="BU4" i="4" a="1"/>
  <c r="DR18" i="1"/>
  <c r="DQ18" i="1"/>
  <c r="WT2" i="1"/>
  <c r="CB18" i="4"/>
  <c r="CB19" i="4"/>
  <c r="CB17" i="4"/>
  <c r="VC2" i="1"/>
  <c r="VB2" i="1"/>
  <c r="VA2" i="1"/>
  <c r="UZ2" i="1"/>
  <c r="UY2" i="1"/>
  <c r="UX2" i="1"/>
  <c r="UW2" i="1"/>
  <c r="UV2" i="1"/>
  <c r="UU2" i="1"/>
  <c r="UT2" i="1"/>
  <c r="UA4" i="1"/>
  <c r="TZ4" i="1"/>
  <c r="TY4" i="1"/>
  <c r="TX4" i="1"/>
  <c r="TW4" i="1"/>
  <c r="UA23" i="1"/>
  <c r="TZ23" i="1"/>
  <c r="TY23" i="1"/>
  <c r="TX23" i="1"/>
  <c r="TW23" i="1"/>
  <c r="WM20" i="1"/>
  <c r="WM13" i="1" s="1"/>
  <c r="WA20" i="1"/>
  <c r="WA13" i="1" s="1"/>
  <c r="VO20" i="1"/>
  <c r="VO13" i="1" s="1"/>
  <c r="WM19" i="1"/>
  <c r="WI19" i="1"/>
  <c r="WH19" i="1"/>
  <c r="WA19" i="1"/>
  <c r="VW19" i="1"/>
  <c r="VV19" i="1"/>
  <c r="VO19" i="1"/>
  <c r="VK19" i="1"/>
  <c r="VJ19" i="1"/>
  <c r="WH18" i="1"/>
  <c r="VV18" i="1"/>
  <c r="VJ18" i="1"/>
  <c r="AR30" i="4" l="1"/>
  <c r="AR23" i="4"/>
  <c r="AR7" i="4"/>
  <c r="AR6" i="4"/>
  <c r="AR8" i="4"/>
  <c r="AR9" i="4"/>
  <c r="BU4" i="4"/>
  <c r="O1" i="4" s="1"/>
  <c r="TW9" i="1"/>
  <c r="TW10" i="1" s="1"/>
  <c r="XC9" i="1"/>
  <c r="XC10" i="1" s="1"/>
  <c r="TX9" i="1"/>
  <c r="TX10" i="1" s="1"/>
  <c r="WV9" i="1"/>
  <c r="WV10" i="1" s="1"/>
  <c r="WZ9" i="1"/>
  <c r="WZ10" i="1" s="1"/>
  <c r="WY9" i="1"/>
  <c r="WY10" i="1" s="1"/>
  <c r="UA9" i="1"/>
  <c r="UA10" i="1" s="1"/>
  <c r="WU9" i="1"/>
  <c r="WU10" i="1" s="1"/>
  <c r="TY9" i="1"/>
  <c r="TY10" i="1" s="1"/>
  <c r="WW9" i="1"/>
  <c r="WW10" i="1" s="1"/>
  <c r="XA9" i="1"/>
  <c r="XA10" i="1" s="1"/>
  <c r="TZ9" i="1"/>
  <c r="TZ10" i="1" s="1"/>
  <c r="WT9" i="1"/>
  <c r="WT10" i="1" s="1"/>
  <c r="WX9" i="1"/>
  <c r="WX10" i="1" s="1"/>
  <c r="XB9" i="1"/>
  <c r="XB10" i="1" s="1"/>
  <c r="LQ20" i="1"/>
  <c r="LQ13" i="1" s="1"/>
  <c r="EX20" i="1"/>
  <c r="EX13" i="1" s="1"/>
  <c r="WQ20" i="1"/>
  <c r="WQ13" i="1" s="1"/>
  <c r="OG20" i="1"/>
  <c r="OG13" i="1" s="1"/>
  <c r="GP20" i="1"/>
  <c r="GP13" i="1" s="1"/>
  <c r="VS20" i="1"/>
  <c r="VS13" i="1" s="1"/>
  <c r="MO20" i="1"/>
  <c r="MO13" i="1" s="1"/>
  <c r="FS20" i="1"/>
  <c r="FS13" i="1" s="1"/>
  <c r="EC20" i="1"/>
  <c r="EC13" i="1" s="1"/>
  <c r="MC20" i="1"/>
  <c r="MC13" i="1" s="1"/>
  <c r="RG20" i="1"/>
  <c r="RG13" i="1" s="1"/>
  <c r="MP20" i="1"/>
  <c r="MP13" i="1" s="1"/>
  <c r="FT20" i="1"/>
  <c r="FT13" i="1" s="1"/>
  <c r="ED20" i="1"/>
  <c r="ED13" i="1" s="1"/>
  <c r="MD20" i="1"/>
  <c r="MD13" i="1" s="1"/>
  <c r="OH20" i="1"/>
  <c r="OH13" i="1" s="1"/>
  <c r="VT20" i="1"/>
  <c r="VT13" i="1" s="1"/>
  <c r="WR20" i="1"/>
  <c r="WR13" i="1" s="1"/>
  <c r="MQ20" i="1"/>
  <c r="MQ13" i="1" s="1"/>
  <c r="GR20" i="1"/>
  <c r="GR13" i="1" s="1"/>
  <c r="FU20" i="1"/>
  <c r="FU13" i="1" s="1"/>
  <c r="EZ20" i="1"/>
  <c r="EZ13" i="1" s="1"/>
  <c r="EE20" i="1"/>
  <c r="EE13" i="1" s="1"/>
  <c r="LS20" i="1"/>
  <c r="LS13" i="1" s="1"/>
  <c r="ME20" i="1"/>
  <c r="ME13" i="1" s="1"/>
  <c r="OI20" i="1"/>
  <c r="OI13" i="1" s="1"/>
  <c r="RI20" i="1"/>
  <c r="RI13" i="1" s="1"/>
  <c r="VU20" i="1"/>
  <c r="VU13" i="1" s="1"/>
  <c r="WG20" i="1"/>
  <c r="WG13" i="1" s="1"/>
  <c r="QW1" i="1"/>
  <c r="GQ20" i="1"/>
  <c r="GQ13" i="1" s="1"/>
  <c r="EY20" i="1"/>
  <c r="EY13" i="1" s="1"/>
  <c r="LR20" i="1"/>
  <c r="LR13" i="1" s="1"/>
  <c r="RH20" i="1"/>
  <c r="RH13" i="1" s="1"/>
  <c r="GF1" i="1"/>
  <c r="EN18" i="1"/>
  <c r="MV18" i="1"/>
  <c r="OO18" i="1"/>
  <c r="EN1" i="1"/>
  <c r="FI18" i="1"/>
  <c r="GZ18" i="1"/>
  <c r="MV1" i="1"/>
  <c r="YF18" i="1"/>
  <c r="FI1" i="1"/>
  <c r="GF18" i="1"/>
  <c r="QW18" i="1"/>
  <c r="XJ18" i="1"/>
  <c r="DS1" i="1"/>
  <c r="MV25" i="1" a="1"/>
  <c r="MV25" i="1" l="1"/>
  <c r="R41" i="4"/>
  <c r="S41" i="4" s="1"/>
  <c r="Y41" i="4" s="1"/>
  <c r="NT2" i="1"/>
  <c r="L6" i="4" a="1"/>
  <c r="L6" i="4" s="1"/>
  <c r="L7" i="4" a="1"/>
  <c r="L7" i="4" s="1"/>
  <c r="L8" i="4" a="1"/>
  <c r="L8" i="4" s="1"/>
  <c r="L9" i="4" a="1"/>
  <c r="L9" i="4" s="1"/>
  <c r="L10" i="4" a="1"/>
  <c r="L10" i="4" s="1"/>
  <c r="L11" i="4" a="1"/>
  <c r="L11" i="4" s="1"/>
  <c r="L12" i="4" a="1"/>
  <c r="L12" i="4" s="1"/>
  <c r="L13" i="4" a="1"/>
  <c r="L13" i="4" s="1"/>
  <c r="L14" i="4" a="1"/>
  <c r="L14" i="4" s="1"/>
  <c r="L15" i="4" a="1"/>
  <c r="L15" i="4" s="1"/>
  <c r="L16" i="4" a="1"/>
  <c r="L16" i="4" s="1"/>
  <c r="L17" i="4" a="1"/>
  <c r="L17" i="4" s="1"/>
  <c r="L18" i="4" a="1"/>
  <c r="L18" i="4" s="1"/>
  <c r="L19" i="4" a="1"/>
  <c r="L19" i="4" s="1"/>
  <c r="L20" i="4" a="1"/>
  <c r="L20" i="4" s="1"/>
  <c r="L21" i="4" a="1"/>
  <c r="L21" i="4" s="1"/>
  <c r="L22" i="4" a="1"/>
  <c r="L22" i="4" s="1"/>
  <c r="L23" i="4" a="1"/>
  <c r="L23" i="4" s="1"/>
  <c r="L24" i="4" a="1"/>
  <c r="L24" i="4" s="1"/>
  <c r="L25" i="4" a="1"/>
  <c r="L25" i="4" s="1"/>
  <c r="L26" i="4" a="1"/>
  <c r="L26" i="4" s="1"/>
  <c r="L27" i="4" a="1"/>
  <c r="L27" i="4" s="1"/>
  <c r="L28" i="4" a="1"/>
  <c r="L28" i="4" s="1"/>
  <c r="L29" i="4" a="1"/>
  <c r="L29" i="4" s="1"/>
  <c r="L30" i="4" a="1"/>
  <c r="L30" i="4" s="1"/>
  <c r="L31" i="4" a="1"/>
  <c r="L31" i="4" s="1"/>
  <c r="L32" i="4" a="1"/>
  <c r="L32" i="4" s="1"/>
  <c r="L33" i="4" a="1"/>
  <c r="L33" i="4" s="1"/>
  <c r="L34" i="4" a="1"/>
  <c r="L34" i="4" s="1"/>
  <c r="L35" i="4" a="1"/>
  <c r="L35" i="4" s="1"/>
  <c r="LA2" i="1"/>
  <c r="KZ2" i="1"/>
  <c r="KY2" i="1"/>
  <c r="KX2" i="1"/>
  <c r="KW2" i="1"/>
  <c r="KV2" i="1"/>
  <c r="MF18" i="1"/>
  <c r="MF19" i="1"/>
  <c r="MK20" i="1"/>
  <c r="MK13" i="1" s="1"/>
  <c r="MK19" i="1"/>
  <c r="MG19" i="1"/>
  <c r="LT18" i="1"/>
  <c r="LT19" i="1"/>
  <c r="LY20" i="1"/>
  <c r="LY13" i="1" s="1"/>
  <c r="LY19" i="1"/>
  <c r="LU19" i="1"/>
  <c r="LH18" i="1"/>
  <c r="LH19" i="1"/>
  <c r="LI19" i="1"/>
  <c r="CA19" i="4"/>
  <c r="CA18" i="4"/>
  <c r="CA17" i="4"/>
  <c r="JS23" i="1"/>
  <c r="JT23" i="1"/>
  <c r="JU23" i="1"/>
  <c r="JV23" i="1"/>
  <c r="JW23" i="1"/>
  <c r="JR23" i="1"/>
  <c r="KS2" i="1"/>
  <c r="JU4" i="1"/>
  <c r="KU2" i="1"/>
  <c r="KT2" i="1"/>
  <c r="KR2" i="1"/>
  <c r="KQ2" i="1"/>
  <c r="KP2" i="1"/>
  <c r="JW4" i="1"/>
  <c r="JV4" i="1"/>
  <c r="JT4" i="1"/>
  <c r="JS4" i="1"/>
  <c r="JR4" i="1"/>
  <c r="S15" i="4"/>
  <c r="S16" i="4"/>
  <c r="S17" i="4"/>
  <c r="S18" i="4"/>
  <c r="S19" i="4"/>
  <c r="S20" i="4"/>
  <c r="NU9" i="1"/>
  <c r="NU10" i="1" s="1"/>
  <c r="OC20" i="1"/>
  <c r="OC13" i="1" s="1"/>
  <c r="OC19" i="1"/>
  <c r="NY19" i="1"/>
  <c r="NX19" i="1"/>
  <c r="NX18" i="1"/>
  <c r="GL20" i="1"/>
  <c r="GL13" i="1" s="1"/>
  <c r="GL19" i="1"/>
  <c r="FO20" i="1"/>
  <c r="FO13" i="1" s="1"/>
  <c r="FO19" i="1"/>
  <c r="ET20" i="1"/>
  <c r="ET13" i="1" s="1"/>
  <c r="ET19" i="1"/>
  <c r="DY20" i="1"/>
  <c r="DY13" i="1" s="1"/>
  <c r="DY19" i="1"/>
  <c r="RC20" i="1"/>
  <c r="RC13" i="1" s="1"/>
  <c r="RC19" i="1"/>
  <c r="AL41" i="4"/>
  <c r="AK41" i="4"/>
  <c r="AT41" i="4" l="1"/>
  <c r="OR10" i="1"/>
  <c r="AS41" i="4"/>
  <c r="NT9" i="1"/>
  <c r="NT10" i="1" s="1"/>
  <c r="NV9" i="1"/>
  <c r="NV10" i="1" s="1"/>
  <c r="JV9" i="1"/>
  <c r="JV10" i="1" s="1"/>
  <c r="JT9" i="1"/>
  <c r="JT10" i="1" s="1"/>
  <c r="JR9" i="1"/>
  <c r="JR10" i="1" s="1"/>
  <c r="JW9" i="1"/>
  <c r="JW10" i="1" s="1"/>
  <c r="JU9" i="1"/>
  <c r="JU10" i="1" s="1"/>
  <c r="JS9" i="1"/>
  <c r="JS10" i="1" s="1"/>
  <c r="T16" i="4"/>
  <c r="Y16" i="4"/>
  <c r="T15" i="4"/>
  <c r="Y15" i="4"/>
  <c r="T18" i="4"/>
  <c r="Y18" i="4"/>
  <c r="T20" i="4"/>
  <c r="Y20" i="4"/>
  <c r="T19" i="4"/>
  <c r="Y19" i="4"/>
  <c r="T17" i="4"/>
  <c r="Y17" i="4"/>
  <c r="AS16" i="4"/>
  <c r="AS20" i="4"/>
  <c r="AS18" i="4"/>
  <c r="AS19" i="4"/>
  <c r="AS17" i="4"/>
  <c r="AS15" i="4"/>
  <c r="AM41" i="4"/>
  <c r="T41" i="4"/>
  <c r="U41" i="4"/>
  <c r="AD41" i="4"/>
  <c r="V41" i="4"/>
  <c r="W41" i="4" s="1"/>
  <c r="AB41" i="4"/>
  <c r="QN2" i="1"/>
  <c r="QP4" i="1"/>
  <c r="QP9" i="1" s="1"/>
  <c r="QP10" i="1" s="1"/>
  <c r="QO4" i="1"/>
  <c r="QO9" i="1" s="1"/>
  <c r="QO10" i="1" s="1"/>
  <c r="QN4" i="1"/>
  <c r="QN9" i="1" s="1"/>
  <c r="QN10" i="1" s="1"/>
  <c r="QY19" i="1"/>
  <c r="QX19" i="1"/>
  <c r="QX18" i="1"/>
  <c r="QN18" i="1"/>
  <c r="V6" i="4"/>
  <c r="W6" i="4" s="1"/>
  <c r="V7" i="4"/>
  <c r="W7" i="4" s="1"/>
  <c r="V8" i="4"/>
  <c r="W8" i="4" s="1"/>
  <c r="V9" i="4"/>
  <c r="W9" i="4" s="1"/>
  <c r="V15" i="4"/>
  <c r="W15" i="4" s="1"/>
  <c r="V16" i="4"/>
  <c r="W16" i="4" s="1"/>
  <c r="V17" i="4"/>
  <c r="W17" i="4" s="1"/>
  <c r="V18" i="4"/>
  <c r="W18" i="4" s="1"/>
  <c r="V19" i="4"/>
  <c r="W19" i="4" s="1"/>
  <c r="V20" i="4"/>
  <c r="W20" i="4" s="1"/>
  <c r="V23" i="4"/>
  <c r="W23" i="4" s="1"/>
  <c r="BD30" i="4"/>
  <c r="BM4" i="4" a="1"/>
  <c r="FX4" i="1"/>
  <c r="FX9" i="1" s="1"/>
  <c r="FX10" i="1" s="1"/>
  <c r="FW4" i="1"/>
  <c r="FW9" i="1" s="1"/>
  <c r="FW10" i="1" s="1"/>
  <c r="FV4" i="1"/>
  <c r="FV9" i="1" s="1"/>
  <c r="FV10" i="1" s="1"/>
  <c r="FV2" i="1"/>
  <c r="FV17" i="1" s="1" a="1"/>
  <c r="FV17" i="1" s="1"/>
  <c r="GH19" i="1"/>
  <c r="GG19" i="1"/>
  <c r="GG18" i="1"/>
  <c r="FV18" i="1"/>
  <c r="FB4" i="1"/>
  <c r="FB9" i="1" s="1"/>
  <c r="FB10" i="1" s="1"/>
  <c r="FA4" i="1"/>
  <c r="FA9" i="1" s="1"/>
  <c r="FA10" i="1" s="1"/>
  <c r="FA2" i="1"/>
  <c r="FA17" i="1" s="1" a="1"/>
  <c r="FA17" i="1" s="1"/>
  <c r="FK19" i="1"/>
  <c r="FJ19" i="1"/>
  <c r="FJ18" i="1"/>
  <c r="FA18" i="1"/>
  <c r="EG4" i="1"/>
  <c r="EG9" i="1" s="1"/>
  <c r="EG10" i="1" s="1"/>
  <c r="EF4" i="1"/>
  <c r="EF9" i="1" s="1"/>
  <c r="EF10" i="1" s="1"/>
  <c r="EF2" i="1"/>
  <c r="EF17" i="1" s="1" a="1"/>
  <c r="EF17" i="1" s="1"/>
  <c r="EP19" i="1"/>
  <c r="EO19" i="1"/>
  <c r="EO18" i="1"/>
  <c r="EF18" i="1"/>
  <c r="DL4" i="1"/>
  <c r="DL9" i="1" s="1"/>
  <c r="DL10" i="1" s="1"/>
  <c r="DK4" i="1"/>
  <c r="DK9" i="1" s="1"/>
  <c r="DK10" i="1" s="1"/>
  <c r="DK2" i="1"/>
  <c r="DK17" i="1" s="1" a="1"/>
  <c r="DK17" i="1" s="1"/>
  <c r="DT18" i="1"/>
  <c r="BZ15" i="4"/>
  <c r="DU19" i="1"/>
  <c r="QN17" i="1" a="1"/>
  <c r="TW17" i="1" a="1"/>
  <c r="QW25" i="1" a="1"/>
  <c r="NT17" i="1" a="1"/>
  <c r="GF25" i="1" a="1"/>
  <c r="EN25" i="1" a="1"/>
  <c r="FI25" i="1" a="1"/>
  <c r="DS25" i="1" a="1"/>
  <c r="MZ6" i="1" a="1"/>
  <c r="MZ6" i="1" l="1"/>
  <c r="QN17" i="1"/>
  <c r="QT4" i="1" s="1"/>
  <c r="YF1" i="1"/>
  <c r="BG15" i="4"/>
  <c r="BF15" i="4"/>
  <c r="BG9" i="4"/>
  <c r="BF9" i="4"/>
  <c r="BG23" i="4"/>
  <c r="BF23" i="4"/>
  <c r="BF20" i="4"/>
  <c r="BG20" i="4"/>
  <c r="BG7" i="4"/>
  <c r="BF7" i="4"/>
  <c r="BG19" i="4"/>
  <c r="BF19" i="4"/>
  <c r="BF6" i="4"/>
  <c r="BG6" i="4"/>
  <c r="BG18" i="4"/>
  <c r="BF18" i="4"/>
  <c r="BG16" i="4"/>
  <c r="BF16" i="4"/>
  <c r="BG8" i="4"/>
  <c r="BF8" i="4"/>
  <c r="BG17" i="4"/>
  <c r="BF17" i="4"/>
  <c r="AR41" i="4"/>
  <c r="BD23" i="4"/>
  <c r="BD8" i="4"/>
  <c r="AR17" i="4"/>
  <c r="AR15" i="4"/>
  <c r="BD20" i="4"/>
  <c r="BD7" i="4"/>
  <c r="AR16" i="4"/>
  <c r="BD19" i="4"/>
  <c r="BD18" i="4"/>
  <c r="BD6" i="4"/>
  <c r="BD17" i="4"/>
  <c r="BD41" i="4"/>
  <c r="AR20" i="4"/>
  <c r="BD15" i="4"/>
  <c r="BD9" i="4"/>
  <c r="AR19" i="4"/>
  <c r="BD16" i="4"/>
  <c r="AR18" i="4"/>
  <c r="NW9" i="1"/>
  <c r="NW10" i="1" s="1"/>
  <c r="GA4" i="1"/>
  <c r="EH4" i="1"/>
  <c r="DM4" i="1"/>
  <c r="DN4" i="1"/>
  <c r="EI4" i="1"/>
  <c r="QQ4" i="1"/>
  <c r="QR4" i="1"/>
  <c r="QS4" i="1"/>
  <c r="FY4" i="1"/>
  <c r="FY9" i="1" s="1"/>
  <c r="FD4" i="1"/>
  <c r="FC4" i="1"/>
  <c r="FZ4" i="1"/>
  <c r="AM17" i="4"/>
  <c r="AM16" i="4"/>
  <c r="AM19" i="4"/>
  <c r="AM15" i="4"/>
  <c r="AM20" i="4"/>
  <c r="AM18" i="4"/>
  <c r="GZ1" i="1"/>
  <c r="XJ1" i="1"/>
  <c r="OP1" i="1"/>
  <c r="HA1" i="1"/>
  <c r="XK1" i="1"/>
  <c r="OO1" i="1"/>
  <c r="QW25" i="1"/>
  <c r="GF25" i="1"/>
  <c r="GB4" i="1"/>
  <c r="DS25" i="1"/>
  <c r="FI25" i="1"/>
  <c r="EN25" i="1"/>
  <c r="FE5" i="1"/>
  <c r="EJ5" i="1"/>
  <c r="QZ19" i="1"/>
  <c r="WJ19" i="1"/>
  <c r="VX19" i="1"/>
  <c r="VL19" i="1"/>
  <c r="VZ19" i="1"/>
  <c r="VN19" i="1"/>
  <c r="WL19" i="1"/>
  <c r="TW17" i="1"/>
  <c r="NT17" i="1"/>
  <c r="MJ19" i="1"/>
  <c r="OB19" i="1"/>
  <c r="LX19" i="1"/>
  <c r="LL19" i="1"/>
  <c r="DV19" i="1"/>
  <c r="GI19" i="1"/>
  <c r="DX19" i="1"/>
  <c r="EQ19" i="1"/>
  <c r="FL19" i="1"/>
  <c r="GK19" i="1"/>
  <c r="ES19" i="1"/>
  <c r="BM4" i="4"/>
  <c r="M1" i="4" s="1"/>
  <c r="RB19" i="1"/>
  <c r="FN19" i="1"/>
  <c r="LV19" i="1"/>
  <c r="LJ19" i="1"/>
  <c r="MH19" i="1"/>
  <c r="NZ19" i="1"/>
  <c r="DT19" i="1"/>
  <c r="DK18" i="1"/>
  <c r="AD6" i="4"/>
  <c r="AD7" i="4"/>
  <c r="AD8" i="4"/>
  <c r="AD9" i="4"/>
  <c r="AD15" i="4"/>
  <c r="AD16" i="4"/>
  <c r="AD17" i="4"/>
  <c r="AD18" i="4"/>
  <c r="AD19" i="4"/>
  <c r="AD20" i="4"/>
  <c r="AD23" i="4"/>
  <c r="AD30" i="4"/>
  <c r="BH19" i="4" a="1"/>
  <c r="GZ25" i="1" a="1"/>
  <c r="BH20" i="4" a="1"/>
  <c r="BH17" i="4" a="1"/>
  <c r="BE41" i="4"/>
  <c r="BE7" i="4"/>
  <c r="OP25" i="1" a="1"/>
  <c r="XJ25" i="1" a="1"/>
  <c r="BH18" i="4" a="1"/>
  <c r="BE15" i="4"/>
  <c r="BH16" i="4" a="1"/>
  <c r="HA25" i="1" a="1"/>
  <c r="XK25" i="1" a="1"/>
  <c r="YF25" i="1"/>
  <c r="BH9" i="4" a="1"/>
  <c r="BE20" i="4"/>
  <c r="BE23" i="4"/>
  <c r="OO25" i="1" a="1"/>
  <c r="BE6" i="4"/>
  <c r="BH8" i="4" a="1"/>
  <c r="BH15" i="4" a="1"/>
  <c r="BH6" i="4" a="1"/>
  <c r="BE17" i="4"/>
  <c r="BH7" i="4" a="1"/>
  <c r="BE9" i="4"/>
  <c r="BE30" i="4"/>
  <c r="BE18" i="4"/>
  <c r="BH23" i="4" a="1"/>
  <c r="BE8" i="4"/>
  <c r="BE16" i="4"/>
  <c r="BE19" i="4"/>
  <c r="QT5" i="1" l="1"/>
  <c r="XJ25" i="1"/>
  <c r="XU21" i="1" s="1"/>
  <c r="BH8" i="4"/>
  <c r="BH15" i="4"/>
  <c r="BH18" i="4"/>
  <c r="BH20" i="4"/>
  <c r="BH19" i="4"/>
  <c r="BH7" i="4"/>
  <c r="BH17" i="4"/>
  <c r="BH23" i="4"/>
  <c r="BH16" i="4"/>
  <c r="BH6" i="4"/>
  <c r="BH9" i="4"/>
  <c r="QR9" i="1"/>
  <c r="QR10" i="1" s="1"/>
  <c r="QS9" i="1"/>
  <c r="QS10" i="1" s="1"/>
  <c r="QQ9" i="1"/>
  <c r="QQ10" i="1" s="1"/>
  <c r="FZ9" i="1"/>
  <c r="FZ10" i="1" s="1"/>
  <c r="FD9" i="1"/>
  <c r="FD10" i="1" s="1"/>
  <c r="DN9" i="1"/>
  <c r="DN10" i="1" s="1"/>
  <c r="EH9" i="1"/>
  <c r="EH10" i="1" s="1"/>
  <c r="FC9" i="1"/>
  <c r="FC10" i="1" s="1"/>
  <c r="FY10" i="1"/>
  <c r="EI9" i="1"/>
  <c r="EI10" i="1" s="1"/>
  <c r="DM9" i="1"/>
  <c r="DM10" i="1" s="1"/>
  <c r="GA9" i="1"/>
  <c r="GA10" i="1" s="1"/>
  <c r="HA25" i="1"/>
  <c r="OP25" i="1"/>
  <c r="OO25" i="1"/>
  <c r="XK25" i="1"/>
  <c r="GZ25" i="1"/>
  <c r="FE4" i="1"/>
  <c r="GB5" i="1"/>
  <c r="EJ4" i="1"/>
  <c r="WY18" i="1"/>
  <c r="NV18" i="1"/>
  <c r="DM18" i="1"/>
  <c r="GB18" i="1"/>
  <c r="DO18" i="1"/>
  <c r="QT18" i="1"/>
  <c r="FE18" i="1"/>
  <c r="EJ18" i="1"/>
  <c r="FY18" i="1"/>
  <c r="EH18" i="1"/>
  <c r="QQ18" i="1"/>
  <c r="FC18" i="1"/>
  <c r="U6" i="4"/>
  <c r="U7" i="4"/>
  <c r="U8" i="4"/>
  <c r="U9" i="4"/>
  <c r="U23" i="4"/>
  <c r="U30" i="4"/>
  <c r="AB6" i="4"/>
  <c r="AB7" i="4"/>
  <c r="AB8" i="4"/>
  <c r="AB9" i="4"/>
  <c r="AB23" i="4"/>
  <c r="AB30" i="4"/>
  <c r="AC3" i="4"/>
  <c r="AA2" i="4"/>
  <c r="MW18" i="1"/>
  <c r="MW21" i="1"/>
  <c r="O13" i="10"/>
  <c r="O4" i="10"/>
  <c r="O5" i="10"/>
  <c r="O6" i="10"/>
  <c r="O7" i="10"/>
  <c r="O8" i="10"/>
  <c r="O9" i="10"/>
  <c r="O10" i="10"/>
  <c r="O11" i="10"/>
  <c r="O12" i="10"/>
  <c r="BN26" i="4"/>
  <c r="BN31" i="4" l="1"/>
  <c r="BI17" i="4"/>
  <c r="BI7" i="4"/>
  <c r="BI19" i="4"/>
  <c r="BI20" i="4"/>
  <c r="BI9" i="4"/>
  <c r="BI18" i="4"/>
  <c r="BI6" i="4"/>
  <c r="BI15" i="4"/>
  <c r="BI23" i="4"/>
  <c r="BI16" i="4"/>
  <c r="BI8" i="4"/>
  <c r="X7" i="4"/>
  <c r="BC7" i="4" s="1"/>
  <c r="X15" i="4"/>
  <c r="BC15" i="4" s="1"/>
  <c r="X19" i="4"/>
  <c r="BC19" i="4" s="1"/>
  <c r="X9" i="4"/>
  <c r="BC9" i="4" s="1"/>
  <c r="X20" i="4"/>
  <c r="BC20" i="4" s="1"/>
  <c r="BC36" i="4"/>
  <c r="BC40" i="4"/>
  <c r="X8" i="4"/>
  <c r="BC8" i="4" s="1"/>
  <c r="X23" i="4"/>
  <c r="BC23" i="4" s="1"/>
  <c r="BC35" i="4"/>
  <c r="X16" i="4"/>
  <c r="BC16" i="4" s="1"/>
  <c r="BC37" i="4"/>
  <c r="X41" i="4"/>
  <c r="BC41" i="4" s="1"/>
  <c r="X6" i="4"/>
  <c r="BC6" i="4" s="1"/>
  <c r="X17" i="4"/>
  <c r="BC17" i="4" s="1"/>
  <c r="X30" i="4"/>
  <c r="BC30" i="4" s="1"/>
  <c r="BC38" i="4"/>
  <c r="BC39" i="4"/>
  <c r="X18" i="4"/>
  <c r="BC18" i="4" s="1"/>
  <c r="B2" i="1"/>
  <c r="E5" i="1"/>
  <c r="B5" i="1"/>
  <c r="GJ5" i="1" s="1"/>
  <c r="C2" i="1"/>
  <c r="HL21" i="1"/>
  <c r="E8" i="1"/>
  <c r="E11" i="1"/>
  <c r="B3" i="1"/>
  <c r="E3" i="1"/>
  <c r="C3" i="1"/>
  <c r="WD5" i="1"/>
  <c r="VP5" i="1"/>
  <c r="MN5" i="1"/>
  <c r="LZ5" i="1"/>
  <c r="FR5" i="1"/>
  <c r="EU5" i="1"/>
  <c r="LP5" i="1"/>
  <c r="RD5" i="1"/>
  <c r="EW5" i="1"/>
  <c r="WP5" i="1"/>
  <c r="WB5" i="1"/>
  <c r="OF5" i="1"/>
  <c r="ML5" i="1"/>
  <c r="GO5" i="1"/>
  <c r="FP5" i="1"/>
  <c r="EB5" i="1"/>
  <c r="WN5" i="1"/>
  <c r="RF5" i="1"/>
  <c r="OD5" i="1"/>
  <c r="GM5" i="1"/>
  <c r="DZ5" i="1"/>
  <c r="VR5" i="1"/>
  <c r="MB5" i="1"/>
  <c r="LN5" i="1"/>
  <c r="NX5" i="1"/>
  <c r="NX4" i="1"/>
  <c r="TZ1" i="1"/>
  <c r="VA4" i="1"/>
  <c r="UW4" i="1"/>
  <c r="UA2" i="1"/>
  <c r="TW2" i="1"/>
  <c r="UA1" i="1"/>
  <c r="UZ4" i="1"/>
  <c r="UV4" i="1"/>
  <c r="TZ2" i="1"/>
  <c r="TX1" i="1"/>
  <c r="TW1" i="1"/>
  <c r="VC4" i="1"/>
  <c r="UY4" i="1"/>
  <c r="UU4" i="1"/>
  <c r="TY2" i="1"/>
  <c r="TY1" i="1"/>
  <c r="VB4" i="1"/>
  <c r="UX4" i="1"/>
  <c r="UT4" i="1"/>
  <c r="TX2" i="1"/>
  <c r="KY4" i="1"/>
  <c r="JV2" i="1"/>
  <c r="KX4" i="1"/>
  <c r="KU4" i="1"/>
  <c r="LA4" i="1"/>
  <c r="KW4" i="1"/>
  <c r="JT2" i="1"/>
  <c r="KR4" i="1"/>
  <c r="KP4" i="1"/>
  <c r="KQ4" i="1"/>
  <c r="KZ4" i="1"/>
  <c r="KV4" i="1"/>
  <c r="JW2" i="1"/>
  <c r="JS2" i="1"/>
  <c r="KS4" i="1"/>
  <c r="JR2" i="1"/>
  <c r="KT4" i="1"/>
  <c r="JU2" i="1"/>
  <c r="AC7" i="4"/>
  <c r="AC41" i="4"/>
  <c r="Z41" i="4"/>
  <c r="Z9" i="4"/>
  <c r="Z19" i="4"/>
  <c r="Z23" i="4"/>
  <c r="Z6" i="4"/>
  <c r="Z20" i="4"/>
  <c r="Z7" i="4"/>
  <c r="Z17" i="4"/>
  <c r="Z8" i="4"/>
  <c r="Z18" i="4"/>
  <c r="Z30" i="4"/>
  <c r="Z16" i="4"/>
  <c r="Z15" i="4"/>
  <c r="AA9" i="4"/>
  <c r="AA41" i="4"/>
  <c r="C5" i="1"/>
  <c r="E6" i="1"/>
  <c r="E4" i="1"/>
  <c r="B4" i="1"/>
  <c r="C4" i="1"/>
  <c r="AC30" i="4"/>
  <c r="AC8" i="4"/>
  <c r="AC6" i="4"/>
  <c r="AA8" i="4"/>
  <c r="AA23" i="4"/>
  <c r="AA7" i="4"/>
  <c r="AC9" i="4"/>
  <c r="AA30" i="4"/>
  <c r="AA6" i="4"/>
  <c r="AE2" i="4"/>
  <c r="AC23" i="4"/>
  <c r="F9" i="10" a="1"/>
  <c r="F9" i="10" s="1"/>
  <c r="F10" i="10" a="1"/>
  <c r="F10" i="10" s="1"/>
  <c r="F11" i="10" a="1"/>
  <c r="F11" i="10" s="1"/>
  <c r="K4" i="10"/>
  <c r="K5" i="10"/>
  <c r="K6" i="10"/>
  <c r="K7" i="10"/>
  <c r="K8" i="10"/>
  <c r="K9" i="10"/>
  <c r="K10" i="10"/>
  <c r="K11" i="10"/>
  <c r="K12" i="10"/>
  <c r="BJ23" i="4" a="1"/>
  <c r="AI25" i="1" a="1"/>
  <c r="CE25" i="1" a="1"/>
  <c r="MY25" i="1" a="1"/>
  <c r="MY6" i="1" a="1"/>
  <c r="ABG25" i="1" a="1"/>
  <c r="BA3" i="1" a="1"/>
  <c r="BJ19" i="4" a="1"/>
  <c r="BJ7" i="4" a="1"/>
  <c r="IJ25" i="1" a="1"/>
  <c r="BJ6" i="4" a="1"/>
  <c r="IS25" i="1" a="1"/>
  <c r="QF25" i="1" a="1"/>
  <c r="NL25" i="1" a="1"/>
  <c r="JB25" i="1" a="1"/>
  <c r="CQ25" i="1" a="1"/>
  <c r="Q3" i="1" a="1"/>
  <c r="SP25" i="1" a="1"/>
  <c r="AC3" i="1" a="1"/>
  <c r="W25" i="1" a="1"/>
  <c r="BJ9" i="4" a="1"/>
  <c r="MY4" i="1" a="1"/>
  <c r="BJ17" i="4" a="1"/>
  <c r="AS25" i="1" a="1"/>
  <c r="MY5" i="1" a="1"/>
  <c r="JK25" i="1" a="1"/>
  <c r="AU25" i="1" a="1"/>
  <c r="U25" i="1" a="1"/>
  <c r="DC25" i="1" a="1"/>
  <c r="PQ25" i="1" a="1"/>
  <c r="PG25" i="1" a="1"/>
  <c r="BJ8" i="4" a="1"/>
  <c r="BN29" i="4"/>
  <c r="BN30" i="4" a="1"/>
  <c r="K25" i="1" a="1"/>
  <c r="TB25" i="1" a="1"/>
  <c r="ACG25" i="1" a="1"/>
  <c r="IA25" i="1" a="1"/>
  <c r="RR25" i="1" a="1"/>
  <c r="BJ20" i="4" a="1"/>
  <c r="PT25" i="1" a="1"/>
  <c r="MY3" i="1" a="1"/>
  <c r="BJ15" i="4" a="1"/>
  <c r="BG25" i="1" a="1"/>
  <c r="BJ18" i="4" a="1"/>
  <c r="HR25" i="1" a="1"/>
  <c r="AO3" i="1" a="1"/>
  <c r="SD25" i="1" a="1"/>
  <c r="BJ16" i="4" a="1"/>
  <c r="AG25" i="1" a="1"/>
  <c r="I25" i="1" a="1"/>
  <c r="TO25" i="1" a="1"/>
  <c r="BS25" i="1" a="1"/>
  <c r="BO31" i="4" a="1"/>
  <c r="BO31" i="4" l="1"/>
  <c r="BR31" i="4" s="1"/>
  <c r="BN30" i="4"/>
  <c r="BJ8" i="4"/>
  <c r="BJ6" i="4"/>
  <c r="BJ19" i="4"/>
  <c r="BJ23" i="4"/>
  <c r="BJ9" i="4"/>
  <c r="BJ17" i="4"/>
  <c r="BJ16" i="4"/>
  <c r="BJ18" i="4"/>
  <c r="BJ7" i="4"/>
  <c r="BJ15" i="4"/>
  <c r="BJ20" i="4"/>
  <c r="MY3" i="1"/>
  <c r="HR25" i="1"/>
  <c r="IA25" i="1"/>
  <c r="IS25" i="1"/>
  <c r="IJ25" i="1"/>
  <c r="JB25" i="1"/>
  <c r="JK25" i="1"/>
  <c r="I25" i="1"/>
  <c r="PQ25" i="1"/>
  <c r="AS25" i="1"/>
  <c r="AG25" i="1"/>
  <c r="U25" i="1"/>
  <c r="MY5" i="1"/>
  <c r="MY6" i="1"/>
  <c r="AC3" i="1"/>
  <c r="AO3" i="1"/>
  <c r="Q3" i="1"/>
  <c r="BA3" i="1"/>
  <c r="RR25" i="1"/>
  <c r="AU25" i="1"/>
  <c r="SP25" i="1"/>
  <c r="MY25" i="1"/>
  <c r="BS25" i="1"/>
  <c r="W25" i="1"/>
  <c r="QF25" i="1"/>
  <c r="ABG25" i="1"/>
  <c r="BG25" i="1"/>
  <c r="ACG25" i="1"/>
  <c r="SD25" i="1"/>
  <c r="DC25" i="1"/>
  <c r="CE25" i="1"/>
  <c r="PG25" i="1"/>
  <c r="TO25" i="1"/>
  <c r="TB25" i="1"/>
  <c r="PT25" i="1"/>
  <c r="NL25" i="1"/>
  <c r="AI25" i="1"/>
  <c r="CQ25" i="1"/>
  <c r="K25" i="1"/>
  <c r="MY4" i="1"/>
  <c r="MH5" i="1"/>
  <c r="LV5" i="1"/>
  <c r="LJ5" i="1"/>
  <c r="VX6" i="1"/>
  <c r="LJ6" i="1"/>
  <c r="EQ6" i="1"/>
  <c r="QZ6" i="1"/>
  <c r="GI6" i="1"/>
  <c r="VL6" i="1"/>
  <c r="NZ6" i="1"/>
  <c r="MH6" i="1"/>
  <c r="FL6" i="1"/>
  <c r="WJ6" i="1"/>
  <c r="LV6" i="1"/>
  <c r="DV6" i="1"/>
  <c r="DW5" i="1"/>
  <c r="LK5" i="1"/>
  <c r="FM5" i="1"/>
  <c r="MI5" i="1"/>
  <c r="WK5" i="1"/>
  <c r="RA5" i="1"/>
  <c r="ER5" i="1"/>
  <c r="OA5" i="1" s="1"/>
  <c r="VY5" i="1"/>
  <c r="VM5" i="1"/>
  <c r="LW5" i="1"/>
  <c r="WK4" i="1"/>
  <c r="VY4" i="1"/>
  <c r="VM4" i="1"/>
  <c r="RA4" i="1"/>
  <c r="OA4" i="1"/>
  <c r="MI4" i="1"/>
  <c r="LW4" i="1"/>
  <c r="LK4" i="1"/>
  <c r="FM4" i="1"/>
  <c r="GJ4" i="1"/>
  <c r="ER4" i="1"/>
  <c r="DW4" i="1"/>
  <c r="B5" i="10" a="1"/>
  <c r="B5" i="10" s="1"/>
  <c r="B8" i="10" a="1"/>
  <c r="B8" i="10" s="1"/>
  <c r="B11" i="10" a="1"/>
  <c r="B11" i="10" s="1"/>
  <c r="B12" i="10" a="1"/>
  <c r="B12" i="10" s="1"/>
  <c r="B10" i="10" a="1"/>
  <c r="B10" i="10" s="1"/>
  <c r="B13" i="10" a="1"/>
  <c r="B13" i="10" s="1"/>
  <c r="B9" i="10" a="1"/>
  <c r="B9" i="10" s="1"/>
  <c r="AE18" i="4"/>
  <c r="AE19" i="4"/>
  <c r="AE17" i="4"/>
  <c r="AE15" i="4"/>
  <c r="AE20" i="4"/>
  <c r="AE16" i="4"/>
  <c r="WP4" i="1"/>
  <c r="WN4" i="1"/>
  <c r="WB4" i="1"/>
  <c r="WD4" i="1"/>
  <c r="VP4" i="1"/>
  <c r="VR4" i="1"/>
  <c r="RF4" i="1"/>
  <c r="RD4" i="1"/>
  <c r="OD4" i="1"/>
  <c r="OF4" i="1"/>
  <c r="ML4" i="1"/>
  <c r="MN4" i="1"/>
  <c r="LZ4" i="1"/>
  <c r="MB4" i="1"/>
  <c r="LN4" i="1"/>
  <c r="LP4" i="1"/>
  <c r="GM4" i="1"/>
  <c r="GO4" i="1"/>
  <c r="FR4" i="1"/>
  <c r="FP4" i="1"/>
  <c r="EU4" i="1"/>
  <c r="EB4" i="1"/>
  <c r="EW4" i="1"/>
  <c r="DZ4" i="1"/>
  <c r="MG5" i="1"/>
  <c r="VW5" i="1"/>
  <c r="VK5" i="1"/>
  <c r="WI5" i="1"/>
  <c r="WJ4" i="1"/>
  <c r="VL4" i="1"/>
  <c r="WI4" i="1"/>
  <c r="VK4" i="1"/>
  <c r="VX4" i="1"/>
  <c r="VW4" i="1"/>
  <c r="AE30" i="4"/>
  <c r="AE41" i="4"/>
  <c r="MH4" i="1"/>
  <c r="MG4" i="1"/>
  <c r="LI5" i="1"/>
  <c r="LU5" i="1"/>
  <c r="LV4" i="1"/>
  <c r="LU4" i="1"/>
  <c r="LJ4" i="1"/>
  <c r="LI4" i="1"/>
  <c r="NY5" i="1"/>
  <c r="NY4" i="1"/>
  <c r="NZ4" i="1"/>
  <c r="QY5" i="1"/>
  <c r="QY4" i="1"/>
  <c r="QZ4" i="1"/>
  <c r="DU5" i="1"/>
  <c r="EP5" i="1"/>
  <c r="FK5" i="1"/>
  <c r="GH5" i="1"/>
  <c r="FL4" i="1"/>
  <c r="EQ4" i="1"/>
  <c r="GI4" i="1"/>
  <c r="DV4" i="1"/>
  <c r="FK4" i="1"/>
  <c r="GH4" i="1"/>
  <c r="DU4" i="1"/>
  <c r="EP4" i="1"/>
  <c r="AE6" i="4"/>
  <c r="AE23" i="4"/>
  <c r="AE8" i="4"/>
  <c r="AE9" i="4"/>
  <c r="AE7" i="4"/>
  <c r="B7" i="10" a="1"/>
  <c r="B7" i="10" s="1"/>
  <c r="F7" i="10" a="1"/>
  <c r="F7" i="10" s="1"/>
  <c r="F6" i="10" a="1"/>
  <c r="F6" i="10" s="1"/>
  <c r="F5" i="10" a="1"/>
  <c r="F5" i="10" s="1"/>
  <c r="B6" i="10" a="1"/>
  <c r="B6" i="10" s="1"/>
  <c r="F12" i="10" a="1"/>
  <c r="F12" i="10" s="1"/>
  <c r="F8" i="10" a="1"/>
  <c r="F8" i="10" s="1"/>
  <c r="F13" i="10" a="1"/>
  <c r="F13" i="10" s="1"/>
  <c r="A26" i="4"/>
  <c r="IH23" i="1" a="1"/>
  <c r="WZ11" i="1" a="1"/>
  <c r="AI2" i="1" a="1"/>
  <c r="AAF11" i="1" a="1"/>
  <c r="Q4" i="1" a="1"/>
  <c r="NE11" i="1" a="1"/>
  <c r="MY11" i="1" a="1"/>
  <c r="WW11" i="1" a="1"/>
  <c r="AQ23" i="1" a="1"/>
  <c r="QO11" i="1" a="1"/>
  <c r="NW11" i="1" a="1"/>
  <c r="XB11" i="1" a="1"/>
  <c r="ABT11" i="1" a="1"/>
  <c r="TW11" i="1" a="1"/>
  <c r="JP3" i="1" a="1"/>
  <c r="AAH11" i="1" a="1"/>
  <c r="AAJ11" i="1" a="1"/>
  <c r="SX23" i="1" a="1"/>
  <c r="PZ3" i="1" a="1"/>
  <c r="UA11" i="1" a="1"/>
  <c r="JU11" i="1" a="1"/>
  <c r="CA23" i="1" a="1"/>
  <c r="NV11" i="1" a="1"/>
  <c r="JT11" i="1" a="1"/>
  <c r="AAP11" i="1" a="1"/>
  <c r="BA4" i="1" a="1"/>
  <c r="JR11" i="1" a="1"/>
  <c r="ABP11" i="1" a="1"/>
  <c r="FA11" i="1" a="1"/>
  <c r="AAN11" i="1" a="1"/>
  <c r="CM23" i="1" a="1"/>
  <c r="YG11" i="1" a="1"/>
  <c r="IQ23" i="1" a="1"/>
  <c r="WY11" i="1" a="1"/>
  <c r="OP11" i="1" a="1"/>
  <c r="QP11" i="1" a="1"/>
  <c r="DN11" i="1" a="1"/>
  <c r="BO23" i="1" a="1"/>
  <c r="FX11" i="1" a="1"/>
  <c r="FZ11" i="1" a="1"/>
  <c r="WU11" i="1" a="1"/>
  <c r="XA11" i="1" a="1"/>
  <c r="HW3" i="1" a="1"/>
  <c r="EI11" i="1" a="1"/>
  <c r="DL11" i="1" a="1"/>
  <c r="G23" i="1" a="1"/>
  <c r="EH11" i="1" a="1"/>
  <c r="BO30" i="4" a="1"/>
  <c r="AU2" i="1" a="1"/>
  <c r="NU11" i="1" a="1"/>
  <c r="FC11" i="1" a="1"/>
  <c r="W2" i="1" a="1"/>
  <c r="NB11" i="1" a="1"/>
  <c r="WX11" i="1" a="1"/>
  <c r="JW11" i="1" a="1"/>
  <c r="FV11" i="1" a="1"/>
  <c r="FY11" i="1" a="1"/>
  <c r="ABZ11" i="1" a="1"/>
  <c r="IZ23" i="1" a="1"/>
  <c r="DK11" i="1" a="1"/>
  <c r="EG11" i="1" a="1"/>
  <c r="CY23" i="1" a="1"/>
  <c r="JV11" i="1" a="1"/>
  <c r="TX11" i="1" a="1"/>
  <c r="RN23" i="1" a="1"/>
  <c r="GA11" i="1" a="1"/>
  <c r="WT11" i="1" a="1"/>
  <c r="AO4" i="1" a="1"/>
  <c r="FB11" i="1" a="1"/>
  <c r="IX3" i="1" a="1"/>
  <c r="RZ23" i="1" a="1"/>
  <c r="HP23" i="1" a="1"/>
  <c r="QQ11" i="1" a="1"/>
  <c r="PT2" i="1" a="1"/>
  <c r="BO29" i="4" a="1"/>
  <c r="DM11" i="1" a="1"/>
  <c r="S23" i="1" a="1"/>
  <c r="FW11" i="1" a="1"/>
  <c r="HA11" i="1" a="1"/>
  <c r="ABR11" i="1" a="1"/>
  <c r="IF3" i="1" a="1"/>
  <c r="XC11" i="1" a="1"/>
  <c r="JI23" i="1" a="1"/>
  <c r="AE23" i="1" a="1"/>
  <c r="SL23" i="1" a="1"/>
  <c r="BO26" i="4" a="1"/>
  <c r="FD11" i="1" a="1"/>
  <c r="AAL11" i="1" a="1"/>
  <c r="TY11" i="1" a="1"/>
  <c r="EF11" i="1" a="1"/>
  <c r="HY23" i="1" a="1"/>
  <c r="JG3" i="1" a="1"/>
  <c r="ABV11" i="1" a="1"/>
  <c r="IO3" i="1" a="1"/>
  <c r="QR11" i="1" a="1"/>
  <c r="NT11" i="1" a="1"/>
  <c r="K2" i="1" a="1"/>
  <c r="QS11" i="1" a="1"/>
  <c r="ABX11" i="1" a="1"/>
  <c r="XK11" i="1" a="1"/>
  <c r="WV11" i="1" a="1"/>
  <c r="QN11" i="1" a="1"/>
  <c r="JS11" i="1" a="1"/>
  <c r="BC23" i="1" a="1"/>
  <c r="TZ11" i="1" a="1"/>
  <c r="PO23" i="1" a="1"/>
  <c r="AC4" i="1" a="1"/>
  <c r="BO26" i="4" l="1"/>
  <c r="BR26" i="4" s="1"/>
  <c r="BO29" i="4"/>
  <c r="BR29" i="4" s="1"/>
  <c r="BO30" i="4"/>
  <c r="BR30" i="4" s="1"/>
  <c r="AC4" i="1"/>
  <c r="AO4" i="1"/>
  <c r="BA4" i="1"/>
  <c r="Q4" i="1"/>
  <c r="DN11" i="1"/>
  <c r="ABT11" i="1"/>
  <c r="AAL11" i="1"/>
  <c r="HY23" i="1"/>
  <c r="WZ11" i="1"/>
  <c r="ABX11" i="1"/>
  <c r="NT11" i="1"/>
  <c r="HA11" i="1"/>
  <c r="WX11" i="1"/>
  <c r="QS11" i="1"/>
  <c r="W2" i="1"/>
  <c r="AAN11" i="1"/>
  <c r="QQ11" i="1"/>
  <c r="NU11" i="1"/>
  <c r="WY11" i="1"/>
  <c r="EH11" i="1"/>
  <c r="RN23" i="1"/>
  <c r="G23" i="1"/>
  <c r="QO11" i="1"/>
  <c r="IQ23" i="1"/>
  <c r="WT11" i="1"/>
  <c r="DM11" i="1"/>
  <c r="JI23" i="1"/>
  <c r="FW11" i="1"/>
  <c r="IO3" i="1"/>
  <c r="OP11" i="1"/>
  <c r="NB11" i="1"/>
  <c r="IX3" i="1"/>
  <c r="PZ3" i="1"/>
  <c r="FA11" i="1"/>
  <c r="DK11" i="1"/>
  <c r="FX11" i="1"/>
  <c r="AE23" i="1"/>
  <c r="JU11" i="1"/>
  <c r="IZ23" i="1"/>
  <c r="AQ23" i="1"/>
  <c r="JP3" i="1"/>
  <c r="GA11" i="1"/>
  <c r="AAH11" i="1"/>
  <c r="YG11" i="1"/>
  <c r="NE11" i="1"/>
  <c r="HP23" i="1"/>
  <c r="FC11" i="1"/>
  <c r="BO23" i="1"/>
  <c r="RZ23" i="1"/>
  <c r="EG11" i="1"/>
  <c r="IH23" i="1"/>
  <c r="JW11" i="1"/>
  <c r="BC23" i="1"/>
  <c r="NV11" i="1"/>
  <c r="CM23" i="1"/>
  <c r="QP11" i="1"/>
  <c r="CA23" i="1"/>
  <c r="SL23" i="1"/>
  <c r="S23" i="1"/>
  <c r="AU2" i="1"/>
  <c r="XK11" i="1"/>
  <c r="ABP11" i="1"/>
  <c r="TW11" i="1"/>
  <c r="FZ11" i="1"/>
  <c r="JV11" i="1"/>
  <c r="JR11" i="1"/>
  <c r="WV11" i="1"/>
  <c r="AAP11" i="1"/>
  <c r="JG3" i="1"/>
  <c r="UA11" i="1"/>
  <c r="TY11" i="1"/>
  <c r="XB11" i="1"/>
  <c r="IF3" i="1"/>
  <c r="WW11" i="1"/>
  <c r="QN11" i="1"/>
  <c r="AAF11" i="1"/>
  <c r="EI11" i="1"/>
  <c r="ABZ11" i="1"/>
  <c r="FB11" i="1"/>
  <c r="WU11" i="1"/>
  <c r="XC11" i="1"/>
  <c r="FD11" i="1"/>
  <c r="SX23" i="1"/>
  <c r="ABR11" i="1"/>
  <c r="DL11" i="1"/>
  <c r="FV11" i="1"/>
  <c r="AI2" i="1"/>
  <c r="MY11" i="1"/>
  <c r="CY23" i="1"/>
  <c r="EF11" i="1"/>
  <c r="FY11" i="1"/>
  <c r="TZ11" i="1"/>
  <c r="QR11" i="1"/>
  <c r="AAJ11" i="1"/>
  <c r="JT11" i="1"/>
  <c r="PT2" i="1"/>
  <c r="K2" i="1"/>
  <c r="HW3" i="1"/>
  <c r="ABV11" i="1"/>
  <c r="TX11" i="1"/>
  <c r="JS11" i="1"/>
  <c r="XA11" i="1"/>
  <c r="PO23" i="1"/>
  <c r="NW11" i="1"/>
  <c r="D12" i="21"/>
  <c r="Q23" i="1" a="1"/>
  <c r="B12" i="21"/>
  <c r="HW4" i="1" a="1"/>
  <c r="IX4" i="1" a="1"/>
  <c r="PZ4" i="1" a="1"/>
  <c r="JP4" i="1" a="1"/>
  <c r="JG4" i="1" a="1"/>
  <c r="IF4" i="1" a="1"/>
  <c r="IO4" i="1" a="1"/>
  <c r="BR33" i="4" l="1"/>
  <c r="Q23" i="1"/>
  <c r="L28" i="1"/>
  <c r="L41" i="1"/>
  <c r="L57" i="1"/>
  <c r="L29" i="1"/>
  <c r="L45" i="1"/>
  <c r="L30" i="1"/>
  <c r="L46" i="1"/>
  <c r="L39" i="1"/>
  <c r="L55" i="1"/>
  <c r="L44" i="1"/>
  <c r="L31" i="1"/>
  <c r="L49" i="1"/>
  <c r="L42" i="1"/>
  <c r="L43" i="1"/>
  <c r="L36" i="1"/>
  <c r="L56" i="1"/>
  <c r="L32" i="1"/>
  <c r="L53" i="1"/>
  <c r="L50" i="1"/>
  <c r="L47" i="1"/>
  <c r="L40" i="1"/>
  <c r="L37" i="1"/>
  <c r="L35" i="1"/>
  <c r="L52" i="1"/>
  <c r="L33" i="1"/>
  <c r="L34" i="1"/>
  <c r="L54" i="1"/>
  <c r="L51" i="1"/>
  <c r="L48" i="1"/>
  <c r="L38" i="1"/>
  <c r="AV39" i="1"/>
  <c r="AV32" i="1"/>
  <c r="AV48" i="1"/>
  <c r="AV53" i="1"/>
  <c r="AV54" i="1"/>
  <c r="AV37" i="1"/>
  <c r="AV34" i="1"/>
  <c r="AV43" i="1"/>
  <c r="AV36" i="1"/>
  <c r="AV52" i="1"/>
  <c r="AV30" i="1"/>
  <c r="AV51" i="1"/>
  <c r="AV41" i="1"/>
  <c r="AV42" i="1"/>
  <c r="AV31" i="1"/>
  <c r="AV47" i="1"/>
  <c r="AV40" i="1"/>
  <c r="AV56" i="1"/>
  <c r="AV38" i="1"/>
  <c r="AV29" i="1"/>
  <c r="AV49" i="1"/>
  <c r="AV50" i="1"/>
  <c r="AV44" i="1"/>
  <c r="AV57" i="1"/>
  <c r="AV33" i="1"/>
  <c r="AV45" i="1"/>
  <c r="AV28" i="1"/>
  <c r="AV35" i="1"/>
  <c r="AV46" i="1"/>
  <c r="AV55" i="1"/>
  <c r="AJ43" i="1"/>
  <c r="AJ32" i="1"/>
  <c r="AJ29" i="1"/>
  <c r="AJ45" i="1"/>
  <c r="AJ30" i="1"/>
  <c r="AJ46" i="1"/>
  <c r="AJ36" i="1"/>
  <c r="AJ47" i="1"/>
  <c r="AJ48" i="1"/>
  <c r="AJ41" i="1"/>
  <c r="AJ34" i="1"/>
  <c r="AJ54" i="1"/>
  <c r="AJ37" i="1"/>
  <c r="AJ52" i="1"/>
  <c r="AJ31" i="1"/>
  <c r="AJ51" i="1"/>
  <c r="AJ56" i="1"/>
  <c r="AJ49" i="1"/>
  <c r="AJ38" i="1"/>
  <c r="AJ28" i="1"/>
  <c r="AJ40" i="1"/>
  <c r="AJ50" i="1"/>
  <c r="AJ35" i="1"/>
  <c r="AJ55" i="1"/>
  <c r="AJ33" i="1"/>
  <c r="AJ53" i="1"/>
  <c r="AJ42" i="1"/>
  <c r="AJ44" i="1"/>
  <c r="AJ39" i="1"/>
  <c r="AJ57" i="1"/>
  <c r="X31" i="1"/>
  <c r="X47" i="1"/>
  <c r="X48" i="1"/>
  <c r="X28" i="1"/>
  <c r="X51" i="1"/>
  <c r="X29" i="1"/>
  <c r="X57" i="1"/>
  <c r="X32" i="1"/>
  <c r="X33" i="1"/>
  <c r="X38" i="1"/>
  <c r="X49" i="1"/>
  <c r="X30" i="1"/>
  <c r="X35" i="1"/>
  <c r="X55" i="1"/>
  <c r="X37" i="1"/>
  <c r="X34" i="1"/>
  <c r="X36" i="1"/>
  <c r="X45" i="1"/>
  <c r="X46" i="1"/>
  <c r="X56" i="1"/>
  <c r="X52" i="1"/>
  <c r="X39" i="1"/>
  <c r="X40" i="1"/>
  <c r="X41" i="1"/>
  <c r="X42" i="1"/>
  <c r="X44" i="1"/>
  <c r="X53" i="1"/>
  <c r="X54" i="1"/>
  <c r="X43" i="1"/>
  <c r="X50" i="1"/>
  <c r="PZ4" i="1"/>
  <c r="JP4" i="1"/>
  <c r="JP5" i="1" s="1"/>
  <c r="JG4" i="1"/>
  <c r="JG5" i="1" s="1"/>
  <c r="IX4" i="1"/>
  <c r="IX5" i="1" s="1"/>
  <c r="IO4" i="1"/>
  <c r="IO5" i="1" s="1"/>
  <c r="IF4" i="1"/>
  <c r="IF5" i="1" s="1"/>
  <c r="HW4" i="1"/>
  <c r="HW5" i="1" s="1"/>
  <c r="Q51" i="21"/>
  <c r="Q41" i="21"/>
  <c r="Q31" i="21"/>
  <c r="R73" i="21"/>
  <c r="P12" i="21" a="1"/>
  <c r="N12" i="21" a="1"/>
  <c r="P12" i="21" l="1"/>
  <c r="N12" i="21"/>
  <c r="PU31" i="1"/>
  <c r="PU35" i="1"/>
  <c r="PU39" i="1"/>
  <c r="PU43" i="1"/>
  <c r="PU47" i="1"/>
  <c r="PU51" i="1"/>
  <c r="PU55" i="1"/>
  <c r="PU32" i="1"/>
  <c r="PU36" i="1"/>
  <c r="PU40" i="1"/>
  <c r="PU44" i="1"/>
  <c r="PU48" i="1"/>
  <c r="PU52" i="1"/>
  <c r="PU56" i="1"/>
  <c r="PU29" i="1"/>
  <c r="PU33" i="1"/>
  <c r="PU37" i="1"/>
  <c r="PU41" i="1"/>
  <c r="PU45" i="1"/>
  <c r="PU49" i="1"/>
  <c r="PU53" i="1"/>
  <c r="PU57" i="1"/>
  <c r="PU30" i="1"/>
  <c r="PU34" i="1"/>
  <c r="PU38" i="1"/>
  <c r="PU42" i="1"/>
  <c r="PU46" i="1"/>
  <c r="PU50" i="1"/>
  <c r="PU54" i="1"/>
  <c r="PZ5" i="1"/>
  <c r="PU28" i="1"/>
  <c r="J20" i="4"/>
  <c r="J21" i="4"/>
  <c r="J22" i="4"/>
  <c r="J19" i="4"/>
  <c r="J35" i="4"/>
  <c r="J36" i="4"/>
  <c r="J34" i="4"/>
  <c r="J28" i="4"/>
  <c r="J29" i="4"/>
  <c r="J30" i="4"/>
  <c r="J27" i="4"/>
  <c r="J26" i="4"/>
  <c r="PT34" i="1" a="1"/>
  <c r="K29" i="1" a="1"/>
  <c r="AI39" i="1" a="1"/>
  <c r="AI42" i="1" a="1"/>
  <c r="AU29" i="1" a="1"/>
  <c r="AI51" i="1" a="1"/>
  <c r="W45" i="1" a="1"/>
  <c r="AU47" i="1" a="1"/>
  <c r="PT45" i="1" a="1"/>
  <c r="K39" i="1" a="1"/>
  <c r="K51" i="1" a="1"/>
  <c r="PT56" i="1" a="1"/>
  <c r="AU55" i="1" a="1"/>
  <c r="AU38" i="1" a="1"/>
  <c r="W49" i="1" a="1"/>
  <c r="AI36" i="1" a="1"/>
  <c r="W33" i="1" a="1"/>
  <c r="AI34" i="1" a="1"/>
  <c r="K48" i="1" a="1"/>
  <c r="PT54" i="1" a="1"/>
  <c r="AI40" i="1" a="1"/>
  <c r="W51" i="1" a="1"/>
  <c r="K38" i="1" a="1"/>
  <c r="PT29" i="1" a="1"/>
  <c r="W35" i="1" a="1"/>
  <c r="AU32" i="1" a="1"/>
  <c r="K53" i="1" a="1"/>
  <c r="W37" i="1" a="1"/>
  <c r="AI41" i="1" a="1"/>
  <c r="K33" i="1" a="1"/>
  <c r="PT46" i="1" a="1"/>
  <c r="K44" i="1" a="1"/>
  <c r="W47" i="1" a="1"/>
  <c r="K54" i="1" a="1"/>
  <c r="K45" i="1" a="1"/>
  <c r="PT48" i="1" a="1"/>
  <c r="AU40" i="1" a="1"/>
  <c r="W54" i="1" a="1"/>
  <c r="AU42" i="1" a="1"/>
  <c r="AI52" i="1" a="1"/>
  <c r="K31" i="1" a="1"/>
  <c r="AI28" i="1" a="1"/>
  <c r="PT52" i="1" a="1"/>
  <c r="K56" i="1" a="1"/>
  <c r="W28" i="1" a="1"/>
  <c r="W57" i="1" a="1"/>
  <c r="PT39" i="1" a="1"/>
  <c r="K41" i="1" a="1"/>
  <c r="K32" i="1" a="1"/>
  <c r="PT30" i="1" a="1"/>
  <c r="W38" i="1" a="1"/>
  <c r="W34" i="1" a="1"/>
  <c r="K49" i="1" a="1"/>
  <c r="AI32" i="1" a="1"/>
  <c r="AU45" i="1" a="1"/>
  <c r="K52" i="1" a="1"/>
  <c r="AI45" i="1" a="1"/>
  <c r="K47" i="1" a="1"/>
  <c r="K50" i="1" a="1"/>
  <c r="AI56" i="1" a="1"/>
  <c r="AU49" i="1" a="1"/>
  <c r="AI29" i="1" a="1"/>
  <c r="PT42" i="1" a="1"/>
  <c r="K43" i="1" a="1"/>
  <c r="AU51" i="1" a="1"/>
  <c r="K30" i="1" a="1"/>
  <c r="PT43" i="1" a="1"/>
  <c r="AU41" i="1" a="1"/>
  <c r="AU37" i="1" a="1"/>
  <c r="W29" i="1" a="1"/>
  <c r="AI57" i="1" a="1"/>
  <c r="AI33" i="1" a="1"/>
  <c r="AI46" i="1" a="1"/>
  <c r="PT55" i="1" a="1"/>
  <c r="W43" i="1" a="1"/>
  <c r="AI49" i="1" a="1"/>
  <c r="W39" i="1" a="1"/>
  <c r="AU50" i="1" a="1"/>
  <c r="AU39" i="1" a="1"/>
  <c r="W40" i="1" a="1"/>
  <c r="PT33" i="1" a="1"/>
  <c r="AU35" i="1" a="1"/>
  <c r="W53" i="1" a="1"/>
  <c r="K57" i="1" a="1"/>
  <c r="AU31" i="1" a="1"/>
  <c r="AU28" i="1" a="1"/>
  <c r="PT35" i="1" a="1"/>
  <c r="AU30" i="1" a="1"/>
  <c r="W32" i="1" a="1"/>
  <c r="PT38" i="1" a="1"/>
  <c r="PT40" i="1" a="1"/>
  <c r="K46" i="1" a="1"/>
  <c r="W31" i="1" a="1"/>
  <c r="PT31" i="1" a="1"/>
  <c r="PT36" i="1" a="1"/>
  <c r="AU34" i="1" a="1"/>
  <c r="K40" i="1" a="1"/>
  <c r="AI53" i="1" a="1"/>
  <c r="K37" i="1" a="1"/>
  <c r="W46" i="1" a="1"/>
  <c r="PT53" i="1" a="1"/>
  <c r="AI55" i="1" a="1"/>
  <c r="AI35" i="1" a="1"/>
  <c r="K28" i="1" a="1"/>
  <c r="PT28" i="1" a="1"/>
  <c r="AI37" i="1" a="1"/>
  <c r="K36" i="1" a="1"/>
  <c r="K34" i="1" a="1"/>
  <c r="AU44" i="1" a="1"/>
  <c r="K35" i="1" a="1"/>
  <c r="AI48" i="1" a="1"/>
  <c r="W30" i="1" a="1"/>
  <c r="W41" i="1" a="1"/>
  <c r="PT41" i="1" a="1"/>
  <c r="PT51" i="1" a="1"/>
  <c r="PT32" i="1" a="1"/>
  <c r="AI38" i="1" a="1"/>
  <c r="AU57" i="1" a="1"/>
  <c r="PT57" i="1" a="1"/>
  <c r="AI43" i="1" a="1"/>
  <c r="AU56" i="1" a="1"/>
  <c r="W52" i="1" a="1"/>
  <c r="AU54" i="1" a="1"/>
  <c r="AI44" i="1" a="1"/>
  <c r="W48" i="1" a="1"/>
  <c r="AU53" i="1" a="1"/>
  <c r="AU46" i="1" a="1"/>
  <c r="W36" i="1" a="1"/>
  <c r="PT44" i="1" a="1"/>
  <c r="PT37" i="1" a="1"/>
  <c r="K55" i="1" a="1"/>
  <c r="AU48" i="1" a="1"/>
  <c r="AI54" i="1" a="1"/>
  <c r="AI50" i="1" a="1"/>
  <c r="PT49" i="1" a="1"/>
  <c r="AU43" i="1" a="1"/>
  <c r="PT47" i="1" a="1"/>
  <c r="W55" i="1" a="1"/>
  <c r="AI31" i="1" a="1"/>
  <c r="AU33" i="1" a="1"/>
  <c r="AU52" i="1" a="1"/>
  <c r="AI47" i="1" a="1"/>
  <c r="W50" i="1" a="1"/>
  <c r="W42" i="1" a="1"/>
  <c r="PT50" i="1" a="1"/>
  <c r="AU36" i="1" a="1"/>
  <c r="K42" i="1" a="1"/>
  <c r="W44" i="1" a="1"/>
  <c r="W56" i="1" a="1"/>
  <c r="AI30" i="1" a="1"/>
  <c r="W43" i="1" l="1"/>
  <c r="AI34" i="1"/>
  <c r="W56" i="1"/>
  <c r="AI51" i="1"/>
  <c r="W45" i="1"/>
  <c r="AU57" i="1"/>
  <c r="AI44" i="1"/>
  <c r="PT41" i="1"/>
  <c r="AU39" i="1"/>
  <c r="AI40" i="1"/>
  <c r="PT56" i="1"/>
  <c r="K48" i="1"/>
  <c r="AU55" i="1"/>
  <c r="AU48" i="1"/>
  <c r="PT53" i="1"/>
  <c r="W28" i="1"/>
  <c r="PT55" i="1"/>
  <c r="K47" i="1"/>
  <c r="AI53" i="1"/>
  <c r="W49" i="1"/>
  <c r="AU43" i="1"/>
  <c r="AI52" i="1"/>
  <c r="AU56" i="1"/>
  <c r="W40" i="1"/>
  <c r="PT30" i="1"/>
  <c r="PT46" i="1"/>
  <c r="AI43" i="1"/>
  <c r="K57" i="1"/>
  <c r="AU34" i="1"/>
  <c r="AU30" i="1"/>
  <c r="PT32" i="1"/>
  <c r="AI30" i="1"/>
  <c r="AI31" i="1"/>
  <c r="K32" i="1"/>
  <c r="PT28" i="1"/>
  <c r="W55" i="1"/>
  <c r="AI47" i="1"/>
  <c r="W32" i="1"/>
  <c r="W44" i="1"/>
  <c r="AU44" i="1"/>
  <c r="PT50" i="1"/>
  <c r="W30" i="1"/>
  <c r="PT52" i="1"/>
  <c r="W42" i="1"/>
  <c r="AI46" i="1"/>
  <c r="K44" i="1"/>
  <c r="PT49" i="1"/>
  <c r="W31" i="1"/>
  <c r="K53" i="1"/>
  <c r="PT57" i="1"/>
  <c r="PT45" i="1"/>
  <c r="K54" i="1"/>
  <c r="AU45" i="1"/>
  <c r="AI50" i="1"/>
  <c r="W53" i="1"/>
  <c r="K28" i="1"/>
  <c r="AU35" i="1"/>
  <c r="W34" i="1"/>
  <c r="W51" i="1"/>
  <c r="K41" i="1"/>
  <c r="AI28" i="1"/>
  <c r="PT42" i="1"/>
  <c r="AU49" i="1"/>
  <c r="AI32" i="1"/>
  <c r="PT47" i="1"/>
  <c r="K33" i="1"/>
  <c r="AU52" i="1"/>
  <c r="W57" i="1"/>
  <c r="W48" i="1"/>
  <c r="AI36" i="1"/>
  <c r="AI42" i="1"/>
  <c r="K38" i="1"/>
  <c r="AU51" i="1"/>
  <c r="AI54" i="1"/>
  <c r="AU28" i="1"/>
  <c r="PT35" i="1"/>
  <c r="K36" i="1"/>
  <c r="K46" i="1"/>
  <c r="K40" i="1"/>
  <c r="W46" i="1"/>
  <c r="K43" i="1"/>
  <c r="AU37" i="1"/>
  <c r="AI38" i="1"/>
  <c r="AI56" i="1"/>
  <c r="AU29" i="1"/>
  <c r="W36" i="1"/>
  <c r="AU33" i="1"/>
  <c r="W47" i="1"/>
  <c r="W41" i="1"/>
  <c r="AU36" i="1"/>
  <c r="AU40" i="1"/>
  <c r="PT48" i="1"/>
  <c r="PT44" i="1"/>
  <c r="AU53" i="1"/>
  <c r="AU31" i="1"/>
  <c r="K42" i="1"/>
  <c r="PT38" i="1"/>
  <c r="PT51" i="1"/>
  <c r="K45" i="1"/>
  <c r="K37" i="1"/>
  <c r="PT39" i="1"/>
  <c r="W52" i="1"/>
  <c r="AU41" i="1"/>
  <c r="AU38" i="1"/>
  <c r="AI57" i="1"/>
  <c r="K29" i="1"/>
  <c r="K31" i="1"/>
  <c r="AU50" i="1"/>
  <c r="AI48" i="1"/>
  <c r="AU47" i="1"/>
  <c r="PT36" i="1"/>
  <c r="AI33" i="1"/>
  <c r="AI37" i="1"/>
  <c r="W35" i="1"/>
  <c r="PT31" i="1"/>
  <c r="K35" i="1"/>
  <c r="PT43" i="1"/>
  <c r="W29" i="1"/>
  <c r="PT29" i="1"/>
  <c r="W39" i="1"/>
  <c r="PT37" i="1"/>
  <c r="PT34" i="1"/>
  <c r="AU32" i="1"/>
  <c r="PT54" i="1"/>
  <c r="PT33" i="1"/>
  <c r="K34" i="1"/>
  <c r="K50" i="1"/>
  <c r="AI39" i="1"/>
  <c r="W54" i="1"/>
  <c r="K49" i="1"/>
  <c r="AI49" i="1"/>
  <c r="PT40" i="1"/>
  <c r="AI55" i="1"/>
  <c r="K52" i="1"/>
  <c r="K30" i="1"/>
  <c r="AI29" i="1"/>
  <c r="AI41" i="1"/>
  <c r="W33" i="1"/>
  <c r="AU46" i="1"/>
  <c r="K55" i="1"/>
  <c r="AI45" i="1"/>
  <c r="K39" i="1"/>
  <c r="W37" i="1"/>
  <c r="AI35" i="1"/>
  <c r="AU54" i="1"/>
  <c r="K51" i="1"/>
  <c r="W50" i="1"/>
  <c r="K56" i="1"/>
  <c r="W38" i="1"/>
  <c r="AU42" i="1"/>
  <c r="B5" i="20"/>
  <c r="T5" i="20" l="1"/>
  <c r="O5" i="20"/>
  <c r="J5" i="20"/>
  <c r="I30" i="4"/>
  <c r="E5" i="20"/>
  <c r="AH9" i="4" l="1"/>
  <c r="N73" i="21" l="1"/>
  <c r="N68" i="21"/>
  <c r="I26" i="4" l="1"/>
  <c r="I27" i="4"/>
  <c r="I28" i="4"/>
  <c r="I29" i="4"/>
  <c r="E3" i="11" l="1"/>
  <c r="E4" i="11"/>
  <c r="D1" i="18" l="1"/>
  <c r="BF4" i="18"/>
  <c r="BF5" i="18"/>
  <c r="BF6" i="18"/>
  <c r="BF7" i="18"/>
  <c r="BF8" i="18"/>
  <c r="BF9" i="18"/>
  <c r="BF10" i="18"/>
  <c r="BF11" i="18"/>
  <c r="BF12" i="18"/>
  <c r="BF13" i="18"/>
  <c r="BF14" i="18"/>
  <c r="BF15" i="18"/>
  <c r="BF16" i="18"/>
  <c r="BF17" i="18"/>
  <c r="BF18" i="18"/>
  <c r="BF19" i="18"/>
  <c r="BF20" i="18"/>
  <c r="BF21" i="18"/>
  <c r="BF22" i="18"/>
  <c r="BF23" i="18"/>
  <c r="BF24" i="18"/>
  <c r="BF25" i="18"/>
  <c r="BF26" i="18"/>
  <c r="BF27" i="18"/>
  <c r="BF28" i="18"/>
  <c r="BF29" i="18"/>
  <c r="BF30" i="18"/>
  <c r="BF31" i="18"/>
  <c r="BF32" i="18"/>
  <c r="BF33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29" i="18"/>
  <c r="D30" i="18"/>
  <c r="D31" i="18"/>
  <c r="D32" i="18"/>
  <c r="D33" i="18"/>
  <c r="D4" i="18"/>
  <c r="BN2" i="18"/>
  <c r="BL2" i="18"/>
  <c r="BJ2" i="18"/>
  <c r="BH2" i="18"/>
  <c r="BF2" i="18"/>
  <c r="BD2" i="18"/>
  <c r="BB2" i="18"/>
  <c r="AZ2" i="18"/>
  <c r="AX2" i="18"/>
  <c r="AV2" i="18"/>
  <c r="AT2" i="18"/>
  <c r="AR2" i="18"/>
  <c r="AN2" i="18"/>
  <c r="AP2" i="18"/>
  <c r="AJ2" i="18"/>
  <c r="AH2" i="18"/>
  <c r="AF2" i="18"/>
  <c r="AD2" i="18"/>
  <c r="AB2" i="18"/>
  <c r="Z2" i="18"/>
  <c r="X2" i="18"/>
  <c r="V2" i="18"/>
  <c r="T2" i="18"/>
  <c r="R2" i="18"/>
  <c r="P2" i="18"/>
  <c r="N2" i="18"/>
  <c r="L2" i="18"/>
  <c r="B4" i="18" a="1"/>
  <c r="B4" i="18" s="1"/>
  <c r="A4" i="18" a="1"/>
  <c r="A4" i="18" s="1"/>
  <c r="B3" i="18"/>
  <c r="A3" i="18"/>
  <c r="B2" i="18"/>
  <c r="A2" i="18"/>
  <c r="B1" i="18"/>
  <c r="A1" i="18"/>
  <c r="J2" i="18"/>
  <c r="H2" i="18"/>
  <c r="B31" i="18" l="1"/>
  <c r="B27" i="18"/>
  <c r="B23" i="18"/>
  <c r="B19" i="18"/>
  <c r="B15" i="18"/>
  <c r="B11" i="18"/>
  <c r="B7" i="18"/>
  <c r="B30" i="18"/>
  <c r="B22" i="18"/>
  <c r="B18" i="18"/>
  <c r="B14" i="18"/>
  <c r="B10" i="18"/>
  <c r="B6" i="18"/>
  <c r="B26" i="18"/>
  <c r="B33" i="18"/>
  <c r="B29" i="18"/>
  <c r="B25" i="18"/>
  <c r="B21" i="18"/>
  <c r="B17" i="18"/>
  <c r="B13" i="18"/>
  <c r="B9" i="18"/>
  <c r="B5" i="18"/>
  <c r="B32" i="18"/>
  <c r="B28" i="18"/>
  <c r="B24" i="18"/>
  <c r="B20" i="18"/>
  <c r="B16" i="18"/>
  <c r="B12" i="18"/>
  <c r="B8" i="18"/>
  <c r="A6" i="18"/>
  <c r="A5" i="18"/>
  <c r="A31" i="18"/>
  <c r="A27" i="18"/>
  <c r="A23" i="18"/>
  <c r="A19" i="18"/>
  <c r="A15" i="18"/>
  <c r="A11" i="18"/>
  <c r="A7" i="18"/>
  <c r="A30" i="18"/>
  <c r="A26" i="18"/>
  <c r="A22" i="18"/>
  <c r="A18" i="18"/>
  <c r="A14" i="18"/>
  <c r="A10" i="18"/>
  <c r="A33" i="18"/>
  <c r="A29" i="18"/>
  <c r="A25" i="18"/>
  <c r="A21" i="18"/>
  <c r="A17" i="18"/>
  <c r="A13" i="18"/>
  <c r="A9" i="18"/>
  <c r="A32" i="18"/>
  <c r="A28" i="18"/>
  <c r="A24" i="18"/>
  <c r="A20" i="18"/>
  <c r="A16" i="18"/>
  <c r="A12" i="18"/>
  <c r="A8" i="18"/>
  <c r="B36" i="18" l="1" a="1"/>
  <c r="B36" i="18" s="1"/>
  <c r="A36" i="18" a="1"/>
  <c r="A36" i="18" s="1"/>
  <c r="B44" i="18" l="1"/>
  <c r="B56" i="18"/>
  <c r="B52" i="18"/>
  <c r="B40" i="18"/>
  <c r="B55" i="18"/>
  <c r="B54" i="18"/>
  <c r="B42" i="18"/>
  <c r="B50" i="18"/>
  <c r="B65" i="18"/>
  <c r="B38" i="18"/>
  <c r="B61" i="18"/>
  <c r="B58" i="18"/>
  <c r="B49" i="18"/>
  <c r="B63" i="18"/>
  <c r="B57" i="18"/>
  <c r="B51" i="18"/>
  <c r="B45" i="18"/>
  <c r="B59" i="18"/>
  <c r="B53" i="18"/>
  <c r="B39" i="18"/>
  <c r="B64" i="18"/>
  <c r="B47" i="18"/>
  <c r="B41" i="18"/>
  <c r="B62" i="18"/>
  <c r="B60" i="18"/>
  <c r="B43" i="18"/>
  <c r="B37" i="18"/>
  <c r="B46" i="18"/>
  <c r="B48" i="18"/>
  <c r="A39" i="18"/>
  <c r="A65" i="18"/>
  <c r="A64" i="18"/>
  <c r="A46" i="18"/>
  <c r="A59" i="18"/>
  <c r="A49" i="18"/>
  <c r="A58" i="18"/>
  <c r="A48" i="18"/>
  <c r="A50" i="18"/>
  <c r="A40" i="18"/>
  <c r="A37" i="18"/>
  <c r="A57" i="18"/>
  <c r="A38" i="18"/>
  <c r="A61" i="18"/>
  <c r="A51" i="18"/>
  <c r="A41" i="18"/>
  <c r="A47" i="18"/>
  <c r="A56" i="18"/>
  <c r="A43" i="18"/>
  <c r="A60" i="18"/>
  <c r="A42" i="18"/>
  <c r="A54" i="18"/>
  <c r="A44" i="18"/>
  <c r="A63" i="18"/>
  <c r="A53" i="18"/>
  <c r="A55" i="18"/>
  <c r="A45" i="18"/>
  <c r="A62" i="18"/>
  <c r="A52" i="18"/>
  <c r="A3" i="1"/>
  <c r="A2" i="1"/>
  <c r="ZP28" i="1" l="1"/>
  <c r="AAU28" i="1"/>
  <c r="AAU41" i="1"/>
  <c r="AAU29" i="1"/>
  <c r="AAU33" i="1"/>
  <c r="AAU38" i="1"/>
  <c r="AAU42" i="1"/>
  <c r="AAU46" i="1"/>
  <c r="AAU50" i="1"/>
  <c r="AAU54" i="1"/>
  <c r="AAU36" i="1"/>
  <c r="AAU40" i="1"/>
  <c r="AAU48" i="1"/>
  <c r="AAU56" i="1"/>
  <c r="AAU32" i="1"/>
  <c r="AAU49" i="1"/>
  <c r="AAU57" i="1"/>
  <c r="AAU30" i="1"/>
  <c r="AAU35" i="1"/>
  <c r="AAU39" i="1"/>
  <c r="AAU43" i="1"/>
  <c r="AAU47" i="1"/>
  <c r="AAU51" i="1"/>
  <c r="AAU55" i="1"/>
  <c r="AAU31" i="1"/>
  <c r="AAU44" i="1"/>
  <c r="AAU52" i="1"/>
  <c r="AAU37" i="1"/>
  <c r="AAU45" i="1"/>
  <c r="AAU53" i="1"/>
  <c r="ON19" i="1"/>
  <c r="FH19" i="1"/>
  <c r="YE19" i="1"/>
  <c r="MU19" i="1"/>
  <c r="EM19" i="1"/>
  <c r="XI19" i="1"/>
  <c r="GY19" i="1"/>
  <c r="DR19" i="1"/>
  <c r="QV19" i="1"/>
  <c r="GE19" i="1"/>
  <c r="AAU34" i="1"/>
  <c r="ACE28" i="1"/>
  <c r="ACE36" i="1"/>
  <c r="ACE44" i="1"/>
  <c r="ACE52" i="1"/>
  <c r="ACE43" i="1"/>
  <c r="ACE54" i="1"/>
  <c r="ACE31" i="1"/>
  <c r="ACE53" i="1"/>
  <c r="ACE30" i="1"/>
  <c r="ACE46" i="1"/>
  <c r="ACE34" i="1"/>
  <c r="ACE47" i="1"/>
  <c r="ACE40" i="1"/>
  <c r="ACE38" i="1"/>
  <c r="ACE49" i="1"/>
  <c r="ACE48" i="1"/>
  <c r="ACE29" i="1"/>
  <c r="ACE41" i="1"/>
  <c r="ACE57" i="1"/>
  <c r="ACE51" i="1"/>
  <c r="ACE56" i="1"/>
  <c r="ACE33" i="1"/>
  <c r="ACE45" i="1"/>
  <c r="ACE39" i="1"/>
  <c r="ACE55" i="1"/>
  <c r="ACE37" i="1"/>
  <c r="ACE50" i="1"/>
  <c r="ACE35" i="1"/>
  <c r="ACE32" i="1"/>
  <c r="ACE42" i="1"/>
  <c r="ABG28" i="1"/>
  <c r="ABG37" i="1"/>
  <c r="ABG38" i="1"/>
  <c r="ABG30" i="1"/>
  <c r="ABG36" i="1"/>
  <c r="ABG45" i="1"/>
  <c r="ABG54" i="1"/>
  <c r="ABG42" i="1"/>
  <c r="ABG40" i="1"/>
  <c r="ABG35" i="1"/>
  <c r="ABG47" i="1"/>
  <c r="ABG33" i="1"/>
  <c r="ABG32" i="1"/>
  <c r="ABG57" i="1"/>
  <c r="ABG56" i="1"/>
  <c r="ABG53" i="1"/>
  <c r="ABG51" i="1"/>
  <c r="ABG50" i="1"/>
  <c r="ABG49" i="1"/>
  <c r="ABG48" i="1"/>
  <c r="ABG52" i="1"/>
  <c r="ABG43" i="1"/>
  <c r="ABG55" i="1"/>
  <c r="ABG41" i="1"/>
  <c r="ABG44" i="1"/>
  <c r="ABG29" i="1"/>
  <c r="ABG46" i="1"/>
  <c r="ABG34" i="1"/>
  <c r="ABG39" i="1"/>
  <c r="ABG31" i="1"/>
  <c r="ZU35" i="1"/>
  <c r="ZU43" i="1"/>
  <c r="ZU51" i="1"/>
  <c r="ZU34" i="1"/>
  <c r="ZU33" i="1"/>
  <c r="ZU41" i="1"/>
  <c r="ZU49" i="1"/>
  <c r="ZU57" i="1"/>
  <c r="ZU42" i="1"/>
  <c r="ZU50" i="1"/>
  <c r="ZP48" i="1"/>
  <c r="ZU45" i="1"/>
  <c r="ZP54" i="1"/>
  <c r="ZP41" i="1"/>
  <c r="ZP37" i="1"/>
  <c r="ZP55" i="1"/>
  <c r="ZU37" i="1"/>
  <c r="ZP50" i="1"/>
  <c r="ZP33" i="1"/>
  <c r="ZP29" i="1"/>
  <c r="ZU28" i="1"/>
  <c r="ZP47" i="1"/>
  <c r="ZU29" i="1"/>
  <c r="ZP42" i="1"/>
  <c r="ZU56" i="1"/>
  <c r="ZU55" i="1"/>
  <c r="ZU54" i="1"/>
  <c r="ZP57" i="1"/>
  <c r="ZP39" i="1"/>
  <c r="ZP30" i="1"/>
  <c r="ZP34" i="1"/>
  <c r="ZU48" i="1"/>
  <c r="ZU47" i="1"/>
  <c r="ZU46" i="1"/>
  <c r="ZP53" i="1"/>
  <c r="ZP31" i="1"/>
  <c r="ZP56" i="1"/>
  <c r="ZP32" i="1"/>
  <c r="ZU40" i="1"/>
  <c r="ZU39" i="1"/>
  <c r="ZU38" i="1"/>
  <c r="ZU44" i="1"/>
  <c r="ZP52" i="1"/>
  <c r="ZP35" i="1"/>
  <c r="ZP46" i="1"/>
  <c r="ZU52" i="1"/>
  <c r="ZP38" i="1"/>
  <c r="ZU32" i="1"/>
  <c r="ZU31" i="1"/>
  <c r="ZU30" i="1"/>
  <c r="ZP40" i="1"/>
  <c r="ZP51" i="1"/>
  <c r="ZU53" i="1"/>
  <c r="ZU36" i="1"/>
  <c r="ZP49" i="1"/>
  <c r="ZP45" i="1"/>
  <c r="ZP44" i="1"/>
  <c r="ZP43" i="1"/>
  <c r="ZP36" i="1"/>
  <c r="SZ34" i="1"/>
  <c r="SZ42" i="1"/>
  <c r="SZ50" i="1"/>
  <c r="SN28" i="1"/>
  <c r="SN36" i="1"/>
  <c r="SN44" i="1"/>
  <c r="SN52" i="1"/>
  <c r="SZ35" i="1"/>
  <c r="SZ43" i="1"/>
  <c r="SZ51" i="1"/>
  <c r="SN29" i="1"/>
  <c r="SN37" i="1"/>
  <c r="SN45" i="1"/>
  <c r="SN53" i="1"/>
  <c r="SZ28" i="1"/>
  <c r="SZ36" i="1"/>
  <c r="SZ44" i="1"/>
  <c r="SZ52" i="1"/>
  <c r="SN30" i="1"/>
  <c r="SN38" i="1"/>
  <c r="SN46" i="1"/>
  <c r="SN54" i="1"/>
  <c r="SZ48" i="1"/>
  <c r="SN34" i="1"/>
  <c r="SN50" i="1"/>
  <c r="SZ29" i="1"/>
  <c r="SZ37" i="1"/>
  <c r="SZ45" i="1"/>
  <c r="SZ53" i="1"/>
  <c r="SN31" i="1"/>
  <c r="SN39" i="1"/>
  <c r="SN47" i="1"/>
  <c r="SN55" i="1"/>
  <c r="SZ30" i="1"/>
  <c r="SZ38" i="1"/>
  <c r="SZ46" i="1"/>
  <c r="SZ54" i="1"/>
  <c r="SN32" i="1"/>
  <c r="SN40" i="1"/>
  <c r="SN48" i="1"/>
  <c r="SN56" i="1"/>
  <c r="SZ32" i="1"/>
  <c r="SN42" i="1"/>
  <c r="SZ31" i="1"/>
  <c r="SZ39" i="1"/>
  <c r="SZ47" i="1"/>
  <c r="SZ55" i="1"/>
  <c r="SN33" i="1"/>
  <c r="SN41" i="1"/>
  <c r="SN49" i="1"/>
  <c r="SN57" i="1"/>
  <c r="SZ40" i="1"/>
  <c r="SZ56" i="1"/>
  <c r="SB28" i="1"/>
  <c r="SZ33" i="1"/>
  <c r="SZ41" i="1"/>
  <c r="SZ49" i="1"/>
  <c r="SZ57" i="1"/>
  <c r="SN35" i="1"/>
  <c r="SN43" i="1"/>
  <c r="SN51" i="1"/>
  <c r="SB36" i="1"/>
  <c r="SB44" i="1"/>
  <c r="SB52" i="1"/>
  <c r="SB29" i="1"/>
  <c r="SB37" i="1"/>
  <c r="SB45" i="1"/>
  <c r="SB53" i="1"/>
  <c r="SB49" i="1"/>
  <c r="SB50" i="1"/>
  <c r="SB35" i="1"/>
  <c r="SB30" i="1"/>
  <c r="SB38" i="1"/>
  <c r="SB46" i="1"/>
  <c r="SB54" i="1"/>
  <c r="SB57" i="1"/>
  <c r="SB34" i="1"/>
  <c r="SB31" i="1"/>
  <c r="SB39" i="1"/>
  <c r="SB47" i="1"/>
  <c r="SB55" i="1"/>
  <c r="SB33" i="1"/>
  <c r="RP28" i="1"/>
  <c r="SB51" i="1"/>
  <c r="SB32" i="1"/>
  <c r="SB40" i="1"/>
  <c r="SB48" i="1"/>
  <c r="SB56" i="1"/>
  <c r="SB41" i="1"/>
  <c r="SB42" i="1"/>
  <c r="SB43" i="1"/>
  <c r="RP36" i="1"/>
  <c r="RP44" i="1"/>
  <c r="RP52" i="1"/>
  <c r="RP34" i="1"/>
  <c r="RP43" i="1"/>
  <c r="RP29" i="1"/>
  <c r="RP37" i="1"/>
  <c r="RP45" i="1"/>
  <c r="RP53" i="1"/>
  <c r="RP50" i="1"/>
  <c r="RP30" i="1"/>
  <c r="RP38" i="1"/>
  <c r="RP46" i="1"/>
  <c r="RP54" i="1"/>
  <c r="I28" i="1"/>
  <c r="RP42" i="1"/>
  <c r="RP31" i="1"/>
  <c r="RP39" i="1"/>
  <c r="RP47" i="1"/>
  <c r="RP55" i="1"/>
  <c r="RP35" i="1"/>
  <c r="RP32" i="1"/>
  <c r="RP40" i="1"/>
  <c r="RP48" i="1"/>
  <c r="RP56" i="1"/>
  <c r="RP33" i="1"/>
  <c r="RP41" i="1"/>
  <c r="RP49" i="1"/>
  <c r="RP57" i="1"/>
  <c r="RP51" i="1"/>
  <c r="DA32" i="1"/>
  <c r="DA40" i="1"/>
  <c r="DA48" i="1"/>
  <c r="DA56" i="1"/>
  <c r="DA30" i="1"/>
  <c r="DA33" i="1"/>
  <c r="DA41" i="1"/>
  <c r="DA49" i="1"/>
  <c r="DA57" i="1"/>
  <c r="DA34" i="1"/>
  <c r="DA42" i="1"/>
  <c r="DA50" i="1"/>
  <c r="CO28" i="1"/>
  <c r="DA54" i="1"/>
  <c r="DA35" i="1"/>
  <c r="DA43" i="1"/>
  <c r="DA51" i="1"/>
  <c r="DA28" i="1"/>
  <c r="DA36" i="1"/>
  <c r="DA44" i="1"/>
  <c r="DA52" i="1"/>
  <c r="DA38" i="1"/>
  <c r="DA31" i="1"/>
  <c r="DA39" i="1"/>
  <c r="DA47" i="1"/>
  <c r="DA55" i="1"/>
  <c r="DA29" i="1"/>
  <c r="DA37" i="1"/>
  <c r="DA45" i="1"/>
  <c r="DA53" i="1"/>
  <c r="DA46" i="1"/>
  <c r="CO36" i="1"/>
  <c r="CO44" i="1"/>
  <c r="CO52" i="1"/>
  <c r="CO29" i="1"/>
  <c r="CO37" i="1"/>
  <c r="CO45" i="1"/>
  <c r="CO53" i="1"/>
  <c r="CO30" i="1"/>
  <c r="CO38" i="1"/>
  <c r="CO46" i="1"/>
  <c r="CO54" i="1"/>
  <c r="CO31" i="1"/>
  <c r="CO39" i="1"/>
  <c r="CO47" i="1"/>
  <c r="CO55" i="1"/>
  <c r="CO32" i="1"/>
  <c r="CO40" i="1"/>
  <c r="CO48" i="1"/>
  <c r="CO56" i="1"/>
  <c r="CO33" i="1"/>
  <c r="CO41" i="1"/>
  <c r="CO49" i="1"/>
  <c r="CO57" i="1"/>
  <c r="CO34" i="1"/>
  <c r="CO42" i="1"/>
  <c r="CO50" i="1"/>
  <c r="CC28" i="1"/>
  <c r="CO35" i="1"/>
  <c r="CO43" i="1"/>
  <c r="CO51" i="1"/>
  <c r="CC36" i="1"/>
  <c r="CC44" i="1"/>
  <c r="CC52" i="1"/>
  <c r="CC29" i="1"/>
  <c r="CC37" i="1"/>
  <c r="CC45" i="1"/>
  <c r="CC53" i="1"/>
  <c r="CC30" i="1"/>
  <c r="CC38" i="1"/>
  <c r="CC46" i="1"/>
  <c r="CC54" i="1"/>
  <c r="CC31" i="1"/>
  <c r="CC39" i="1"/>
  <c r="CC47" i="1"/>
  <c r="CC55" i="1"/>
  <c r="CC32" i="1"/>
  <c r="CC40" i="1"/>
  <c r="CC48" i="1"/>
  <c r="CC56" i="1"/>
  <c r="CC33" i="1"/>
  <c r="CC41" i="1"/>
  <c r="CC49" i="1"/>
  <c r="CC57" i="1"/>
  <c r="CC34" i="1"/>
  <c r="CC42" i="1"/>
  <c r="CC50" i="1"/>
  <c r="BQ28" i="1"/>
  <c r="CC35" i="1"/>
  <c r="CC43" i="1"/>
  <c r="CC51" i="1"/>
  <c r="BQ36" i="1"/>
  <c r="BQ44" i="1"/>
  <c r="BQ52" i="1"/>
  <c r="BQ29" i="1"/>
  <c r="BQ37" i="1"/>
  <c r="BQ45" i="1"/>
  <c r="BQ53" i="1"/>
  <c r="BQ35" i="1"/>
  <c r="BQ30" i="1"/>
  <c r="BQ38" i="1"/>
  <c r="BQ46" i="1"/>
  <c r="BQ54" i="1"/>
  <c r="BQ51" i="1"/>
  <c r="BQ31" i="1"/>
  <c r="BQ39" i="1"/>
  <c r="BQ47" i="1"/>
  <c r="BQ55" i="1"/>
  <c r="BQ32" i="1"/>
  <c r="BQ40" i="1"/>
  <c r="BQ48" i="1"/>
  <c r="BQ56" i="1"/>
  <c r="BQ33" i="1"/>
  <c r="BQ41" i="1"/>
  <c r="BQ49" i="1"/>
  <c r="BQ57" i="1"/>
  <c r="BQ34" i="1"/>
  <c r="BQ42" i="1"/>
  <c r="BQ50" i="1"/>
  <c r="BE28" i="1"/>
  <c r="BQ43" i="1"/>
  <c r="BE36" i="1"/>
  <c r="BE44" i="1"/>
  <c r="BE52" i="1"/>
  <c r="BE29" i="1"/>
  <c r="BE37" i="1"/>
  <c r="BE45" i="1"/>
  <c r="BE53" i="1"/>
  <c r="BE30" i="1"/>
  <c r="BE38" i="1"/>
  <c r="BE46" i="1"/>
  <c r="BE54" i="1"/>
  <c r="BE31" i="1"/>
  <c r="BE39" i="1"/>
  <c r="BE47" i="1"/>
  <c r="BE55" i="1"/>
  <c r="BE34" i="1"/>
  <c r="AS28" i="1"/>
  <c r="BE32" i="1"/>
  <c r="BE40" i="1"/>
  <c r="BE48" i="1"/>
  <c r="BE56" i="1"/>
  <c r="BE33" i="1"/>
  <c r="BE41" i="1"/>
  <c r="BE49" i="1"/>
  <c r="BE57" i="1"/>
  <c r="BE50" i="1"/>
  <c r="BE35" i="1"/>
  <c r="BE43" i="1"/>
  <c r="BE51" i="1"/>
  <c r="BE42" i="1"/>
  <c r="AS36" i="1"/>
  <c r="AS44" i="1"/>
  <c r="AS52" i="1"/>
  <c r="AS35" i="1"/>
  <c r="AS29" i="1"/>
  <c r="AS37" i="1"/>
  <c r="AS45" i="1"/>
  <c r="AS53" i="1"/>
  <c r="AS30" i="1"/>
  <c r="AS38" i="1"/>
  <c r="AS46" i="1"/>
  <c r="AS54" i="1"/>
  <c r="AS51" i="1"/>
  <c r="AS31" i="1"/>
  <c r="AS39" i="1"/>
  <c r="AS47" i="1"/>
  <c r="AS55" i="1"/>
  <c r="AS32" i="1"/>
  <c r="AS40" i="1"/>
  <c r="AS48" i="1"/>
  <c r="AS56" i="1"/>
  <c r="AS43" i="1"/>
  <c r="AS33" i="1"/>
  <c r="AS41" i="1"/>
  <c r="AS49" i="1"/>
  <c r="AS57" i="1"/>
  <c r="AS34" i="1"/>
  <c r="AS42" i="1"/>
  <c r="AS50" i="1"/>
  <c r="AG28" i="1"/>
  <c r="AG37" i="1"/>
  <c r="AG45" i="1"/>
  <c r="AG53" i="1"/>
  <c r="AG30" i="1"/>
  <c r="AG38" i="1"/>
  <c r="AG46" i="1"/>
  <c r="AG54" i="1"/>
  <c r="AG31" i="1"/>
  <c r="AG39" i="1"/>
  <c r="AG47" i="1"/>
  <c r="AG55" i="1"/>
  <c r="AG32" i="1"/>
  <c r="AG40" i="1"/>
  <c r="AG48" i="1"/>
  <c r="AG56" i="1"/>
  <c r="AG43" i="1"/>
  <c r="AG33" i="1"/>
  <c r="AG41" i="1"/>
  <c r="AG49" i="1"/>
  <c r="AG57" i="1"/>
  <c r="AG34" i="1"/>
  <c r="AG42" i="1"/>
  <c r="AG50" i="1"/>
  <c r="U28" i="1"/>
  <c r="AG35" i="1"/>
  <c r="AG51" i="1"/>
  <c r="AG36" i="1"/>
  <c r="AG44" i="1"/>
  <c r="AG52" i="1"/>
  <c r="AG29" i="1"/>
  <c r="U36" i="1"/>
  <c r="U44" i="1"/>
  <c r="U52" i="1"/>
  <c r="U29" i="1"/>
  <c r="U37" i="1"/>
  <c r="U45" i="1"/>
  <c r="U53" i="1"/>
  <c r="U34" i="1"/>
  <c r="U42" i="1"/>
  <c r="U30" i="1"/>
  <c r="U38" i="1"/>
  <c r="U46" i="1"/>
  <c r="U54" i="1"/>
  <c r="U50" i="1"/>
  <c r="U31" i="1"/>
  <c r="U39" i="1"/>
  <c r="U47" i="1"/>
  <c r="U55" i="1"/>
  <c r="U32" i="1"/>
  <c r="U40" i="1"/>
  <c r="U48" i="1"/>
  <c r="U56" i="1"/>
  <c r="U33" i="1"/>
  <c r="U41" i="1"/>
  <c r="U49" i="1"/>
  <c r="U57" i="1"/>
  <c r="U35" i="1"/>
  <c r="U43" i="1"/>
  <c r="U51" i="1"/>
  <c r="I38" i="1"/>
  <c r="I49" i="1"/>
  <c r="I39" i="1"/>
  <c r="I50" i="1"/>
  <c r="I41" i="1"/>
  <c r="I51" i="1"/>
  <c r="I42" i="1"/>
  <c r="I53" i="1"/>
  <c r="I57" i="1"/>
  <c r="I43" i="1"/>
  <c r="I54" i="1"/>
  <c r="I46" i="1"/>
  <c r="I45" i="1"/>
  <c r="I55" i="1"/>
  <c r="I47" i="1"/>
  <c r="I35" i="1"/>
  <c r="I30" i="1"/>
  <c r="I33" i="1"/>
  <c r="I37" i="1"/>
  <c r="I56" i="1"/>
  <c r="I29" i="1"/>
  <c r="I48" i="1"/>
  <c r="I52" i="1"/>
  <c r="I40" i="1"/>
  <c r="I44" i="1"/>
  <c r="I36" i="1"/>
  <c r="I34" i="1"/>
  <c r="I32" i="1"/>
  <c r="I31" i="1"/>
  <c r="YQ54" i="1"/>
  <c r="YQ56" i="1"/>
  <c r="YQ55" i="1"/>
  <c r="YQ51" i="1"/>
  <c r="YQ53" i="1"/>
  <c r="YQ52" i="1"/>
  <c r="AU6" i="4"/>
  <c r="ZB29" i="1"/>
  <c r="ZB33" i="1"/>
  <c r="ZB37" i="1"/>
  <c r="ZB41" i="1"/>
  <c r="ZB45" i="1"/>
  <c r="ZB49" i="1"/>
  <c r="ZB53" i="1"/>
  <c r="ZB57" i="1"/>
  <c r="YZ32" i="1"/>
  <c r="YZ36" i="1"/>
  <c r="YZ40" i="1"/>
  <c r="YZ44" i="1"/>
  <c r="YZ48" i="1"/>
  <c r="YZ52" i="1"/>
  <c r="YZ56" i="1"/>
  <c r="YX35" i="1"/>
  <c r="YX43" i="1"/>
  <c r="YX51" i="1"/>
  <c r="YZ28" i="1"/>
  <c r="YV35" i="1"/>
  <c r="YV47" i="1"/>
  <c r="ZB30" i="1"/>
  <c r="ZB34" i="1"/>
  <c r="ZB38" i="1"/>
  <c r="ZB42" i="1"/>
  <c r="ZB46" i="1"/>
  <c r="ZB50" i="1"/>
  <c r="ZB54" i="1"/>
  <c r="YZ29" i="1"/>
  <c r="YZ33" i="1"/>
  <c r="YZ37" i="1"/>
  <c r="YZ41" i="1"/>
  <c r="YZ45" i="1"/>
  <c r="YZ49" i="1"/>
  <c r="YZ53" i="1"/>
  <c r="YZ57" i="1"/>
  <c r="YX32" i="1"/>
  <c r="YX36" i="1"/>
  <c r="YX40" i="1"/>
  <c r="YX44" i="1"/>
  <c r="YX48" i="1"/>
  <c r="YX52" i="1"/>
  <c r="YX56" i="1"/>
  <c r="YX28" i="1"/>
  <c r="YV32" i="1"/>
  <c r="YV36" i="1"/>
  <c r="YV40" i="1"/>
  <c r="YV44" i="1"/>
  <c r="YV48" i="1"/>
  <c r="YV52" i="1"/>
  <c r="YV56" i="1"/>
  <c r="YZ54" i="1"/>
  <c r="YX37" i="1"/>
  <c r="YX45" i="1"/>
  <c r="YX53" i="1"/>
  <c r="YV29" i="1"/>
  <c r="YV33" i="1"/>
  <c r="YV41" i="1"/>
  <c r="YV45" i="1"/>
  <c r="YV53" i="1"/>
  <c r="ZB31" i="1"/>
  <c r="ZB35" i="1"/>
  <c r="ZB39" i="1"/>
  <c r="ZB43" i="1"/>
  <c r="ZB47" i="1"/>
  <c r="ZB51" i="1"/>
  <c r="ZB55" i="1"/>
  <c r="YZ30" i="1"/>
  <c r="YZ34" i="1"/>
  <c r="YZ38" i="1"/>
  <c r="YZ42" i="1"/>
  <c r="YZ46" i="1"/>
  <c r="YZ50" i="1"/>
  <c r="YX29" i="1"/>
  <c r="YX33" i="1"/>
  <c r="YX41" i="1"/>
  <c r="YX49" i="1"/>
  <c r="YX57" i="1"/>
  <c r="YV37" i="1"/>
  <c r="YV49" i="1"/>
  <c r="YV57" i="1"/>
  <c r="ZB32" i="1"/>
  <c r="ZB36" i="1"/>
  <c r="ZB40" i="1"/>
  <c r="ZB44" i="1"/>
  <c r="ZB48" i="1"/>
  <c r="ZB52" i="1"/>
  <c r="ZB56" i="1"/>
  <c r="YZ31" i="1"/>
  <c r="YZ35" i="1"/>
  <c r="YZ39" i="1"/>
  <c r="YZ43" i="1"/>
  <c r="YZ47" i="1"/>
  <c r="YZ51" i="1"/>
  <c r="YZ55" i="1"/>
  <c r="YX30" i="1"/>
  <c r="YX34" i="1"/>
  <c r="YX38" i="1"/>
  <c r="YX42" i="1"/>
  <c r="YX46" i="1"/>
  <c r="YX50" i="1"/>
  <c r="YX54" i="1"/>
  <c r="ZB28" i="1"/>
  <c r="YV30" i="1"/>
  <c r="YV34" i="1"/>
  <c r="YV38" i="1"/>
  <c r="YV42" i="1"/>
  <c r="YV46" i="1"/>
  <c r="YV50" i="1"/>
  <c r="YV54" i="1"/>
  <c r="YV28" i="1"/>
  <c r="YX31" i="1"/>
  <c r="YX39" i="1"/>
  <c r="YX47" i="1"/>
  <c r="YX55" i="1"/>
  <c r="YV31" i="1"/>
  <c r="YV39" i="1"/>
  <c r="YV43" i="1"/>
  <c r="YV51" i="1"/>
  <c r="YV55" i="1"/>
  <c r="ZJ39" i="1" l="1" a="1"/>
  <c r="ZJ39" i="1" s="1"/>
  <c r="F15" i="18" l="1"/>
  <c r="ZJ44" i="1" a="1"/>
  <c r="ZJ44" i="1" s="1"/>
  <c r="ZJ48" i="1" a="1"/>
  <c r="ZJ48" i="1" s="1"/>
  <c r="F24" i="18" l="1"/>
  <c r="F20" i="18"/>
  <c r="AE1" i="8" l="1"/>
  <c r="Y1" i="8"/>
  <c r="AE1" i="14"/>
  <c r="Y1" i="14"/>
  <c r="G27" i="20"/>
  <c r="QQ20" i="1" a="1"/>
  <c r="L51" i="20"/>
  <c r="KZ3" i="1" a="1"/>
  <c r="KV3" i="1" a="1"/>
  <c r="Q19" i="20"/>
  <c r="LA5" i="1" a="1"/>
  <c r="G55" i="4"/>
  <c r="V47" i="20"/>
  <c r="AI5" i="1" a="1"/>
  <c r="G19" i="4"/>
  <c r="JU3" i="1" a="1"/>
  <c r="G37" i="4"/>
  <c r="G26" i="20"/>
  <c r="AI3" i="1" a="1"/>
  <c r="KQ3" i="1" a="1"/>
  <c r="QN20" i="1" a="1"/>
  <c r="PT3" i="1" a="1"/>
  <c r="G10" i="20"/>
  <c r="K1" i="1" a="1"/>
  <c r="V25" i="20"/>
  <c r="KZ5" i="1" a="1"/>
  <c r="V41" i="20"/>
  <c r="UW5" i="1" a="1"/>
  <c r="L26" i="20"/>
  <c r="WZ20" i="1" a="1"/>
  <c r="L48" i="20"/>
  <c r="L42" i="20"/>
  <c r="G52" i="4"/>
  <c r="G30" i="20"/>
  <c r="EF20" i="1" a="1"/>
  <c r="KU3" i="1" a="1"/>
  <c r="G41" i="4"/>
  <c r="FA20" i="1" a="1"/>
  <c r="G33" i="20"/>
  <c r="V28" i="20"/>
  <c r="Q26" i="20"/>
  <c r="Q11" i="20"/>
  <c r="KR3" i="1" a="1"/>
  <c r="L15" i="20"/>
  <c r="G35" i="20"/>
  <c r="FC20" i="1" a="1"/>
  <c r="KY5" i="1" a="1"/>
  <c r="G17" i="20"/>
  <c r="G44" i="4"/>
  <c r="UV5" i="1" a="1"/>
  <c r="JW5" i="1" a="1"/>
  <c r="VC5" i="1" a="1"/>
  <c r="KT5" i="1" a="1"/>
  <c r="G31" i="20"/>
  <c r="G54" i="4"/>
  <c r="Q7" i="20"/>
  <c r="L10" i="20"/>
  <c r="L55" i="20"/>
  <c r="L18" i="20"/>
  <c r="K6" i="1" a="1"/>
  <c r="G26" i="4"/>
  <c r="AJ6" i="1" a="1"/>
  <c r="V46" i="20"/>
  <c r="G7" i="20"/>
  <c r="FV20" i="1" a="1"/>
  <c r="NT5" i="1" a="1"/>
  <c r="NT20" i="1" a="1"/>
  <c r="V19" i="20"/>
  <c r="L31" i="20"/>
  <c r="L14" i="20"/>
  <c r="G47" i="20"/>
  <c r="G8" i="20"/>
  <c r="V7" i="20"/>
  <c r="V27" i="20"/>
  <c r="EG20" i="1" a="1"/>
  <c r="G41" i="20"/>
  <c r="V31" i="20"/>
  <c r="TZ5" i="1" a="1"/>
  <c r="LA3" i="1" a="1"/>
  <c r="W3" i="1" a="1"/>
  <c r="AI4" i="1" a="1"/>
  <c r="G57" i="4"/>
  <c r="HW23" i="1" a="1"/>
  <c r="KS3" i="1" a="1"/>
  <c r="L45" i="20"/>
  <c r="Q24" i="20"/>
  <c r="GA20" i="1" a="1"/>
  <c r="PZ23" i="1" a="1"/>
  <c r="L22" i="20"/>
  <c r="XA20" i="1" a="1"/>
  <c r="G51" i="4"/>
  <c r="G20" i="4"/>
  <c r="W1" i="1" a="1"/>
  <c r="V13" i="20"/>
  <c r="G32" i="20"/>
  <c r="G38" i="20"/>
  <c r="V44" i="20"/>
  <c r="V16" i="20"/>
  <c r="PT1" i="1" a="1"/>
  <c r="G39" i="20"/>
  <c r="K4" i="1" a="1"/>
  <c r="V42" i="20"/>
  <c r="AV6" i="1" a="1"/>
  <c r="G36" i="20"/>
  <c r="UU5" i="1" a="1"/>
  <c r="G32" i="4"/>
  <c r="Q16" i="20"/>
  <c r="G50" i="20"/>
  <c r="V50" i="20"/>
  <c r="G35" i="4"/>
  <c r="G11" i="20"/>
  <c r="V20" i="20"/>
  <c r="G15" i="20"/>
  <c r="G24" i="20"/>
  <c r="V18" i="20"/>
  <c r="L29" i="20"/>
  <c r="AI1" i="1" a="1"/>
  <c r="V36" i="20"/>
  <c r="V54" i="20"/>
  <c r="QR5" i="1" a="1"/>
  <c r="K5" i="1" a="1"/>
  <c r="V11" i="20"/>
  <c r="TW5" i="1" a="1"/>
  <c r="EH20" i="1" a="1"/>
  <c r="G45" i="4"/>
  <c r="WV20" i="1" a="1"/>
  <c r="EF5" i="1" a="1"/>
  <c r="G23" i="20"/>
  <c r="V14" i="20"/>
  <c r="G53" i="20"/>
  <c r="L9" i="20"/>
  <c r="WX20" i="1" a="1"/>
  <c r="KU5" i="1" a="1"/>
  <c r="NV20" i="1" a="1"/>
  <c r="V21" i="20"/>
  <c r="KP3" i="1" a="1"/>
  <c r="VB5" i="1" a="1"/>
  <c r="WY20" i="1" a="1"/>
  <c r="V53" i="20"/>
  <c r="V32" i="20"/>
  <c r="G43" i="4"/>
  <c r="V56" i="20"/>
  <c r="G40" i="4"/>
  <c r="V33" i="20"/>
  <c r="Q23" i="20"/>
  <c r="K3" i="1" a="1"/>
  <c r="V24" i="20"/>
  <c r="V26" i="20"/>
  <c r="Q21" i="20"/>
  <c r="G46" i="4"/>
  <c r="Q15" i="20"/>
  <c r="G37" i="20"/>
  <c r="L27" i="20"/>
  <c r="L6" i="1" a="1"/>
  <c r="NU20" i="1" a="1"/>
  <c r="G18" i="20"/>
  <c r="JV3" i="1" a="1"/>
  <c r="QP20" i="1" a="1"/>
  <c r="L46" i="20"/>
  <c r="G47" i="4"/>
  <c r="KX3" i="1" a="1"/>
  <c r="UA5" i="1" a="1"/>
  <c r="PT4" i="1" a="1"/>
  <c r="G50" i="4"/>
  <c r="V45" i="20"/>
  <c r="UT5" i="1" a="1"/>
  <c r="V43" i="20"/>
  <c r="W5" i="1" a="1"/>
  <c r="V48" i="20"/>
  <c r="JR5" i="1" a="1"/>
  <c r="G58" i="4"/>
  <c r="G52" i="20"/>
  <c r="AU6" i="1" a="1"/>
  <c r="L11" i="20"/>
  <c r="V29" i="20"/>
  <c r="L21" i="20"/>
  <c r="L41" i="20"/>
  <c r="L16" i="20"/>
  <c r="JR3" i="1" a="1"/>
  <c r="V52" i="20"/>
  <c r="L24" i="20"/>
  <c r="G38" i="4"/>
  <c r="G42" i="4"/>
  <c r="G46" i="20"/>
  <c r="AU4" i="1" a="1"/>
  <c r="G55" i="20"/>
  <c r="EI20" i="1" a="1"/>
  <c r="Q8" i="20"/>
  <c r="G21" i="20"/>
  <c r="L52" i="20"/>
  <c r="V8" i="20"/>
  <c r="FX20" i="1" a="1"/>
  <c r="L47" i="20"/>
  <c r="G25" i="20"/>
  <c r="L19" i="20"/>
  <c r="G43" i="20"/>
  <c r="FW20" i="1" a="1"/>
  <c r="QO20" i="1" a="1"/>
  <c r="V22" i="20"/>
  <c r="KT3" i="1" a="1"/>
  <c r="L53" i="20"/>
  <c r="L12" i="20"/>
  <c r="DL5" i="1" a="1"/>
  <c r="V34" i="20"/>
  <c r="JT5" i="1" a="1"/>
  <c r="G61" i="4"/>
  <c r="L30" i="20"/>
  <c r="L25" i="20"/>
  <c r="G25" i="4"/>
  <c r="AU1" i="1" a="1"/>
  <c r="TX5" i="1" a="1"/>
  <c r="G14" i="20"/>
  <c r="V12" i="20"/>
  <c r="G29" i="20"/>
  <c r="V40" i="20"/>
  <c r="L20" i="20"/>
  <c r="WW20" i="1" a="1"/>
  <c r="KX5" i="1" a="1"/>
  <c r="L49" i="20"/>
  <c r="KY3" i="1" a="1"/>
  <c r="G60" i="4"/>
  <c r="G49" i="20"/>
  <c r="UX5" i="1" a="1"/>
  <c r="H60" i="21"/>
  <c r="L56" i="20"/>
  <c r="L5" i="20"/>
  <c r="L43" i="20"/>
  <c r="L38" i="20"/>
  <c r="V15" i="20"/>
  <c r="KP5" i="1" a="1"/>
  <c r="L32" i="20"/>
  <c r="G56" i="4"/>
  <c r="G39" i="4"/>
  <c r="G16" i="20"/>
  <c r="Q20" i="20"/>
  <c r="L13" i="20"/>
  <c r="V9" i="20"/>
  <c r="FB20" i="1" a="1"/>
  <c r="V23" i="20"/>
  <c r="L44" i="20"/>
  <c r="QR20" i="1" a="1"/>
  <c r="AU5" i="1" a="1"/>
  <c r="KS5" i="1" a="1"/>
  <c r="JS3" i="1" a="1"/>
  <c r="G53" i="4"/>
  <c r="JV5" i="1" a="1"/>
  <c r="G56" i="20"/>
  <c r="IX23" i="1" a="1"/>
  <c r="G40" i="20"/>
  <c r="EH5" i="1" a="1"/>
  <c r="W4" i="1" a="1"/>
  <c r="G36" i="4"/>
  <c r="G28" i="20"/>
  <c r="G28" i="4"/>
  <c r="G19" i="20"/>
  <c r="G20" i="20"/>
  <c r="Q14" i="20"/>
  <c r="UY5" i="1" a="1"/>
  <c r="G54" i="20"/>
  <c r="Q12" i="20"/>
  <c r="Q5" i="20"/>
  <c r="G24" i="4"/>
  <c r="Q9" i="20"/>
  <c r="G34" i="4"/>
  <c r="Q10" i="20"/>
  <c r="TY5" i="1" a="1"/>
  <c r="KR5" i="1" a="1"/>
  <c r="G12" i="20"/>
  <c r="AI6" i="1" a="1"/>
  <c r="G48" i="20"/>
  <c r="XB20" i="1" a="1"/>
  <c r="DK5" i="1" a="1"/>
  <c r="L35" i="20"/>
  <c r="V35" i="20"/>
  <c r="L40" i="20"/>
  <c r="L37" i="20"/>
  <c r="NW20" i="1" a="1"/>
  <c r="G13" i="20"/>
  <c r="V5" i="20"/>
  <c r="XC20" i="1" a="1"/>
  <c r="FD20" i="1" a="1"/>
  <c r="KW5" i="1" a="1"/>
  <c r="G30" i="4"/>
  <c r="IO23" i="1" a="1"/>
  <c r="VA5" i="1" a="1"/>
  <c r="G51" i="20"/>
  <c r="WU20" i="1" a="1"/>
  <c r="V49" i="20"/>
  <c r="WT20" i="1" a="1"/>
  <c r="V17" i="20"/>
  <c r="V37" i="20"/>
  <c r="G42" i="20"/>
  <c r="G9" i="20"/>
  <c r="JP23" i="1" a="1"/>
  <c r="JT3" i="1" a="1"/>
  <c r="UZ5" i="1" a="1"/>
  <c r="Q22" i="20"/>
  <c r="L36" i="20"/>
  <c r="Q17" i="20"/>
  <c r="L54" i="20"/>
  <c r="IF23" i="1" a="1"/>
  <c r="G27" i="4"/>
  <c r="G22" i="4"/>
  <c r="L7" i="20"/>
  <c r="V39" i="20"/>
  <c r="V30" i="20"/>
  <c r="L39" i="20"/>
  <c r="L17" i="20"/>
  <c r="PU6" i="1" a="1"/>
  <c r="G44" i="20"/>
  <c r="G33" i="4"/>
  <c r="KV5" i="1" a="1"/>
  <c r="KQ5" i="1" a="1"/>
  <c r="V10" i="20"/>
  <c r="G34" i="20"/>
  <c r="L23" i="20"/>
  <c r="G48" i="4"/>
  <c r="QO5" i="1" a="1"/>
  <c r="G45" i="20"/>
  <c r="G21" i="4"/>
  <c r="L8" i="20"/>
  <c r="G29" i="4"/>
  <c r="JG23" i="1" a="1"/>
  <c r="V38" i="20"/>
  <c r="PT5" i="1" a="1"/>
  <c r="PT6" i="1" a="1"/>
  <c r="JU5" i="1" a="1"/>
  <c r="JS5" i="1" a="1"/>
  <c r="FZ20" i="1" a="1"/>
  <c r="Q18" i="20"/>
  <c r="L28" i="20"/>
  <c r="Q25" i="20"/>
  <c r="FY20" i="1" a="1"/>
  <c r="W6" i="1" a="1"/>
  <c r="AU3" i="1" a="1"/>
  <c r="G59" i="4"/>
  <c r="G23" i="4"/>
  <c r="NV5" i="1" a="1"/>
  <c r="KW3" i="1" a="1"/>
  <c r="G5" i="20"/>
  <c r="L50" i="20"/>
  <c r="G22" i="20"/>
  <c r="EG5" i="1" a="1"/>
  <c r="V55" i="20"/>
  <c r="EI5" i="1" a="1"/>
  <c r="X6" i="1" a="1"/>
  <c r="L33" i="20"/>
  <c r="L34" i="20"/>
  <c r="JW3" i="1" a="1"/>
  <c r="Q13" i="20"/>
  <c r="G49" i="4"/>
  <c r="G31" i="4"/>
  <c r="QS20" i="1" a="1"/>
  <c r="V51" i="20"/>
  <c r="K3" i="1" l="1"/>
  <c r="AU7" i="4" s="1"/>
  <c r="XC20" i="1"/>
  <c r="XC13" i="1" s="1"/>
  <c r="WZ20" i="1"/>
  <c r="WZ13" i="1" s="1"/>
  <c r="KQ5" i="1"/>
  <c r="WU20" i="1"/>
  <c r="WU13" i="1" s="1"/>
  <c r="AI6" i="1"/>
  <c r="XB20" i="1"/>
  <c r="XB13" i="1" s="1"/>
  <c r="HW23" i="1"/>
  <c r="JS3" i="1"/>
  <c r="K1" i="1"/>
  <c r="JU5" i="1"/>
  <c r="VB5" i="1"/>
  <c r="FA20" i="1"/>
  <c r="FA13" i="1" s="1"/>
  <c r="KV3" i="1"/>
  <c r="FX20" i="1"/>
  <c r="FX13" i="1" s="1"/>
  <c r="W3" i="1"/>
  <c r="JV5" i="1"/>
  <c r="AV6" i="1"/>
  <c r="KP5" i="1"/>
  <c r="QN20" i="1"/>
  <c r="QN13" i="1" s="1"/>
  <c r="JW5" i="1"/>
  <c r="NT20" i="1"/>
  <c r="NT13" i="1" s="1"/>
  <c r="FW20" i="1"/>
  <c r="FW13" i="1" s="1"/>
  <c r="KR3" i="1"/>
  <c r="PU6" i="1"/>
  <c r="PT4" i="1"/>
  <c r="UW5" i="1"/>
  <c r="GA20" i="1"/>
  <c r="GA13" i="1" s="1"/>
  <c r="UA5" i="1"/>
  <c r="LA5" i="1"/>
  <c r="UY5" i="1"/>
  <c r="VC5" i="1"/>
  <c r="AI5" i="1"/>
  <c r="NU20" i="1"/>
  <c r="NU13" i="1" s="1"/>
  <c r="K5" i="1"/>
  <c r="QP20" i="1"/>
  <c r="QP13" i="1" s="1"/>
  <c r="K4" i="1"/>
  <c r="KY5" i="1"/>
  <c r="EH20" i="1"/>
  <c r="EH13" i="1" s="1"/>
  <c r="DL5" i="1"/>
  <c r="AI1" i="1"/>
  <c r="DK5" i="1"/>
  <c r="PT3" i="1"/>
  <c r="KS5" i="1"/>
  <c r="UX5" i="1"/>
  <c r="X6" i="1"/>
  <c r="JW3" i="1"/>
  <c r="EF20" i="1"/>
  <c r="EF13" i="1" s="1"/>
  <c r="KP3" i="1"/>
  <c r="FV20" i="1"/>
  <c r="FV13" i="1" s="1"/>
  <c r="KW3" i="1"/>
  <c r="KX5" i="1"/>
  <c r="UT5" i="1"/>
  <c r="W4" i="1"/>
  <c r="Y47" i="1" s="1"/>
  <c r="KX3" i="1"/>
  <c r="QR5" i="1"/>
  <c r="TZ5" i="1"/>
  <c r="EI5" i="1"/>
  <c r="AU6" i="1"/>
  <c r="KY3" i="1"/>
  <c r="KU3" i="1"/>
  <c r="KS3" i="1"/>
  <c r="NV20" i="1"/>
  <c r="NV13" i="1" s="1"/>
  <c r="TY5" i="1"/>
  <c r="WV20" i="1"/>
  <c r="WV13" i="1" s="1"/>
  <c r="JR5" i="1"/>
  <c r="UU5" i="1"/>
  <c r="EG20" i="1"/>
  <c r="EG13" i="1" s="1"/>
  <c r="FC20" i="1"/>
  <c r="FC13" i="1" s="1"/>
  <c r="JU3" i="1"/>
  <c r="KW5" i="1"/>
  <c r="L6" i="1"/>
  <c r="WY20" i="1"/>
  <c r="WY13" i="1" s="1"/>
  <c r="JR3" i="1"/>
  <c r="NV5" i="1"/>
  <c r="K6" i="1"/>
  <c r="JT5" i="1"/>
  <c r="W6" i="1"/>
  <c r="AB33" i="1" s="1"/>
  <c r="XA20" i="1"/>
  <c r="XA13" i="1" s="1"/>
  <c r="AI3" i="1"/>
  <c r="QR20" i="1"/>
  <c r="QR13" i="1" s="1"/>
  <c r="JG23" i="1"/>
  <c r="JC50" i="1" s="1"/>
  <c r="AU3" i="1"/>
  <c r="IF23" i="1"/>
  <c r="IB52" i="1" s="1"/>
  <c r="WT20" i="1"/>
  <c r="WT13" i="1" s="1"/>
  <c r="W5" i="1"/>
  <c r="QS20" i="1"/>
  <c r="QS13" i="1" s="1"/>
  <c r="FY20" i="1"/>
  <c r="FY13" i="1" s="1"/>
  <c r="JT3" i="1"/>
  <c r="W1" i="1"/>
  <c r="KZ5" i="1"/>
  <c r="QO5" i="1"/>
  <c r="PT1" i="1"/>
  <c r="QQ20" i="1"/>
  <c r="QQ13" i="1" s="1"/>
  <c r="KV5" i="1"/>
  <c r="FZ20" i="1"/>
  <c r="FZ13" i="1" s="1"/>
  <c r="FD20" i="1"/>
  <c r="FD13" i="1" s="1"/>
  <c r="AJ6" i="1"/>
  <c r="IO23" i="1"/>
  <c r="IK36" i="1" s="1"/>
  <c r="UV5" i="1"/>
  <c r="AU1" i="1"/>
  <c r="PZ23" i="1"/>
  <c r="PR30" i="1" s="1"/>
  <c r="IX23" i="1"/>
  <c r="IT55" i="1" s="1"/>
  <c r="EF5" i="1"/>
  <c r="UZ5" i="1"/>
  <c r="JP23" i="1"/>
  <c r="JL30" i="1" s="1"/>
  <c r="AU5" i="1"/>
  <c r="EH5" i="1"/>
  <c r="PT6" i="1"/>
  <c r="KR5" i="1"/>
  <c r="EG5" i="1"/>
  <c r="KQ3" i="1"/>
  <c r="EI20" i="1"/>
  <c r="EI13" i="1" s="1"/>
  <c r="KT3" i="1"/>
  <c r="WX20" i="1"/>
  <c r="WX13" i="1" s="1"/>
  <c r="JV3" i="1"/>
  <c r="JS5" i="1"/>
  <c r="NW20" i="1"/>
  <c r="NW13" i="1" s="1"/>
  <c r="PT5" i="1"/>
  <c r="VA5" i="1"/>
  <c r="KZ3" i="1"/>
  <c r="AI4" i="1"/>
  <c r="TX5" i="1"/>
  <c r="LA3" i="1"/>
  <c r="WW20" i="1"/>
  <c r="WW13" i="1" s="1"/>
  <c r="AU4" i="1"/>
  <c r="KT5" i="1"/>
  <c r="TW5" i="1"/>
  <c r="FB20" i="1"/>
  <c r="FB13" i="1" s="1"/>
  <c r="QO20" i="1"/>
  <c r="QO13" i="1" s="1"/>
  <c r="KU5" i="1"/>
  <c r="NT5" i="1"/>
  <c r="M28" i="20"/>
  <c r="W34" i="20"/>
  <c r="R23" i="20"/>
  <c r="M25" i="20"/>
  <c r="R8" i="20"/>
  <c r="W11" i="20"/>
  <c r="H18" i="20"/>
  <c r="W32" i="20"/>
  <c r="H38" i="20"/>
  <c r="M52" i="20"/>
  <c r="H36" i="20"/>
  <c r="M17" i="20"/>
  <c r="M43" i="20"/>
  <c r="W38" i="20"/>
  <c r="M23" i="20"/>
  <c r="W23" i="20"/>
  <c r="W48" i="20"/>
  <c r="W16" i="20"/>
  <c r="W10" i="20"/>
  <c r="M40" i="20"/>
  <c r="M42" i="20"/>
  <c r="H40" i="20"/>
  <c r="W46" i="20"/>
  <c r="M35" i="20"/>
  <c r="R17" i="20"/>
  <c r="W14" i="20"/>
  <c r="H50" i="20"/>
  <c r="M8" i="20"/>
  <c r="W28" i="20"/>
  <c r="M51" i="20"/>
  <c r="M11" i="20"/>
  <c r="AL50" i="1" a="1"/>
  <c r="H5" i="20"/>
  <c r="R18" i="20"/>
  <c r="W56" i="20"/>
  <c r="M12" i="20"/>
  <c r="R11" i="20"/>
  <c r="R12" i="20"/>
  <c r="AL36" i="1" a="1"/>
  <c r="W9" i="20"/>
  <c r="H32" i="20"/>
  <c r="W27" i="20"/>
  <c r="W7" i="20"/>
  <c r="N44" i="1" a="1"/>
  <c r="PW31" i="1" a="1"/>
  <c r="H15" i="20"/>
  <c r="H16" i="20"/>
  <c r="W41" i="20"/>
  <c r="W25" i="20"/>
  <c r="W35" i="20"/>
  <c r="R15" i="20"/>
  <c r="W52" i="20"/>
  <c r="H23" i="20"/>
  <c r="H22" i="20"/>
  <c r="W26" i="20"/>
  <c r="W8" i="20"/>
  <c r="M30" i="20"/>
  <c r="M31" i="20"/>
  <c r="H39" i="20"/>
  <c r="H19" i="20"/>
  <c r="W33" i="20"/>
  <c r="W47" i="20"/>
  <c r="M55" i="20"/>
  <c r="M41" i="20"/>
  <c r="W39" i="20"/>
  <c r="W24" i="20"/>
  <c r="R9" i="20"/>
  <c r="H45" i="20"/>
  <c r="H8" i="20"/>
  <c r="M44" i="20"/>
  <c r="W43" i="20"/>
  <c r="H55" i="20"/>
  <c r="AX43" i="1" a="1"/>
  <c r="W29" i="20"/>
  <c r="R22" i="20"/>
  <c r="W55" i="20"/>
  <c r="H13" i="20"/>
  <c r="M56" i="20"/>
  <c r="M27" i="20"/>
  <c r="H10" i="20"/>
  <c r="H44" i="20"/>
  <c r="H33" i="20"/>
  <c r="H37" i="20"/>
  <c r="M54" i="20"/>
  <c r="M7" i="20"/>
  <c r="M48" i="20"/>
  <c r="H34" i="20"/>
  <c r="H31" i="20"/>
  <c r="W42" i="20"/>
  <c r="W37" i="20"/>
  <c r="M5" i="20"/>
  <c r="M50" i="20"/>
  <c r="H14" i="20"/>
  <c r="M9" i="20"/>
  <c r="M49" i="20"/>
  <c r="H24" i="20"/>
  <c r="M38" i="20"/>
  <c r="H48" i="20"/>
  <c r="M20" i="20"/>
  <c r="W20" i="20"/>
  <c r="M36" i="20"/>
  <c r="H7" i="20"/>
  <c r="M47" i="20"/>
  <c r="M46" i="20"/>
  <c r="W44" i="20"/>
  <c r="H11" i="20"/>
  <c r="R13" i="20"/>
  <c r="R24" i="20"/>
  <c r="M53" i="20"/>
  <c r="H30" i="20"/>
  <c r="M22" i="20"/>
  <c r="M19" i="20"/>
  <c r="H26" i="20"/>
  <c r="M16" i="20"/>
  <c r="H52" i="20"/>
  <c r="W51" i="20"/>
  <c r="R21" i="20"/>
  <c r="M15" i="20"/>
  <c r="H29" i="20"/>
  <c r="H21" i="20"/>
  <c r="W21" i="20"/>
  <c r="W30" i="20"/>
  <c r="Z42" i="1" a="1"/>
  <c r="H41" i="20"/>
  <c r="W19" i="20"/>
  <c r="R25" i="20"/>
  <c r="M37" i="20"/>
  <c r="H2" i="21"/>
  <c r="H27" i="20"/>
  <c r="W36" i="20"/>
  <c r="H54" i="20"/>
  <c r="H53" i="20"/>
  <c r="M34" i="20"/>
  <c r="M32" i="20"/>
  <c r="PW46" i="1" a="1"/>
  <c r="N43" i="1" a="1"/>
  <c r="AK39" i="1" l="1"/>
  <c r="PR37" i="1"/>
  <c r="IK28" i="1"/>
  <c r="PY30" i="1"/>
  <c r="AN56" i="1"/>
  <c r="Y38" i="1"/>
  <c r="PR50" i="1"/>
  <c r="Y56" i="1"/>
  <c r="PR32" i="1"/>
  <c r="AB57" i="1"/>
  <c r="PR41" i="1"/>
  <c r="PR47" i="1"/>
  <c r="PR54" i="1"/>
  <c r="AB54" i="1"/>
  <c r="Y43" i="1"/>
  <c r="PR39" i="1"/>
  <c r="PR57" i="1"/>
  <c r="Y51" i="1"/>
  <c r="AB51" i="1"/>
  <c r="IB30" i="1"/>
  <c r="IK43" i="1"/>
  <c r="IB40" i="1"/>
  <c r="PR46" i="1"/>
  <c r="Y29" i="1"/>
  <c r="PR40" i="1"/>
  <c r="IK54" i="1"/>
  <c r="IK42" i="1"/>
  <c r="PV44" i="1"/>
  <c r="AW39" i="1"/>
  <c r="AK40" i="1"/>
  <c r="AK51" i="1"/>
  <c r="AK35" i="1"/>
  <c r="M48" i="1"/>
  <c r="AB55" i="1"/>
  <c r="JC34" i="1"/>
  <c r="JC52" i="1"/>
  <c r="PV37" i="1"/>
  <c r="AZ38" i="1"/>
  <c r="JC28" i="1"/>
  <c r="AN54" i="1"/>
  <c r="PV32" i="1"/>
  <c r="AN32" i="1"/>
  <c r="AB40" i="1"/>
  <c r="PV53" i="1"/>
  <c r="JL40" i="1"/>
  <c r="AN33" i="1"/>
  <c r="AK29" i="1"/>
  <c r="PV41" i="1"/>
  <c r="JC42" i="1"/>
  <c r="JL54" i="1"/>
  <c r="JC35" i="1"/>
  <c r="PV33" i="1"/>
  <c r="JC53" i="1"/>
  <c r="IT35" i="1"/>
  <c r="PV46" i="1"/>
  <c r="JC33" i="1"/>
  <c r="AN34" i="1"/>
  <c r="AZ36" i="1"/>
  <c r="AZ46" i="1"/>
  <c r="JC40" i="1"/>
  <c r="IT29" i="1"/>
  <c r="PV54" i="1"/>
  <c r="PY40" i="1"/>
  <c r="AW44" i="1"/>
  <c r="AZ34" i="1"/>
  <c r="IT46" i="1"/>
  <c r="IT40" i="1"/>
  <c r="JL29" i="1"/>
  <c r="PV34" i="1"/>
  <c r="AN29" i="1"/>
  <c r="IT50" i="1"/>
  <c r="JL42" i="1"/>
  <c r="PV48" i="1"/>
  <c r="AZ47" i="1"/>
  <c r="AZ44" i="1"/>
  <c r="AK41" i="1"/>
  <c r="AK34" i="1"/>
  <c r="JC48" i="1"/>
  <c r="PV29" i="1"/>
  <c r="PV55" i="1"/>
  <c r="JC30" i="1"/>
  <c r="JL57" i="1"/>
  <c r="JC38" i="1"/>
  <c r="IK41" i="1"/>
  <c r="AK44" i="1"/>
  <c r="AK47" i="1"/>
  <c r="AK46" i="1"/>
  <c r="JC46" i="1"/>
  <c r="PV36" i="1"/>
  <c r="JC31" i="1"/>
  <c r="PV31" i="1"/>
  <c r="JL34" i="1"/>
  <c r="JL37" i="1"/>
  <c r="PV52" i="1"/>
  <c r="IK46" i="1"/>
  <c r="JL53" i="1"/>
  <c r="AU8" i="4"/>
  <c r="JC41" i="1"/>
  <c r="AZ52" i="1"/>
  <c r="PV39" i="1"/>
  <c r="PV30" i="1"/>
  <c r="JC56" i="1"/>
  <c r="PV47" i="1"/>
  <c r="JC47" i="1"/>
  <c r="JL51" i="1"/>
  <c r="JL31" i="1"/>
  <c r="JC29" i="1"/>
  <c r="PV42" i="1"/>
  <c r="JL35" i="1"/>
  <c r="AK43" i="1"/>
  <c r="AK33" i="1"/>
  <c r="AK36" i="1"/>
  <c r="IK44" i="1"/>
  <c r="JL48" i="1"/>
  <c r="AZ42" i="1"/>
  <c r="AK50" i="1"/>
  <c r="AW28" i="1"/>
  <c r="PV57" i="1"/>
  <c r="IK35" i="1"/>
  <c r="JC54" i="1"/>
  <c r="JL45" i="1"/>
  <c r="AZ48" i="1"/>
  <c r="AK57" i="1"/>
  <c r="AW43" i="1"/>
  <c r="AZ41" i="1"/>
  <c r="AW52" i="1"/>
  <c r="AK48" i="1"/>
  <c r="AK53" i="1"/>
  <c r="AZ28" i="1"/>
  <c r="AK42" i="1"/>
  <c r="JC51" i="1"/>
  <c r="AK45" i="1"/>
  <c r="PV43" i="1"/>
  <c r="PV45" i="1"/>
  <c r="PY39" i="1"/>
  <c r="PV49" i="1"/>
  <c r="JL56" i="1"/>
  <c r="JL50" i="1"/>
  <c r="PY34" i="1"/>
  <c r="JL55" i="1"/>
  <c r="AN46" i="1"/>
  <c r="JL43" i="1"/>
  <c r="AK31" i="1"/>
  <c r="AK56" i="1"/>
  <c r="AK38" i="1"/>
  <c r="AZ31" i="1"/>
  <c r="AK30" i="1"/>
  <c r="AK49" i="1"/>
  <c r="AZ37" i="1"/>
  <c r="AK28" i="1"/>
  <c r="AK55" i="1"/>
  <c r="IK50" i="1"/>
  <c r="JC37" i="1"/>
  <c r="JC49" i="1"/>
  <c r="PV35" i="1"/>
  <c r="JC36" i="1"/>
  <c r="PV38" i="1"/>
  <c r="PV40" i="1"/>
  <c r="JC44" i="1"/>
  <c r="PV56" i="1"/>
  <c r="JL33" i="1"/>
  <c r="AK32" i="1"/>
  <c r="AZ50" i="1"/>
  <c r="AZ51" i="1"/>
  <c r="AK37" i="1"/>
  <c r="AK52" i="1"/>
  <c r="AK54" i="1"/>
  <c r="AZ39" i="1"/>
  <c r="IK48" i="1"/>
  <c r="JC57" i="1"/>
  <c r="JC45" i="1"/>
  <c r="PV28" i="1"/>
  <c r="IK55" i="1"/>
  <c r="JC39" i="1"/>
  <c r="PV51" i="1"/>
  <c r="PV50" i="1"/>
  <c r="JC55" i="1"/>
  <c r="JC32" i="1"/>
  <c r="JC43" i="1"/>
  <c r="AW30" i="1"/>
  <c r="AW41" i="1"/>
  <c r="AW49" i="1"/>
  <c r="AW56" i="1"/>
  <c r="AW37" i="1"/>
  <c r="AW57" i="1"/>
  <c r="AW38" i="1"/>
  <c r="AW42" i="1"/>
  <c r="AW54" i="1"/>
  <c r="AW40" i="1"/>
  <c r="AW48" i="1"/>
  <c r="AW51" i="1"/>
  <c r="AW34" i="1"/>
  <c r="AW29" i="1"/>
  <c r="AW36" i="1"/>
  <c r="AN53" i="1"/>
  <c r="P50" i="1"/>
  <c r="PY38" i="1"/>
  <c r="PY41" i="1"/>
  <c r="PY51" i="1"/>
  <c r="PY52" i="1"/>
  <c r="PY28" i="1"/>
  <c r="PY36" i="1"/>
  <c r="PY43" i="1"/>
  <c r="PY57" i="1"/>
  <c r="PY49" i="1"/>
  <c r="PY44" i="1"/>
  <c r="PY53" i="1"/>
  <c r="PY54" i="1"/>
  <c r="PY35" i="1"/>
  <c r="PY55" i="1"/>
  <c r="PY31" i="1"/>
  <c r="PY47" i="1"/>
  <c r="PY56" i="1"/>
  <c r="PY29" i="1"/>
  <c r="PY45" i="1"/>
  <c r="Y42" i="1"/>
  <c r="AN57" i="1"/>
  <c r="IT33" i="1"/>
  <c r="PY50" i="1"/>
  <c r="AN30" i="1"/>
  <c r="AW35" i="1"/>
  <c r="AN39" i="1"/>
  <c r="AW31" i="1"/>
  <c r="AN45" i="1"/>
  <c r="PR51" i="1"/>
  <c r="AN50" i="1"/>
  <c r="P56" i="1"/>
  <c r="PY33" i="1"/>
  <c r="HS36" i="1"/>
  <c r="HS50" i="1"/>
  <c r="IT44" i="1"/>
  <c r="IT48" i="1"/>
  <c r="IT54" i="1"/>
  <c r="IT49" i="1"/>
  <c r="IT56" i="1"/>
  <c r="AB41" i="1"/>
  <c r="AB56" i="1"/>
  <c r="AB52" i="1"/>
  <c r="AB38" i="1"/>
  <c r="AB48" i="1"/>
  <c r="AB49" i="1"/>
  <c r="AB31" i="1"/>
  <c r="AB50" i="1"/>
  <c r="AB30" i="1"/>
  <c r="AB42" i="1"/>
  <c r="AB28" i="1"/>
  <c r="AB53" i="1"/>
  <c r="AB44" i="1"/>
  <c r="AB36" i="1"/>
  <c r="AB45" i="1"/>
  <c r="AB47" i="1"/>
  <c r="AB46" i="1"/>
  <c r="PR48" i="1"/>
  <c r="IT45" i="1"/>
  <c r="AW32" i="1"/>
  <c r="IT47" i="1"/>
  <c r="PY32" i="1"/>
  <c r="Y30" i="1"/>
  <c r="Y54" i="1"/>
  <c r="Y45" i="1"/>
  <c r="AW50" i="1"/>
  <c r="AW55" i="1"/>
  <c r="PR29" i="1"/>
  <c r="Y57" i="1"/>
  <c r="IT42" i="1"/>
  <c r="M35" i="1"/>
  <c r="PR44" i="1"/>
  <c r="PR35" i="1"/>
  <c r="PR28" i="1"/>
  <c r="PR52" i="1"/>
  <c r="PR43" i="1"/>
  <c r="PR56" i="1"/>
  <c r="PR49" i="1"/>
  <c r="PR36" i="1"/>
  <c r="PR42" i="1"/>
  <c r="PR45" i="1"/>
  <c r="PR33" i="1"/>
  <c r="PR55" i="1"/>
  <c r="PR34" i="1"/>
  <c r="Y28" i="1"/>
  <c r="Y53" i="1"/>
  <c r="Y33" i="1"/>
  <c r="Y52" i="1"/>
  <c r="Y49" i="1"/>
  <c r="Y39" i="1"/>
  <c r="Y44" i="1"/>
  <c r="Y36" i="1"/>
  <c r="Y46" i="1"/>
  <c r="Y35" i="1"/>
  <c r="Y55" i="1"/>
  <c r="Y40" i="1"/>
  <c r="Y37" i="1"/>
  <c r="Y50" i="1"/>
  <c r="Y34" i="1"/>
  <c r="Y31" i="1"/>
  <c r="AN49" i="1"/>
  <c r="AN42" i="1"/>
  <c r="AN40" i="1"/>
  <c r="AN44" i="1"/>
  <c r="AN41" i="1"/>
  <c r="AN31" i="1"/>
  <c r="AN37" i="1"/>
  <c r="AN48" i="1"/>
  <c r="AN55" i="1"/>
  <c r="AN43" i="1"/>
  <c r="AN28" i="1"/>
  <c r="AN36" i="1"/>
  <c r="AN52" i="1"/>
  <c r="AN47" i="1"/>
  <c r="Y41" i="1"/>
  <c r="AB29" i="1"/>
  <c r="AB34" i="1"/>
  <c r="AB32" i="1"/>
  <c r="AW33" i="1"/>
  <c r="PR31" i="1"/>
  <c r="AB39" i="1"/>
  <c r="Y32" i="1"/>
  <c r="AB37" i="1"/>
  <c r="AW46" i="1"/>
  <c r="PY37" i="1"/>
  <c r="PR53" i="1"/>
  <c r="AW45" i="1"/>
  <c r="AN51" i="1"/>
  <c r="AB43" i="1"/>
  <c r="Y48" i="1"/>
  <c r="PR38" i="1"/>
  <c r="AN38" i="1"/>
  <c r="AW53" i="1"/>
  <c r="AN35" i="1"/>
  <c r="AB35" i="1"/>
  <c r="IT53" i="1"/>
  <c r="AW47" i="1"/>
  <c r="PY48" i="1"/>
  <c r="PY46" i="1"/>
  <c r="PY42" i="1"/>
  <c r="P51" i="1"/>
  <c r="IB56" i="1"/>
  <c r="JL39" i="1"/>
  <c r="HS54" i="1"/>
  <c r="IB31" i="1"/>
  <c r="HS34" i="1"/>
  <c r="AZ35" i="1"/>
  <c r="HS43" i="1"/>
  <c r="AZ43" i="1"/>
  <c r="AZ57" i="1"/>
  <c r="AZ33" i="1"/>
  <c r="HS45" i="1"/>
  <c r="AZ45" i="1"/>
  <c r="AZ32" i="1"/>
  <c r="HS51" i="1"/>
  <c r="AZ30" i="1"/>
  <c r="AZ29" i="1"/>
  <c r="AZ49" i="1"/>
  <c r="IT38" i="1"/>
  <c r="IT41" i="1"/>
  <c r="IT31" i="1"/>
  <c r="AZ55" i="1"/>
  <c r="IT57" i="1"/>
  <c r="M54" i="1"/>
  <c r="IT28" i="1"/>
  <c r="IK39" i="1"/>
  <c r="IK30" i="1"/>
  <c r="IK52" i="1"/>
  <c r="P43" i="1"/>
  <c r="P32" i="1"/>
  <c r="IK29" i="1"/>
  <c r="IK53" i="1"/>
  <c r="IT43" i="1"/>
  <c r="IK33" i="1"/>
  <c r="IK34" i="1"/>
  <c r="P30" i="1"/>
  <c r="IK37" i="1"/>
  <c r="IK57" i="1"/>
  <c r="IB49" i="1"/>
  <c r="IB33" i="1"/>
  <c r="AZ40" i="1"/>
  <c r="AZ53" i="1"/>
  <c r="AZ54" i="1"/>
  <c r="AZ56" i="1"/>
  <c r="HS56" i="1"/>
  <c r="IT51" i="1"/>
  <c r="IT52" i="1"/>
  <c r="IT32" i="1"/>
  <c r="AU9" i="4"/>
  <c r="IK45" i="1"/>
  <c r="M57" i="1"/>
  <c r="IT39" i="1"/>
  <c r="IK49" i="1"/>
  <c r="IT36" i="1"/>
  <c r="IK47" i="1"/>
  <c r="P40" i="1"/>
  <c r="IK38" i="1"/>
  <c r="IK32" i="1"/>
  <c r="IT30" i="1"/>
  <c r="IK56" i="1"/>
  <c r="M49" i="1"/>
  <c r="M44" i="1"/>
  <c r="P45" i="1"/>
  <c r="IK51" i="1"/>
  <c r="IT34" i="1"/>
  <c r="IK40" i="1"/>
  <c r="P28" i="1"/>
  <c r="HS47" i="1"/>
  <c r="HS44" i="1"/>
  <c r="HS55" i="1"/>
  <c r="HS38" i="1"/>
  <c r="HS49" i="1"/>
  <c r="HS32" i="1"/>
  <c r="HS46" i="1"/>
  <c r="M52" i="1"/>
  <c r="M28" i="1"/>
  <c r="P33" i="1"/>
  <c r="M34" i="1"/>
  <c r="P47" i="1"/>
  <c r="P42" i="1"/>
  <c r="M30" i="1"/>
  <c r="P39" i="1"/>
  <c r="M32" i="1"/>
  <c r="IB47" i="1"/>
  <c r="M46" i="1"/>
  <c r="IB38" i="1"/>
  <c r="P41" i="1"/>
  <c r="IB35" i="1"/>
  <c r="M53" i="1"/>
  <c r="M40" i="1"/>
  <c r="P53" i="1"/>
  <c r="M50" i="1"/>
  <c r="P31" i="1"/>
  <c r="IB57" i="1"/>
  <c r="IB43" i="1"/>
  <c r="IB39" i="1"/>
  <c r="JL49" i="1"/>
  <c r="HS40" i="1"/>
  <c r="HS37" i="1"/>
  <c r="HS48" i="1"/>
  <c r="HS31" i="1"/>
  <c r="HS57" i="1"/>
  <c r="HS28" i="1"/>
  <c r="HS39" i="1"/>
  <c r="M55" i="1"/>
  <c r="P38" i="1"/>
  <c r="P57" i="1"/>
  <c r="M31" i="1"/>
  <c r="P35" i="1"/>
  <c r="M41" i="1"/>
  <c r="M33" i="1"/>
  <c r="P46" i="1"/>
  <c r="IB42" i="1"/>
  <c r="M47" i="1"/>
  <c r="IB55" i="1"/>
  <c r="P37" i="1"/>
  <c r="IB29" i="1"/>
  <c r="M37" i="1"/>
  <c r="P48" i="1"/>
  <c r="IB37" i="1"/>
  <c r="M36" i="1"/>
  <c r="P49" i="1"/>
  <c r="M56" i="1"/>
  <c r="M38" i="1"/>
  <c r="P36" i="1"/>
  <c r="IB28" i="1"/>
  <c r="P34" i="1"/>
  <c r="IB48" i="1"/>
  <c r="HS29" i="1"/>
  <c r="HS35" i="1"/>
  <c r="HS33" i="1"/>
  <c r="AU10" i="4"/>
  <c r="HS30" i="1"/>
  <c r="HS41" i="1"/>
  <c r="HS52" i="1"/>
  <c r="HS42" i="1"/>
  <c r="HS53" i="1"/>
  <c r="M42" i="1"/>
  <c r="P29" i="1"/>
  <c r="P52" i="1"/>
  <c r="P44" i="1"/>
  <c r="M45" i="1"/>
  <c r="M43" i="1"/>
  <c r="IB50" i="1"/>
  <c r="M51" i="1"/>
  <c r="IB46" i="1"/>
  <c r="P55" i="1"/>
  <c r="IB54" i="1"/>
  <c r="M29" i="1"/>
  <c r="M39" i="1"/>
  <c r="IB53" i="1"/>
  <c r="IB32" i="1"/>
  <c r="JL46" i="1"/>
  <c r="JL32" i="1"/>
  <c r="JL44" i="1"/>
  <c r="IK31" i="1"/>
  <c r="JL28" i="1"/>
  <c r="JL36" i="1"/>
  <c r="JL52" i="1"/>
  <c r="JL38" i="1"/>
  <c r="P54" i="1"/>
  <c r="IB51" i="1"/>
  <c r="IB36" i="1"/>
  <c r="IT37" i="1"/>
  <c r="IB44" i="1"/>
  <c r="IB45" i="1"/>
  <c r="IB41" i="1"/>
  <c r="JL47" i="1"/>
  <c r="JL41" i="1"/>
  <c r="IB34" i="1"/>
  <c r="N44" i="1"/>
  <c r="PW46" i="1"/>
  <c r="PW31" i="1"/>
  <c r="AX43" i="1"/>
  <c r="N43" i="1"/>
  <c r="Z42" i="1"/>
  <c r="AL50" i="1"/>
  <c r="AL36" i="1"/>
  <c r="ACB20" i="1"/>
  <c r="ACB13" i="1" s="1"/>
  <c r="ABD20" i="1"/>
  <c r="ABD13" i="1" s="1"/>
  <c r="AAR20" i="1"/>
  <c r="AAR13" i="1" s="1"/>
  <c r="ZM20" i="1"/>
  <c r="ZM13" i="1" s="1"/>
  <c r="TJ20" i="1"/>
  <c r="TJ13" i="1" s="1"/>
  <c r="SX20" i="1"/>
  <c r="SX13" i="1" s="1"/>
  <c r="SL20" i="1"/>
  <c r="SL13" i="1" s="1"/>
  <c r="RZ20" i="1"/>
  <c r="RZ13" i="1" s="1"/>
  <c r="RN20" i="1"/>
  <c r="RN13" i="1" s="1"/>
  <c r="QB20" i="1"/>
  <c r="QB13" i="1" s="1"/>
  <c r="PO20" i="1"/>
  <c r="PO13" i="1" s="1"/>
  <c r="PC20" i="1"/>
  <c r="PC13" i="1" s="1"/>
  <c r="NG20" i="1"/>
  <c r="NG13" i="1" s="1"/>
  <c r="JI20" i="1"/>
  <c r="JI13" i="1" s="1"/>
  <c r="IZ20" i="1"/>
  <c r="IZ13" i="1" s="1"/>
  <c r="IQ20" i="1"/>
  <c r="IQ13" i="1" s="1"/>
  <c r="IH20" i="1"/>
  <c r="IH13" i="1" s="1"/>
  <c r="HY20" i="1"/>
  <c r="HY13" i="1" s="1"/>
  <c r="HP20" i="1"/>
  <c r="HP13" i="1" s="1"/>
  <c r="CY20" i="1"/>
  <c r="CY13" i="1" s="1"/>
  <c r="CM20" i="1"/>
  <c r="CM13" i="1" s="1"/>
  <c r="CA20" i="1"/>
  <c r="CA13" i="1" s="1"/>
  <c r="BO20" i="1"/>
  <c r="BO13" i="1" s="1"/>
  <c r="BC20" i="1"/>
  <c r="BC13" i="1" s="1"/>
  <c r="AQ20" i="1"/>
  <c r="AQ13" i="1" s="1"/>
  <c r="AE20" i="1"/>
  <c r="AE13" i="1" s="1"/>
  <c r="S20" i="1"/>
  <c r="S13" i="1" s="1"/>
  <c r="ZH13" i="1"/>
  <c r="N35" i="1" a="1"/>
  <c r="AX38" i="1" a="1"/>
  <c r="PW49" i="1" a="1"/>
  <c r="N34" i="1" a="1"/>
  <c r="PW35" i="1" a="1"/>
  <c r="AX44" i="1" a="1"/>
  <c r="AX55" i="1" a="1"/>
  <c r="N46" i="1" a="1"/>
  <c r="AL42" i="1" a="1"/>
  <c r="AX48" i="1" a="1"/>
  <c r="Z50" i="1" a="1"/>
  <c r="AX31" i="1" a="1"/>
  <c r="Z32" i="1" a="1"/>
  <c r="AX37" i="1" a="1"/>
  <c r="AX35" i="1" a="1"/>
  <c r="AL31" i="1" a="1"/>
  <c r="Z51" i="1" a="1"/>
  <c r="AL41" i="1" a="1"/>
  <c r="AL48" i="1" a="1"/>
  <c r="Z47" i="1" a="1"/>
  <c r="AL56" i="1" a="1"/>
  <c r="AL55" i="1" a="1"/>
  <c r="N49" i="1" a="1"/>
  <c r="Z45" i="1" a="1"/>
  <c r="Z30" i="1" a="1"/>
  <c r="PW29" i="1" a="1"/>
  <c r="Z49" i="1" a="1"/>
  <c r="PW45" i="1" a="1"/>
  <c r="AL40" i="1" a="1"/>
  <c r="AL44" i="1" a="1"/>
  <c r="Z53" i="1" a="1"/>
  <c r="PW40" i="1" a="1"/>
  <c r="Z31" i="1" a="1"/>
  <c r="Z41" i="1" a="1"/>
  <c r="AX40" i="1" a="1"/>
  <c r="AX56" i="1" a="1"/>
  <c r="N52" i="1" a="1"/>
  <c r="Z52" i="1" a="1"/>
  <c r="Z29" i="1" a="1"/>
  <c r="PW52" i="1" a="1"/>
  <c r="AL35" i="1" a="1"/>
  <c r="PW30" i="1" a="1"/>
  <c r="PW50" i="1" a="1"/>
  <c r="PW37" i="1" a="1"/>
  <c r="PW47" i="1" a="1"/>
  <c r="N42" i="1" a="1"/>
  <c r="AL29" i="1" a="1"/>
  <c r="N36" i="1" a="1"/>
  <c r="AX34" i="1" a="1"/>
  <c r="N31" i="1" a="1"/>
  <c r="AL49" i="1" a="1"/>
  <c r="PW54" i="1" a="1"/>
  <c r="AL30" i="1" a="1"/>
  <c r="N33" i="1" a="1"/>
  <c r="PW53" i="1" a="1"/>
  <c r="Z39" i="1" a="1"/>
  <c r="Z40" i="1" a="1"/>
  <c r="N55" i="1" a="1"/>
  <c r="AX29" i="1" a="1"/>
  <c r="N53" i="1" a="1"/>
  <c r="N30" i="1" a="1"/>
  <c r="N29" i="1" a="1"/>
  <c r="PW41" i="1" a="1"/>
  <c r="Z44" i="1" a="1"/>
  <c r="Z46" i="1" a="1"/>
  <c r="N57" i="1" a="1"/>
  <c r="AX42" i="1" a="1"/>
  <c r="AX51" i="1" a="1"/>
  <c r="Z57" i="1" a="1"/>
  <c r="PW32" i="1" a="1"/>
  <c r="PW48" i="1" a="1"/>
  <c r="AL46" i="1" a="1"/>
  <c r="PW42" i="1" a="1"/>
  <c r="Z43" i="1" a="1"/>
  <c r="AX39" i="1" a="1"/>
  <c r="AX57" i="1" a="1"/>
  <c r="AX33" i="1" a="1"/>
  <c r="Z54" i="1" a="1"/>
  <c r="PW56" i="1" a="1"/>
  <c r="AL39" i="1" a="1"/>
  <c r="Z37" i="1" a="1"/>
  <c r="N41" i="1" a="1"/>
  <c r="Z38" i="1" a="1"/>
  <c r="AL45" i="1" a="1"/>
  <c r="Z36" i="1" a="1"/>
  <c r="AX49" i="1" a="1"/>
  <c r="AX47" i="1" a="1"/>
  <c r="AL37" i="1" a="1"/>
  <c r="Z48" i="1" a="1"/>
  <c r="N50" i="1" a="1"/>
  <c r="AX36" i="1" a="1"/>
  <c r="Z34" i="1" a="1"/>
  <c r="PW39" i="1" a="1"/>
  <c r="AL43" i="1" a="1"/>
  <c r="AX53" i="1" a="1"/>
  <c r="AX30" i="1" a="1"/>
  <c r="AL47" i="1" a="1"/>
  <c r="N45" i="1" a="1"/>
  <c r="N54" i="1" a="1"/>
  <c r="AX50" i="1" a="1"/>
  <c r="AL57" i="1" a="1"/>
  <c r="AX32" i="1" a="1"/>
  <c r="AX52" i="1" a="1"/>
  <c r="Z56" i="1" a="1"/>
  <c r="N38" i="1" a="1"/>
  <c r="PW34" i="1" a="1"/>
  <c r="N40" i="1" a="1"/>
  <c r="AX45" i="1" a="1"/>
  <c r="PW36" i="1" a="1"/>
  <c r="AL51" i="1" a="1"/>
  <c r="PW33" i="1" a="1"/>
  <c r="N39" i="1" a="1"/>
  <c r="AL33" i="1" a="1"/>
  <c r="AL38" i="1" a="1"/>
  <c r="AL34" i="1" a="1"/>
  <c r="N51" i="1" a="1"/>
  <c r="AX54" i="1" a="1"/>
  <c r="Z33" i="1" a="1"/>
  <c r="AX46" i="1" a="1"/>
  <c r="AL53" i="1" a="1"/>
  <c r="N48" i="1" a="1"/>
  <c r="N47" i="1" a="1"/>
  <c r="AL52" i="1" a="1"/>
  <c r="N37" i="1" a="1"/>
  <c r="PW51" i="1" a="1"/>
  <c r="AL54" i="1" a="1"/>
  <c r="Z35" i="1" a="1"/>
  <c r="AX41" i="1" a="1"/>
  <c r="PW55" i="1" a="1"/>
  <c r="AL32" i="1" a="1"/>
  <c r="PW57" i="1" a="1"/>
  <c r="Z55" i="1" a="1"/>
  <c r="PW44" i="1" a="1"/>
  <c r="N56" i="1" a="1"/>
  <c r="PW38" i="1" a="1"/>
  <c r="AL28" i="1" a="1"/>
  <c r="PW43" i="1" a="1"/>
  <c r="N32" i="1" a="1"/>
  <c r="N52" i="1" l="1"/>
  <c r="N35" i="1"/>
  <c r="PW39" i="1"/>
  <c r="PW49" i="1"/>
  <c r="AX46" i="1"/>
  <c r="AX36" i="1"/>
  <c r="PW34" i="1"/>
  <c r="AX55" i="1"/>
  <c r="AX40" i="1"/>
  <c r="AX42" i="1"/>
  <c r="AX56" i="1"/>
  <c r="AL52" i="1"/>
  <c r="Z46" i="1"/>
  <c r="Z32" i="1"/>
  <c r="Z44" i="1"/>
  <c r="N47" i="1"/>
  <c r="N32" i="1"/>
  <c r="Z45" i="1"/>
  <c r="N49" i="1"/>
  <c r="N33" i="1"/>
  <c r="Z43" i="1"/>
  <c r="Z37" i="1"/>
  <c r="N38" i="1"/>
  <c r="AL33" i="1"/>
  <c r="N31" i="1"/>
  <c r="Z30" i="1"/>
  <c r="N48" i="1"/>
  <c r="N55" i="1"/>
  <c r="N56" i="1"/>
  <c r="N46" i="1"/>
  <c r="Z41" i="1"/>
  <c r="N34" i="1"/>
  <c r="N30" i="1"/>
  <c r="Z34" i="1"/>
  <c r="N29" i="1"/>
  <c r="Z55" i="1"/>
  <c r="N53" i="1"/>
  <c r="AL51" i="1"/>
  <c r="Z36" i="1"/>
  <c r="N39" i="1"/>
  <c r="Z39" i="1"/>
  <c r="N37" i="1"/>
  <c r="N45" i="1"/>
  <c r="N41" i="1"/>
  <c r="PW52" i="1"/>
  <c r="Z52" i="1"/>
  <c r="AX53" i="1"/>
  <c r="PW29" i="1"/>
  <c r="Z54" i="1"/>
  <c r="Z48" i="1"/>
  <c r="N40" i="1"/>
  <c r="PW30" i="1"/>
  <c r="Z51" i="1"/>
  <c r="Z38" i="1"/>
  <c r="N36" i="1"/>
  <c r="Z35" i="1"/>
  <c r="PW50" i="1"/>
  <c r="N50" i="1"/>
  <c r="Z53" i="1"/>
  <c r="Z31" i="1"/>
  <c r="N42" i="1"/>
  <c r="Z49" i="1"/>
  <c r="Z56" i="1"/>
  <c r="N54" i="1"/>
  <c r="Z57" i="1"/>
  <c r="Z29" i="1"/>
  <c r="N51" i="1"/>
  <c r="N57" i="1"/>
  <c r="Z47" i="1"/>
  <c r="Z33" i="1"/>
  <c r="Z50" i="1"/>
  <c r="Z40" i="1"/>
  <c r="PW41" i="1"/>
  <c r="AX32" i="1"/>
  <c r="AL47" i="1"/>
  <c r="AL54" i="1"/>
  <c r="AL40" i="1"/>
  <c r="AL28" i="1"/>
  <c r="AL31" i="1"/>
  <c r="AL43" i="1"/>
  <c r="AL35" i="1"/>
  <c r="AL32" i="1"/>
  <c r="AL41" i="1"/>
  <c r="AL57" i="1"/>
  <c r="AL45" i="1"/>
  <c r="AL46" i="1"/>
  <c r="AL49" i="1"/>
  <c r="AL38" i="1"/>
  <c r="AL34" i="1"/>
  <c r="AL53" i="1"/>
  <c r="AL29" i="1"/>
  <c r="AL44" i="1"/>
  <c r="AL37" i="1"/>
  <c r="AL55" i="1"/>
  <c r="AL39" i="1"/>
  <c r="AL30" i="1"/>
  <c r="AL56" i="1"/>
  <c r="AL48" i="1"/>
  <c r="AL42" i="1"/>
  <c r="PW54" i="1"/>
  <c r="PW53" i="1"/>
  <c r="AX54" i="1"/>
  <c r="AX29" i="1"/>
  <c r="AX38" i="1"/>
  <c r="AX52" i="1"/>
  <c r="PW57" i="1"/>
  <c r="PW45" i="1"/>
  <c r="AX44" i="1"/>
  <c r="AX35" i="1"/>
  <c r="PW56" i="1"/>
  <c r="PW47" i="1"/>
  <c r="AX30" i="1"/>
  <c r="PW32" i="1"/>
  <c r="PW42" i="1"/>
  <c r="PW40" i="1"/>
  <c r="PW51" i="1"/>
  <c r="PW37" i="1"/>
  <c r="AX33" i="1"/>
  <c r="PW38" i="1"/>
  <c r="AX49" i="1"/>
  <c r="AX57" i="1"/>
  <c r="PW36" i="1"/>
  <c r="PW33" i="1"/>
  <c r="AX45" i="1"/>
  <c r="AX37" i="1"/>
  <c r="AX31" i="1"/>
  <c r="AX50" i="1"/>
  <c r="AX39" i="1"/>
  <c r="AX34" i="1"/>
  <c r="AX47" i="1"/>
  <c r="AX41" i="1"/>
  <c r="AX51" i="1"/>
  <c r="PW35" i="1"/>
  <c r="PW44" i="1"/>
  <c r="AX48" i="1"/>
  <c r="PW48" i="1"/>
  <c r="PW55" i="1"/>
  <c r="PW43" i="1"/>
  <c r="ZJ32" i="1" a="1"/>
  <c r="ZJ32" i="1" s="1"/>
  <c r="F5" i="18"/>
  <c r="ZJ56" i="1" a="1"/>
  <c r="ZJ56" i="1" s="1"/>
  <c r="ZJ40" i="1" a="1"/>
  <c r="ZJ40" i="1" s="1"/>
  <c r="F4" i="18"/>
  <c r="ZJ55" i="1" a="1"/>
  <c r="ZJ55" i="1" s="1"/>
  <c r="ZJ51" i="1" a="1"/>
  <c r="ZJ51" i="1" s="1"/>
  <c r="ZJ47" i="1" a="1"/>
  <c r="ZJ47" i="1" s="1"/>
  <c r="ZJ43" i="1" a="1"/>
  <c r="ZJ43" i="1" s="1"/>
  <c r="ZJ35" i="1" a="1"/>
  <c r="ZJ35" i="1" s="1"/>
  <c r="ZJ31" i="1" a="1"/>
  <c r="ZJ31" i="1" s="1"/>
  <c r="ZJ54" i="1" a="1"/>
  <c r="ZJ54" i="1" s="1"/>
  <c r="ZJ50" i="1" a="1"/>
  <c r="ZJ50" i="1" s="1"/>
  <c r="ZJ46" i="1" a="1"/>
  <c r="ZJ46" i="1" s="1"/>
  <c r="ZJ42" i="1" a="1"/>
  <c r="ZJ42" i="1" s="1"/>
  <c r="ZJ38" i="1" a="1"/>
  <c r="ZJ38" i="1" s="1"/>
  <c r="ZJ34" i="1" a="1"/>
  <c r="ZJ34" i="1" s="1"/>
  <c r="ZJ57" i="1" a="1"/>
  <c r="ZJ57" i="1" s="1"/>
  <c r="ZJ53" i="1" a="1"/>
  <c r="ZJ53" i="1" s="1"/>
  <c r="ZJ49" i="1" a="1"/>
  <c r="ZJ49" i="1" s="1"/>
  <c r="ZJ45" i="1" a="1"/>
  <c r="ZJ45" i="1" s="1"/>
  <c r="ZJ41" i="1" a="1"/>
  <c r="ZJ41" i="1" s="1"/>
  <c r="ZJ37" i="1" a="1"/>
  <c r="ZJ37" i="1" s="1"/>
  <c r="ZJ33" i="1" a="1"/>
  <c r="ZJ33" i="1" s="1"/>
  <c r="ZJ52" i="1" a="1"/>
  <c r="ZJ52" i="1" s="1"/>
  <c r="ZJ36" i="1" a="1"/>
  <c r="ZJ36" i="1" s="1"/>
  <c r="E23" i="9"/>
  <c r="E22" i="9"/>
  <c r="E21" i="9"/>
  <c r="E20" i="9"/>
  <c r="E19" i="9"/>
  <c r="E18" i="9"/>
  <c r="E17" i="9"/>
  <c r="E16" i="9"/>
  <c r="E15" i="9"/>
  <c r="AAR3" i="1"/>
  <c r="AAR23" i="1" a="1"/>
  <c r="AAX25" i="1" a="1"/>
  <c r="Z28" i="1" a="1"/>
  <c r="ABB3" i="1" a="1"/>
  <c r="AX28" i="1" a="1"/>
  <c r="AAW25" i="1" a="1"/>
  <c r="PW28" i="1" a="1"/>
  <c r="N28" i="1" a="1"/>
  <c r="AAU25" i="1" a="1"/>
  <c r="ABB3" i="1" l="1"/>
  <c r="AAR23" i="1"/>
  <c r="AAW25" i="1"/>
  <c r="AAX25" i="1"/>
  <c r="AAU25" i="1"/>
  <c r="AAR21" i="1" a="1"/>
  <c r="AAR21" i="1" s="1"/>
  <c r="N28" i="1"/>
  <c r="PW28" i="1"/>
  <c r="Z28" i="1"/>
  <c r="AX28" i="1"/>
  <c r="F6" i="18"/>
  <c r="F11" i="18"/>
  <c r="F27" i="18"/>
  <c r="F32" i="18"/>
  <c r="F12" i="18"/>
  <c r="F9" i="18"/>
  <c r="F25" i="18"/>
  <c r="F10" i="18"/>
  <c r="F26" i="18"/>
  <c r="F31" i="18"/>
  <c r="F8" i="18"/>
  <c r="F29" i="18"/>
  <c r="F13" i="18"/>
  <c r="F14" i="18"/>
  <c r="F30" i="18"/>
  <c r="F19" i="18"/>
  <c r="F28" i="18"/>
  <c r="F17" i="18"/>
  <c r="F33" i="18"/>
  <c r="F18" i="18"/>
  <c r="F7" i="18"/>
  <c r="F23" i="18"/>
  <c r="F16" i="18"/>
  <c r="F21" i="18"/>
  <c r="F22" i="18"/>
  <c r="ABB4" i="1" a="1"/>
  <c r="ABB4" i="1" l="1"/>
  <c r="ABB5" i="1" s="1"/>
  <c r="ABV21" i="1"/>
  <c r="ABP21" i="1"/>
  <c r="AAL21" i="1"/>
  <c r="ABV20" i="1"/>
  <c r="ABV13" i="1" s="1"/>
  <c r="ABP20" i="1"/>
  <c r="ABP13" i="1" s="1"/>
  <c r="AAL20" i="1"/>
  <c r="AAL13" i="1" s="1"/>
  <c r="ABB23" i="1" a="1"/>
  <c r="ABB23" i="1" l="1"/>
  <c r="A1" i="15"/>
  <c r="A1" i="6"/>
  <c r="DO5" i="1" l="1"/>
  <c r="DO4" i="1"/>
  <c r="AB19" i="4"/>
  <c r="U19" i="4"/>
  <c r="AB18" i="4"/>
  <c r="U18" i="4"/>
  <c r="AB15" i="4"/>
  <c r="U15" i="4"/>
  <c r="AB17" i="4"/>
  <c r="U17" i="4"/>
  <c r="AB20" i="4"/>
  <c r="U20" i="4"/>
  <c r="AB16" i="4"/>
  <c r="U16" i="4"/>
  <c r="AC20" i="4"/>
  <c r="AA20" i="4"/>
  <c r="AC16" i="4"/>
  <c r="AA16" i="4"/>
  <c r="AC19" i="4"/>
  <c r="AA19" i="4"/>
  <c r="AA18" i="4"/>
  <c r="AC18" i="4"/>
  <c r="AC15" i="4"/>
  <c r="AA15" i="4"/>
  <c r="AA17" i="4"/>
  <c r="AC17" i="4"/>
  <c r="ABX38" i="1"/>
  <c r="ABX54" i="1"/>
  <c r="AAH35" i="1"/>
  <c r="AAH55" i="1"/>
  <c r="AAN35" i="1"/>
  <c r="AAN51" i="1"/>
  <c r="ABX35" i="1"/>
  <c r="ABX39" i="1"/>
  <c r="ABX43" i="1"/>
  <c r="ABX47" i="1"/>
  <c r="ABX51" i="1"/>
  <c r="ABX55" i="1"/>
  <c r="AAH40" i="1"/>
  <c r="AAH44" i="1"/>
  <c r="AAH48" i="1"/>
  <c r="AAH52" i="1"/>
  <c r="AAN36" i="1"/>
  <c r="AAN40" i="1"/>
  <c r="AAN44" i="1"/>
  <c r="AAN48" i="1"/>
  <c r="AAN52" i="1"/>
  <c r="AAN56" i="1"/>
  <c r="ABX42" i="1"/>
  <c r="AAH47" i="1"/>
  <c r="AAN43" i="1"/>
  <c r="ABX44" i="1"/>
  <c r="ABX52" i="1"/>
  <c r="AAH41" i="1"/>
  <c r="AAH53" i="1"/>
  <c r="AAN37" i="1"/>
  <c r="AAN41" i="1"/>
  <c r="AAN45" i="1"/>
  <c r="AAN49" i="1"/>
  <c r="AAN53" i="1"/>
  <c r="AAN57" i="1"/>
  <c r="ABX34" i="1"/>
  <c r="ABX50" i="1"/>
  <c r="AAH51" i="1"/>
  <c r="AAN39" i="1"/>
  <c r="AAN55" i="1"/>
  <c r="ABX40" i="1"/>
  <c r="ABX48" i="1"/>
  <c r="ABX56" i="1"/>
  <c r="ABX41" i="1"/>
  <c r="ABX45" i="1"/>
  <c r="ABX49" i="1"/>
  <c r="ABX53" i="1"/>
  <c r="AAH38" i="1"/>
  <c r="AAN34" i="1"/>
  <c r="AAN38" i="1"/>
  <c r="AAN42" i="1"/>
  <c r="AAN46" i="1"/>
  <c r="AAN50" i="1"/>
  <c r="AAN54" i="1"/>
  <c r="ABX46" i="1"/>
  <c r="AAH43" i="1"/>
  <c r="AAN47" i="1"/>
  <c r="ABR41" i="1"/>
  <c r="ABR37" i="1"/>
  <c r="ABR52" i="1"/>
  <c r="ABR40" i="1"/>
  <c r="ABR36" i="1"/>
  <c r="ABR56" i="1"/>
  <c r="ABR44" i="1"/>
  <c r="ABR51" i="1"/>
  <c r="ABR43" i="1"/>
  <c r="ABR39" i="1"/>
  <c r="ABR35" i="1"/>
  <c r="ABR53" i="1"/>
  <c r="ABR48" i="1"/>
  <c r="ABR55" i="1"/>
  <c r="ABR54" i="1"/>
  <c r="ABR46" i="1"/>
  <c r="ABR42" i="1"/>
  <c r="ABR38" i="1"/>
  <c r="AAH42" i="1"/>
  <c r="AAH46" i="1"/>
  <c r="AAH50" i="1"/>
  <c r="AAH54" i="1"/>
  <c r="AAH39" i="1"/>
  <c r="AAH36" i="1"/>
  <c r="AAH56" i="1"/>
  <c r="AAH37" i="1"/>
  <c r="AAH45" i="1"/>
  <c r="AAH57" i="1"/>
  <c r="G1" i="9"/>
  <c r="A1" i="9"/>
  <c r="S1" i="9"/>
  <c r="M1" i="9"/>
  <c r="A1" i="10"/>
  <c r="Y1" i="17"/>
  <c r="S1" i="17"/>
  <c r="M1" i="17"/>
  <c r="G1" i="17"/>
  <c r="A1" i="17"/>
  <c r="Y1" i="3"/>
  <c r="S1" i="3"/>
  <c r="M1" i="3"/>
  <c r="G1" i="3"/>
  <c r="A1" i="3"/>
  <c r="M1" i="16"/>
  <c r="G1" i="16"/>
  <c r="A1" i="16"/>
  <c r="M1" i="7"/>
  <c r="G1" i="7"/>
  <c r="A1" i="7"/>
  <c r="G1" i="15"/>
  <c r="G1" i="6"/>
  <c r="AW1" i="14"/>
  <c r="AQ1" i="14"/>
  <c r="AK1" i="14"/>
  <c r="S1" i="14"/>
  <c r="M1" i="14"/>
  <c r="G1" i="14"/>
  <c r="A1" i="14"/>
  <c r="AW1" i="8"/>
  <c r="AQ1" i="8"/>
  <c r="AK1" i="8"/>
  <c r="S1" i="8"/>
  <c r="M1" i="8"/>
  <c r="G1" i="8"/>
  <c r="A1" i="8"/>
  <c r="ABX37" i="1" l="1"/>
  <c r="ABX36" i="1"/>
  <c r="ABR34" i="1"/>
  <c r="ABR50" i="1"/>
  <c r="ABR47" i="1"/>
  <c r="ABR45" i="1"/>
  <c r="AAH34" i="1"/>
  <c r="BO6" i="4"/>
  <c r="BO7" i="4"/>
  <c r="BO8" i="4"/>
  <c r="PC16" i="1" s="1" a="1"/>
  <c r="PC16" i="1" s="1"/>
  <c r="BO9" i="4"/>
  <c r="BO10" i="4"/>
  <c r="ZH16" i="1" s="1" a="1"/>
  <c r="ZH16" i="1" s="1"/>
  <c r="BO11" i="4"/>
  <c r="ZM16" i="1" s="1" a="1"/>
  <c r="ZM16" i="1" s="1"/>
  <c r="AI7" i="4"/>
  <c r="AI8" i="4"/>
  <c r="AAH25" i="1" s="1" a="1"/>
  <c r="AAH25" i="1" s="1"/>
  <c r="AI9" i="4"/>
  <c r="AI11" i="4"/>
  <c r="AI10" i="4"/>
  <c r="AI12" i="4"/>
  <c r="AI13" i="4"/>
  <c r="AI14" i="4"/>
  <c r="AI15" i="4"/>
  <c r="AH15" i="4" s="1"/>
  <c r="AI16" i="4"/>
  <c r="AH16" i="4" s="1"/>
  <c r="AI17" i="4"/>
  <c r="AH17" i="4" s="1"/>
  <c r="AI18" i="4"/>
  <c r="AH18" i="4" s="1"/>
  <c r="AI19" i="4"/>
  <c r="AH19" i="4" s="1"/>
  <c r="AI20" i="4"/>
  <c r="AH20" i="4" s="1"/>
  <c r="AI21" i="4"/>
  <c r="AH21" i="4" s="1"/>
  <c r="AI22" i="4"/>
  <c r="AH22" i="4" s="1"/>
  <c r="AI23" i="4"/>
  <c r="AH23" i="4" s="1"/>
  <c r="AI24" i="4"/>
  <c r="AH24" i="4" s="1"/>
  <c r="AI25" i="4"/>
  <c r="AI26" i="4"/>
  <c r="AI27" i="4"/>
  <c r="AI28" i="4"/>
  <c r="AI29" i="4"/>
  <c r="AH29" i="4" s="1"/>
  <c r="AI30" i="4"/>
  <c r="AI31" i="4"/>
  <c r="AI32" i="4"/>
  <c r="AI33" i="4"/>
  <c r="AI34" i="4"/>
  <c r="S14" i="4"/>
  <c r="S13" i="4"/>
  <c r="S12" i="4"/>
  <c r="S10" i="4"/>
  <c r="N19" i="21" l="1"/>
  <c r="G16" i="1" a="1"/>
  <c r="G16" i="1" s="1"/>
  <c r="N49" i="21"/>
  <c r="RN16" i="1" a="1"/>
  <c r="RN16" i="1" s="1"/>
  <c r="N29" i="21"/>
  <c r="HP16" i="1" a="1"/>
  <c r="HP16" i="1" s="1"/>
  <c r="T10" i="4"/>
  <c r="Y10" i="4"/>
  <c r="Z10" i="4" s="1"/>
  <c r="T12" i="4"/>
  <c r="Y12" i="4"/>
  <c r="Z12" i="4" s="1"/>
  <c r="T13" i="4"/>
  <c r="Y13" i="4"/>
  <c r="Z13" i="4" s="1"/>
  <c r="T14" i="4"/>
  <c r="Y14" i="4"/>
  <c r="Z14" i="4" s="1"/>
  <c r="N39" i="21"/>
  <c r="V10" i="4"/>
  <c r="W10" i="4" s="1"/>
  <c r="AD10" i="4"/>
  <c r="V12" i="4"/>
  <c r="W12" i="4" s="1"/>
  <c r="AD12" i="4"/>
  <c r="V13" i="4"/>
  <c r="W13" i="4" s="1"/>
  <c r="AD13" i="4"/>
  <c r="V14" i="4"/>
  <c r="W14" i="4" s="1"/>
  <c r="AD14" i="4"/>
  <c r="AB12" i="4"/>
  <c r="U12" i="4"/>
  <c r="AB13" i="4"/>
  <c r="U13" i="4"/>
  <c r="AB14" i="4"/>
  <c r="U14" i="4"/>
  <c r="AB10" i="4"/>
  <c r="U10" i="4"/>
  <c r="AC12" i="4"/>
  <c r="AA12" i="4"/>
  <c r="AA13" i="4"/>
  <c r="AC13" i="4"/>
  <c r="AA14" i="4"/>
  <c r="AC14" i="4"/>
  <c r="AA10" i="4"/>
  <c r="AC10" i="4"/>
  <c r="ABR49" i="1"/>
  <c r="ABX33" i="1"/>
  <c r="BG10" i="4" l="1"/>
  <c r="BF10" i="4"/>
  <c r="BF14" i="4"/>
  <c r="BG14" i="4"/>
  <c r="BF13" i="4"/>
  <c r="BG13" i="4"/>
  <c r="BF12" i="4"/>
  <c r="BG12" i="4"/>
  <c r="BD12" i="4"/>
  <c r="AR13" i="4"/>
  <c r="BD10" i="4"/>
  <c r="AR10" i="4"/>
  <c r="AR12" i="4"/>
  <c r="BD14" i="4"/>
  <c r="BD13" i="4"/>
  <c r="AR14" i="4"/>
  <c r="X14" i="4"/>
  <c r="X12" i="4"/>
  <c r="X13" i="4"/>
  <c r="X10" i="4"/>
  <c r="AE14" i="4"/>
  <c r="AE10" i="4"/>
  <c r="AE13" i="4"/>
  <c r="AE12" i="4"/>
  <c r="ABR33" i="1"/>
  <c r="AAH33" i="1"/>
  <c r="AAH49" i="1"/>
  <c r="ABR57" i="1"/>
  <c r="ABX57" i="1"/>
  <c r="AAN33" i="1"/>
  <c r="AAN32" i="1"/>
  <c r="AAN31" i="1"/>
  <c r="AAH31" i="1"/>
  <c r="AAH32" i="1"/>
  <c r="ABX32" i="1"/>
  <c r="ABR32" i="1"/>
  <c r="BE14" i="4"/>
  <c r="BH12" i="4" a="1"/>
  <c r="BE12" i="4"/>
  <c r="CW3" i="1" a="1"/>
  <c r="BM3" i="1" a="1"/>
  <c r="DI3" i="1" a="1"/>
  <c r="BH14" i="4" a="1"/>
  <c r="BH10" i="4" a="1"/>
  <c r="BH13" i="4" a="1"/>
  <c r="BE10" i="4"/>
  <c r="CK3" i="1" a="1"/>
  <c r="BE13" i="4"/>
  <c r="CW3" i="1" l="1"/>
  <c r="CK3" i="1"/>
  <c r="DI3" i="1"/>
  <c r="BM3" i="1"/>
  <c r="BH12" i="4"/>
  <c r="BH13" i="4"/>
  <c r="BH14" i="4"/>
  <c r="BH10" i="4"/>
  <c r="BC13" i="4"/>
  <c r="BC10" i="4"/>
  <c r="BC12" i="4"/>
  <c r="BC14" i="4"/>
  <c r="AAH30" i="1"/>
  <c r="AAH29" i="1"/>
  <c r="AAH28" i="1"/>
  <c r="BE25" i="1" a="1"/>
  <c r="CW4" i="1" a="1"/>
  <c r="DA25" i="1" a="1"/>
  <c r="DI4" i="1" a="1"/>
  <c r="CC25" i="1" a="1"/>
  <c r="CO25" i="1" a="1"/>
  <c r="CK4" i="1" a="1"/>
  <c r="BM4" i="1" a="1"/>
  <c r="CC25" i="1" l="1"/>
  <c r="BE25" i="1"/>
  <c r="CK4" i="1"/>
  <c r="CO25" i="1"/>
  <c r="CW4" i="1"/>
  <c r="DA25" i="1"/>
  <c r="BM4" i="1"/>
  <c r="DI4" i="1"/>
  <c r="BI10" i="4"/>
  <c r="BI13" i="4"/>
  <c r="BI12" i="4"/>
  <c r="BI14" i="4"/>
  <c r="ABX30" i="1"/>
  <c r="AAN30" i="1"/>
  <c r="ABR31" i="1"/>
  <c r="ABX31" i="1"/>
  <c r="ABX28" i="1"/>
  <c r="ABX29" i="1"/>
  <c r="ABR30" i="1"/>
  <c r="ABR28" i="1"/>
  <c r="ABR29" i="1"/>
  <c r="AAN29" i="1"/>
  <c r="AAN28" i="1"/>
  <c r="B6" i="4"/>
  <c r="B7" i="4"/>
  <c r="BJ12" i="4" a="1"/>
  <c r="BJ14" i="4" a="1"/>
  <c r="BJ10" i="4" a="1"/>
  <c r="BJ13" i="4" a="1"/>
  <c r="BJ12" i="4" l="1"/>
  <c r="BJ13" i="4"/>
  <c r="BJ10" i="4"/>
  <c r="BJ14" i="4"/>
  <c r="BH28" i="1"/>
  <c r="BH41" i="1"/>
  <c r="BH57" i="1"/>
  <c r="BH42" i="1"/>
  <c r="BH56" i="1"/>
  <c r="BH43" i="1"/>
  <c r="BH32" i="1"/>
  <c r="BH48" i="1"/>
  <c r="BH29" i="1"/>
  <c r="BH45" i="1"/>
  <c r="BH30" i="1"/>
  <c r="BH46" i="1"/>
  <c r="BH31" i="1"/>
  <c r="BH47" i="1"/>
  <c r="BH36" i="1"/>
  <c r="BH52" i="1"/>
  <c r="BH33" i="1"/>
  <c r="BH49" i="1"/>
  <c r="BH34" i="1"/>
  <c r="BH50" i="1"/>
  <c r="BH35" i="1"/>
  <c r="BH51" i="1"/>
  <c r="BH40" i="1"/>
  <c r="BH53" i="1"/>
  <c r="BH55" i="1"/>
  <c r="BH38" i="1"/>
  <c r="BH44" i="1"/>
  <c r="BH37" i="1"/>
  <c r="BH39" i="1"/>
  <c r="BH54" i="1"/>
  <c r="CF29" i="1"/>
  <c r="CF45" i="1"/>
  <c r="CF42" i="1"/>
  <c r="CF39" i="1"/>
  <c r="CF40" i="1"/>
  <c r="CF34" i="1"/>
  <c r="CF35" i="1"/>
  <c r="CF44" i="1"/>
  <c r="CF33" i="1"/>
  <c r="CF49" i="1"/>
  <c r="CF50" i="1"/>
  <c r="CF47" i="1"/>
  <c r="CF48" i="1"/>
  <c r="CF38" i="1"/>
  <c r="CF43" i="1"/>
  <c r="CF52" i="1"/>
  <c r="CF37" i="1"/>
  <c r="CF53" i="1"/>
  <c r="CF28" i="1"/>
  <c r="CF55" i="1"/>
  <c r="CF56" i="1"/>
  <c r="CF46" i="1"/>
  <c r="CF51" i="1"/>
  <c r="CF41" i="1"/>
  <c r="CF30" i="1"/>
  <c r="CF57" i="1"/>
  <c r="CF54" i="1"/>
  <c r="CF32" i="1"/>
  <c r="CF31" i="1"/>
  <c r="CF36" i="1"/>
  <c r="CR39" i="1"/>
  <c r="CR55" i="1"/>
  <c r="CR56" i="1"/>
  <c r="CR41" i="1"/>
  <c r="CR57" i="1"/>
  <c r="CR42" i="1"/>
  <c r="CR28" i="1"/>
  <c r="CR43" i="1"/>
  <c r="CR32" i="1"/>
  <c r="CR29" i="1"/>
  <c r="CR45" i="1"/>
  <c r="CR30" i="1"/>
  <c r="CR46" i="1"/>
  <c r="CR36" i="1"/>
  <c r="CR31" i="1"/>
  <c r="CR47" i="1"/>
  <c r="CR40" i="1"/>
  <c r="CR33" i="1"/>
  <c r="CR49" i="1"/>
  <c r="CR34" i="1"/>
  <c r="CR50" i="1"/>
  <c r="CR44" i="1"/>
  <c r="CR35" i="1"/>
  <c r="CR53" i="1"/>
  <c r="CR51" i="1"/>
  <c r="CR38" i="1"/>
  <c r="CR37" i="1"/>
  <c r="CR48" i="1"/>
  <c r="CR54" i="1"/>
  <c r="CR52" i="1"/>
  <c r="AZ2" i="8"/>
  <c r="AZ2" i="14" l="1"/>
  <c r="J2" i="16"/>
  <c r="V2" i="17"/>
  <c r="J2" i="15"/>
  <c r="M2" i="16"/>
  <c r="AE2" i="14"/>
  <c r="Y2" i="17"/>
  <c r="G2" i="15"/>
  <c r="AQ2" i="8"/>
  <c r="G2" i="3"/>
  <c r="J2" i="3"/>
  <c r="P2" i="8"/>
  <c r="AN2" i="8"/>
  <c r="AH2" i="8"/>
  <c r="V2" i="8"/>
  <c r="AT2" i="8"/>
  <c r="J2" i="8"/>
  <c r="AB2" i="8"/>
  <c r="AN2" i="14" l="1"/>
  <c r="AH2" i="14"/>
  <c r="AT2" i="14"/>
  <c r="M2" i="14"/>
  <c r="P2" i="14"/>
  <c r="J2" i="14"/>
  <c r="AB2" i="14"/>
  <c r="V2" i="14"/>
  <c r="S2" i="17"/>
  <c r="G2" i="17"/>
  <c r="M2" i="17"/>
  <c r="S2" i="14"/>
  <c r="G2" i="16"/>
  <c r="AK2" i="8"/>
  <c r="AE2" i="8"/>
  <c r="Y2" i="8"/>
  <c r="AW2" i="14"/>
  <c r="AK2" i="14"/>
  <c r="AB2" i="17"/>
  <c r="S2" i="8"/>
  <c r="M2" i="8"/>
  <c r="Y2" i="14"/>
  <c r="P2" i="17"/>
  <c r="AW2" i="8"/>
  <c r="G2" i="14"/>
  <c r="AQ2" i="14"/>
  <c r="J2" i="17"/>
  <c r="P2" i="16"/>
  <c r="V2" i="3"/>
  <c r="P2" i="3"/>
  <c r="AB2" i="3"/>
  <c r="S2" i="3"/>
  <c r="M2" i="3"/>
  <c r="Y2" i="3"/>
  <c r="J2" i="7"/>
  <c r="P2" i="7"/>
  <c r="G2" i="7"/>
  <c r="M2" i="7"/>
  <c r="E24" i="9"/>
  <c r="E25" i="9"/>
  <c r="C4" i="11" l="1"/>
  <c r="A4" i="11"/>
  <c r="C2" i="11"/>
  <c r="A2" i="11"/>
  <c r="A1" i="11"/>
  <c r="S33" i="4" l="1"/>
  <c r="T33" i="4" l="1"/>
  <c r="Y33" i="4"/>
  <c r="Z33" i="4" s="1"/>
  <c r="V33" i="4"/>
  <c r="W33" i="4" s="1"/>
  <c r="AD33" i="4"/>
  <c r="AB33" i="4"/>
  <c r="U33" i="4"/>
  <c r="AA33" i="4"/>
  <c r="AC33" i="4"/>
  <c r="S34" i="4"/>
  <c r="E2" i="10"/>
  <c r="M2" i="10" s="1"/>
  <c r="A2" i="10"/>
  <c r="I2" i="10" s="1"/>
  <c r="J2" i="9"/>
  <c r="G2" i="9"/>
  <c r="D2" i="9"/>
  <c r="A2" i="9"/>
  <c r="S32" i="4"/>
  <c r="S11" i="4"/>
  <c r="S21" i="4"/>
  <c r="Y21" i="4" s="1"/>
  <c r="S22" i="4"/>
  <c r="Y22" i="4" s="1"/>
  <c r="S24" i="4"/>
  <c r="Y24" i="4" s="1"/>
  <c r="S25" i="4"/>
  <c r="S26" i="4"/>
  <c r="S27" i="4"/>
  <c r="S28" i="4"/>
  <c r="S29" i="4"/>
  <c r="Y29" i="4" s="1"/>
  <c r="S31" i="4"/>
  <c r="V31" i="4" s="1"/>
  <c r="W31" i="4" s="1"/>
  <c r="BG33" i="4" l="1"/>
  <c r="BF33" i="4"/>
  <c r="BD33" i="4"/>
  <c r="AR33" i="4"/>
  <c r="X33" i="4"/>
  <c r="T28" i="4"/>
  <c r="Y28" i="4"/>
  <c r="Z28" i="4" s="1"/>
  <c r="T32" i="4"/>
  <c r="Y32" i="4"/>
  <c r="Z32" i="4" s="1"/>
  <c r="T27" i="4"/>
  <c r="Y27" i="4"/>
  <c r="Z27" i="4" s="1"/>
  <c r="T31" i="4"/>
  <c r="Y31" i="4"/>
  <c r="Z31" i="4" s="1"/>
  <c r="T26" i="4"/>
  <c r="Y26" i="4"/>
  <c r="Z26" i="4" s="1"/>
  <c r="T25" i="4"/>
  <c r="Y25" i="4"/>
  <c r="Z25" i="4" s="1"/>
  <c r="T11" i="4"/>
  <c r="Y11" i="4"/>
  <c r="Z11" i="4" s="1"/>
  <c r="T34" i="4"/>
  <c r="Y34" i="4"/>
  <c r="Z34" i="4" s="1"/>
  <c r="T24" i="4"/>
  <c r="T21" i="4"/>
  <c r="T29" i="4"/>
  <c r="T22" i="4"/>
  <c r="V11" i="4"/>
  <c r="W11" i="4" s="1"/>
  <c r="AD11" i="4"/>
  <c r="V28" i="4"/>
  <c r="W28" i="4" s="1"/>
  <c r="AD28" i="4"/>
  <c r="Z24" i="4"/>
  <c r="V24" i="4"/>
  <c r="W24" i="4" s="1"/>
  <c r="AD24" i="4"/>
  <c r="V32" i="4"/>
  <c r="W32" i="4" s="1"/>
  <c r="AD32" i="4"/>
  <c r="Z29" i="4"/>
  <c r="V29" i="4"/>
  <c r="W29" i="4" s="1"/>
  <c r="AD29" i="4"/>
  <c r="V34" i="4"/>
  <c r="W34" i="4" s="1"/>
  <c r="AD34" i="4"/>
  <c r="V27" i="4"/>
  <c r="W27" i="4" s="1"/>
  <c r="AD27" i="4"/>
  <c r="V25" i="4"/>
  <c r="W25" i="4" s="1"/>
  <c r="AD25" i="4"/>
  <c r="Z22" i="4"/>
  <c r="V22" i="4"/>
  <c r="W22" i="4" s="1"/>
  <c r="AD22" i="4"/>
  <c r="AD31" i="4"/>
  <c r="V26" i="4"/>
  <c r="W26" i="4" s="1"/>
  <c r="AD26" i="4"/>
  <c r="Z21" i="4"/>
  <c r="V21" i="4"/>
  <c r="W21" i="4" s="1"/>
  <c r="AD21" i="4"/>
  <c r="AB28" i="4"/>
  <c r="U28" i="4"/>
  <c r="AB32" i="4"/>
  <c r="U32" i="4"/>
  <c r="AB27" i="4"/>
  <c r="U27" i="4"/>
  <c r="AB31" i="4"/>
  <c r="U31" i="4"/>
  <c r="AB26" i="4"/>
  <c r="U26" i="4"/>
  <c r="AB21" i="4"/>
  <c r="U21" i="4"/>
  <c r="AB29" i="4"/>
  <c r="U29" i="4"/>
  <c r="AB25" i="4"/>
  <c r="U25" i="4"/>
  <c r="AB11" i="4"/>
  <c r="U11" i="4"/>
  <c r="AB34" i="4"/>
  <c r="U34" i="4"/>
  <c r="AB24" i="4"/>
  <c r="U24" i="4"/>
  <c r="AB22" i="4"/>
  <c r="U22" i="4"/>
  <c r="AE33" i="4"/>
  <c r="AA21" i="4"/>
  <c r="AC21" i="4"/>
  <c r="AC24" i="4"/>
  <c r="AA24" i="4"/>
  <c r="AC27" i="4"/>
  <c r="AA27" i="4"/>
  <c r="AA22" i="4"/>
  <c r="AC22" i="4"/>
  <c r="AA26" i="4"/>
  <c r="AC26" i="4"/>
  <c r="AA29" i="4"/>
  <c r="AC29" i="4"/>
  <c r="AA25" i="4"/>
  <c r="AC25" i="4"/>
  <c r="AC11" i="4"/>
  <c r="AA11" i="4"/>
  <c r="AA34" i="4"/>
  <c r="AC34" i="4"/>
  <c r="AC31" i="4"/>
  <c r="AA31" i="4"/>
  <c r="AC28" i="4"/>
  <c r="AA28" i="4"/>
  <c r="AC32" i="4"/>
  <c r="AA32" i="4"/>
  <c r="BE33" i="4"/>
  <c r="BH33" i="4" a="1"/>
  <c r="BH33" i="4" l="1"/>
  <c r="BF34" i="4"/>
  <c r="BG34" i="4"/>
  <c r="BF22" i="4"/>
  <c r="BG22" i="4"/>
  <c r="BF21" i="4"/>
  <c r="BG21" i="4"/>
  <c r="BF11" i="4"/>
  <c r="BG11" i="4"/>
  <c r="BG32" i="4"/>
  <c r="BF32" i="4"/>
  <c r="BG24" i="4"/>
  <c r="BF24" i="4"/>
  <c r="BG25" i="4"/>
  <c r="BF25" i="4"/>
  <c r="BF31" i="4"/>
  <c r="BF29" i="4"/>
  <c r="BG29" i="4"/>
  <c r="BF27" i="4"/>
  <c r="BG27" i="4"/>
  <c r="BF28" i="4"/>
  <c r="BG28" i="4"/>
  <c r="BF26" i="4"/>
  <c r="BG26" i="4"/>
  <c r="AR22" i="4"/>
  <c r="BD31" i="4"/>
  <c r="BD24" i="4"/>
  <c r="AR21" i="4"/>
  <c r="BD26" i="4"/>
  <c r="BD34" i="4"/>
  <c r="AR24" i="4"/>
  <c r="AR26" i="4"/>
  <c r="AR28" i="4"/>
  <c r="BD21" i="4"/>
  <c r="BD29" i="4"/>
  <c r="BD28" i="4"/>
  <c r="AR34" i="4"/>
  <c r="AR31" i="4"/>
  <c r="BD22" i="4"/>
  <c r="BD25" i="4"/>
  <c r="BD11" i="4"/>
  <c r="AR11" i="4"/>
  <c r="AR27" i="4"/>
  <c r="BD32" i="4"/>
  <c r="BD27" i="4"/>
  <c r="AR29" i="4"/>
  <c r="AR25" i="4"/>
  <c r="AR32" i="4"/>
  <c r="X34" i="4"/>
  <c r="BC33" i="4"/>
  <c r="X26" i="4"/>
  <c r="X32" i="4"/>
  <c r="X21" i="4"/>
  <c r="X27" i="4"/>
  <c r="X29" i="4"/>
  <c r="X28" i="4"/>
  <c r="X31" i="4"/>
  <c r="X24" i="4"/>
  <c r="X25" i="4"/>
  <c r="X11" i="4"/>
  <c r="X22" i="4"/>
  <c r="BH31" i="4" a="1"/>
  <c r="BE26" i="4"/>
  <c r="ACM3" i="1" a="1"/>
  <c r="SV3" i="1" a="1"/>
  <c r="BH22" i="4" a="1"/>
  <c r="BH21" i="4" a="1"/>
  <c r="BE22" i="4"/>
  <c r="TH3" i="1" a="1"/>
  <c r="BY3" i="1" a="1"/>
  <c r="BH27" i="4" a="1"/>
  <c r="BE29" i="4"/>
  <c r="SJ3" i="1" a="1"/>
  <c r="BE28" i="4"/>
  <c r="ABF25" i="1" a="1"/>
  <c r="BE34" i="4"/>
  <c r="BE31" i="4"/>
  <c r="RX3" i="1" a="1"/>
  <c r="BH28" i="4" a="1"/>
  <c r="BH32" i="4" a="1"/>
  <c r="BE11" i="4"/>
  <c r="BE24" i="4"/>
  <c r="BH25" i="4" a="1"/>
  <c r="BE27" i="4"/>
  <c r="BH29" i="4" a="1"/>
  <c r="BE32" i="4"/>
  <c r="BH34" i="4" a="1"/>
  <c r="TU3" i="1" a="1"/>
  <c r="BE21" i="4"/>
  <c r="BH26" i="4" a="1"/>
  <c r="BH24" i="4" a="1"/>
  <c r="BH11" i="4" a="1"/>
  <c r="BE25" i="4"/>
  <c r="SV3" i="1" l="1"/>
  <c r="TU3" i="1"/>
  <c r="RX3" i="1"/>
  <c r="ABF25" i="1"/>
  <c r="BY3" i="1"/>
  <c r="ACM3" i="1"/>
  <c r="TH3" i="1"/>
  <c r="SJ3" i="1"/>
  <c r="BF35" i="4"/>
  <c r="BG31" i="4"/>
  <c r="BH24" i="4"/>
  <c r="BH34" i="4"/>
  <c r="BH11" i="4"/>
  <c r="BH32" i="4"/>
  <c r="BH21" i="4"/>
  <c r="BH22" i="4"/>
  <c r="BI33" i="4"/>
  <c r="BH27" i="4"/>
  <c r="BH29" i="4"/>
  <c r="BH26" i="4"/>
  <c r="BH31" i="4"/>
  <c r="BH25" i="4"/>
  <c r="BH28" i="4"/>
  <c r="BC22" i="4"/>
  <c r="BC31" i="4"/>
  <c r="BC21" i="4"/>
  <c r="BC26" i="4"/>
  <c r="BC11" i="4"/>
  <c r="BC24" i="4"/>
  <c r="BC28" i="4"/>
  <c r="BC27" i="4"/>
  <c r="BC32" i="4"/>
  <c r="BC34" i="4"/>
  <c r="BC25" i="4"/>
  <c r="BC29" i="4"/>
  <c r="AE21" i="4"/>
  <c r="AE25" i="4"/>
  <c r="AE31" i="4"/>
  <c r="AE27" i="4"/>
  <c r="AE34" i="4"/>
  <c r="AE29" i="4"/>
  <c r="AE26" i="4"/>
  <c r="AE11" i="4"/>
  <c r="AE22" i="4"/>
  <c r="AE24" i="4"/>
  <c r="AE32" i="4"/>
  <c r="AE28" i="4"/>
  <c r="RX4" i="1" a="1"/>
  <c r="TH4" i="1" a="1"/>
  <c r="AAT25" i="1" a="1"/>
  <c r="BH35" i="4" a="1"/>
  <c r="BY4" i="1" a="1"/>
  <c r="BQ25" i="1" a="1"/>
  <c r="SZ25" i="1" a="1"/>
  <c r="BE2" i="4"/>
  <c r="SN25" i="1" a="1"/>
  <c r="PE25" i="1" a="1"/>
  <c r="TL25" i="1" a="1"/>
  <c r="RP25" i="1" a="1"/>
  <c r="BJ33" i="4" a="1"/>
  <c r="SJ4" i="1" a="1"/>
  <c r="NI25" i="1" a="1"/>
  <c r="ACD25" i="1" a="1"/>
  <c r="SV4" i="1" a="1"/>
  <c r="QD25" i="1" a="1"/>
  <c r="SB25" i="1" a="1"/>
  <c r="BK45" i="4"/>
  <c r="ACM4" i="1" a="1"/>
  <c r="BK48" i="4" l="1"/>
  <c r="BJ33" i="4"/>
  <c r="AAT25" i="1"/>
  <c r="BQ25" i="1"/>
  <c r="PE25" i="1"/>
  <c r="SJ4" i="1"/>
  <c r="TL25" i="1"/>
  <c r="SN25" i="1"/>
  <c r="SB25" i="1"/>
  <c r="TH4" i="1"/>
  <c r="RX4" i="1"/>
  <c r="RP25" i="1"/>
  <c r="SZ25" i="1"/>
  <c r="NI25" i="1"/>
  <c r="ACM4" i="1"/>
  <c r="ACD25" i="1"/>
  <c r="QD25" i="1"/>
  <c r="BY4" i="1"/>
  <c r="SV4" i="1"/>
  <c r="BE3" i="4"/>
  <c r="BD3" i="4" s="1"/>
  <c r="AZ3" i="4" s="1"/>
  <c r="BA6" i="4" s="1"/>
  <c r="BH35" i="4"/>
  <c r="BG35" i="4"/>
  <c r="BI11" i="4"/>
  <c r="BI34" i="4"/>
  <c r="BI24" i="4"/>
  <c r="BI22" i="4"/>
  <c r="BI21" i="4"/>
  <c r="BI32" i="4"/>
  <c r="BI31" i="4"/>
  <c r="BI29" i="4"/>
  <c r="BI27" i="4"/>
  <c r="BI28" i="4"/>
  <c r="BI26" i="4"/>
  <c r="BI25" i="4"/>
  <c r="HN10" i="1"/>
  <c r="XW10" i="1"/>
  <c r="RL10" i="1"/>
  <c r="PA10" i="1"/>
  <c r="BJ32" i="4" a="1"/>
  <c r="BJ31" i="4" a="1"/>
  <c r="BJ21" i="4" a="1"/>
  <c r="BJ24" i="4" a="1"/>
  <c r="BJ25" i="4" a="1"/>
  <c r="BJ29" i="4" a="1"/>
  <c r="YJ11" i="1" a="1"/>
  <c r="BJ22" i="4" a="1"/>
  <c r="BJ26" i="4" a="1"/>
  <c r="BJ28" i="4" a="1"/>
  <c r="BJ27" i="4" a="1"/>
  <c r="BJ34" i="4" a="1"/>
  <c r="BJ11" i="4" a="1"/>
  <c r="BJ28" i="4" l="1"/>
  <c r="BJ32" i="4"/>
  <c r="BJ34" i="4"/>
  <c r="BJ25" i="4"/>
  <c r="BJ29" i="4"/>
  <c r="BJ22" i="4"/>
  <c r="BJ26" i="4"/>
  <c r="BJ31" i="4"/>
  <c r="BJ24" i="4"/>
  <c r="BJ27" i="4"/>
  <c r="BJ21" i="4"/>
  <c r="BJ11" i="4"/>
  <c r="SQ31" i="1"/>
  <c r="SQ47" i="1"/>
  <c r="SQ52" i="1"/>
  <c r="SQ42" i="1"/>
  <c r="SQ40" i="1"/>
  <c r="SQ50" i="1"/>
  <c r="SQ41" i="1"/>
  <c r="SQ46" i="1"/>
  <c r="SQ35" i="1"/>
  <c r="SQ51" i="1"/>
  <c r="SQ49" i="1"/>
  <c r="SQ54" i="1"/>
  <c r="SQ44" i="1"/>
  <c r="SQ29" i="1"/>
  <c r="SQ45" i="1"/>
  <c r="SQ28" i="1"/>
  <c r="SQ39" i="1"/>
  <c r="SQ55" i="1"/>
  <c r="SQ57" i="1"/>
  <c r="SQ32" i="1"/>
  <c r="SQ56" i="1"/>
  <c r="SQ33" i="1"/>
  <c r="SQ53" i="1"/>
  <c r="SQ48" i="1"/>
  <c r="SQ37" i="1"/>
  <c r="SQ30" i="1"/>
  <c r="SQ38" i="1"/>
  <c r="SQ34" i="1"/>
  <c r="SQ43" i="1"/>
  <c r="SQ36" i="1"/>
  <c r="ACH28" i="1"/>
  <c r="ACH41" i="1"/>
  <c r="ACH57" i="1"/>
  <c r="ACH42" i="1"/>
  <c r="ACH31" i="1"/>
  <c r="ACH47" i="1"/>
  <c r="ACH36" i="1"/>
  <c r="ACH52" i="1"/>
  <c r="ACH29" i="1"/>
  <c r="ACH45" i="1"/>
  <c r="ACH30" i="1"/>
  <c r="ACH46" i="1"/>
  <c r="ACH35" i="1"/>
  <c r="ACH51" i="1"/>
  <c r="ACH40" i="1"/>
  <c r="ACH56" i="1"/>
  <c r="ACH33" i="1"/>
  <c r="ACH49" i="1"/>
  <c r="ACH34" i="1"/>
  <c r="ACH50" i="1"/>
  <c r="ACH39" i="1"/>
  <c r="ACH55" i="1"/>
  <c r="ACH44" i="1"/>
  <c r="ACH37" i="1"/>
  <c r="ACH43" i="1"/>
  <c r="ACH53" i="1"/>
  <c r="ACH32" i="1"/>
  <c r="ACH38" i="1"/>
  <c r="ACH48" i="1"/>
  <c r="ACH54" i="1"/>
  <c r="RS40" i="1"/>
  <c r="RS56" i="1"/>
  <c r="RS28" i="1"/>
  <c r="RS55" i="1"/>
  <c r="RS41" i="1"/>
  <c r="RS57" i="1"/>
  <c r="RS54" i="1"/>
  <c r="RS44" i="1"/>
  <c r="RS30" i="1"/>
  <c r="RS31" i="1"/>
  <c r="RS29" i="1"/>
  <c r="RS45" i="1"/>
  <c r="RS34" i="1"/>
  <c r="RS35" i="1"/>
  <c r="RS32" i="1"/>
  <c r="RS48" i="1"/>
  <c r="RS42" i="1"/>
  <c r="RS39" i="1"/>
  <c r="RS33" i="1"/>
  <c r="RS49" i="1"/>
  <c r="RS38" i="1"/>
  <c r="RS43" i="1"/>
  <c r="RS50" i="1"/>
  <c r="RS46" i="1"/>
  <c r="RS47" i="1"/>
  <c r="RS51" i="1"/>
  <c r="RS52" i="1"/>
  <c r="RS53" i="1"/>
  <c r="RS36" i="1"/>
  <c r="RS37" i="1"/>
  <c r="BT31" i="1"/>
  <c r="BT47" i="1"/>
  <c r="BT36" i="1"/>
  <c r="BT52" i="1"/>
  <c r="BT37" i="1"/>
  <c r="BT57" i="1"/>
  <c r="BT42" i="1"/>
  <c r="BT35" i="1"/>
  <c r="BT51" i="1"/>
  <c r="BT40" i="1"/>
  <c r="BT56" i="1"/>
  <c r="BT41" i="1"/>
  <c r="BT30" i="1"/>
  <c r="BT46" i="1"/>
  <c r="BT28" i="1"/>
  <c r="BT39" i="1"/>
  <c r="BT55" i="1"/>
  <c r="BT44" i="1"/>
  <c r="BT29" i="1"/>
  <c r="BT45" i="1"/>
  <c r="BT34" i="1"/>
  <c r="BT50" i="1"/>
  <c r="BT43" i="1"/>
  <c r="BT53" i="1"/>
  <c r="BT32" i="1"/>
  <c r="BT38" i="1"/>
  <c r="BT49" i="1"/>
  <c r="BT48" i="1"/>
  <c r="BT54" i="1"/>
  <c r="BT33" i="1"/>
  <c r="SE34" i="1"/>
  <c r="SE50" i="1"/>
  <c r="SE39" i="1"/>
  <c r="SE55" i="1"/>
  <c r="SE48" i="1"/>
  <c r="SE33" i="1"/>
  <c r="SE49" i="1"/>
  <c r="SE38" i="1"/>
  <c r="SE54" i="1"/>
  <c r="SE43" i="1"/>
  <c r="SE36" i="1"/>
  <c r="SE52" i="1"/>
  <c r="SE37" i="1"/>
  <c r="SE53" i="1"/>
  <c r="SE28" i="1"/>
  <c r="SE42" i="1"/>
  <c r="SE31" i="1"/>
  <c r="SE47" i="1"/>
  <c r="SE40" i="1"/>
  <c r="SE56" i="1"/>
  <c r="SE41" i="1"/>
  <c r="SE57" i="1"/>
  <c r="SE46" i="1"/>
  <c r="SE29" i="1"/>
  <c r="SE35" i="1"/>
  <c r="SE45" i="1"/>
  <c r="SE30" i="1"/>
  <c r="SE44" i="1"/>
  <c r="SE51" i="1"/>
  <c r="SE32" i="1"/>
  <c r="BA14" i="4"/>
  <c r="AZ24" i="4"/>
  <c r="AZ12" i="4"/>
  <c r="AZ39" i="4"/>
  <c r="BA22" i="4"/>
  <c r="AZ14" i="4"/>
  <c r="BA13" i="4"/>
  <c r="K2" i="20"/>
  <c r="BB38" i="4"/>
  <c r="BA12" i="4"/>
  <c r="AZ27" i="4"/>
  <c r="AZ13" i="4"/>
  <c r="AZ26" i="4"/>
  <c r="AZ25" i="4"/>
  <c r="AZ6" i="4"/>
  <c r="AZ7" i="4"/>
  <c r="BA27" i="4"/>
  <c r="BA37" i="4"/>
  <c r="BA28" i="4"/>
  <c r="BA7" i="4"/>
  <c r="U2" i="20"/>
  <c r="BB37" i="4"/>
  <c r="AZ8" i="4"/>
  <c r="AZ22" i="4"/>
  <c r="BA41" i="4"/>
  <c r="AZ37" i="4"/>
  <c r="BB36" i="4"/>
  <c r="AZ38" i="4"/>
  <c r="AZ36" i="4"/>
  <c r="BB39" i="4"/>
  <c r="P2" i="20"/>
  <c r="BA26" i="4"/>
  <c r="BA25" i="4"/>
  <c r="BA24" i="4"/>
  <c r="BA39" i="4"/>
  <c r="AZ41" i="4"/>
  <c r="F2" i="20"/>
  <c r="K35" i="20" s="1"/>
  <c r="AZ28" i="4"/>
  <c r="BA36" i="4"/>
  <c r="BA8" i="4"/>
  <c r="BI35" i="4"/>
  <c r="YJ11" i="1"/>
  <c r="YP49" i="1"/>
  <c r="YN49" i="1"/>
  <c r="OR11" i="1" a="1"/>
  <c r="OS11" i="1" a="1"/>
  <c r="XN11" i="1" a="1"/>
  <c r="OQ11" i="1" a="1"/>
  <c r="YK11" i="1" a="1"/>
  <c r="XM11" i="1" a="1"/>
  <c r="HC11" i="1" a="1"/>
  <c r="XO11" i="1" a="1"/>
  <c r="XL11" i="1" a="1"/>
  <c r="HB11" i="1" a="1"/>
  <c r="BJ35" i="4" a="1"/>
  <c r="HE11" i="1" a="1"/>
  <c r="YI11" i="1" a="1"/>
  <c r="RJ11" i="1" a="1"/>
  <c r="YH11" i="1" a="1"/>
  <c r="HD11" i="1" a="1"/>
  <c r="HF11" i="1" a="1"/>
  <c r="BJ35" i="4" l="1"/>
  <c r="K48" i="20"/>
  <c r="U53" i="20"/>
  <c r="F56" i="20"/>
  <c r="F22" i="20"/>
  <c r="P8" i="20"/>
  <c r="U26" i="20"/>
  <c r="F17" i="20"/>
  <c r="U6" i="20"/>
  <c r="F51" i="20"/>
  <c r="F48" i="20"/>
  <c r="F33" i="20"/>
  <c r="U35" i="20"/>
  <c r="F18" i="20"/>
  <c r="K38" i="20"/>
  <c r="F52" i="20"/>
  <c r="P19" i="20"/>
  <c r="K13" i="20"/>
  <c r="U42" i="20"/>
  <c r="U39" i="20"/>
  <c r="F12" i="20"/>
  <c r="F42" i="20"/>
  <c r="F35" i="20"/>
  <c r="K54" i="20"/>
  <c r="F9" i="20"/>
  <c r="U18" i="20"/>
  <c r="K27" i="20"/>
  <c r="K45" i="20"/>
  <c r="K37" i="20"/>
  <c r="K17" i="20"/>
  <c r="K15" i="20"/>
  <c r="K14" i="20"/>
  <c r="U41" i="20"/>
  <c r="K10" i="20"/>
  <c r="P10" i="20"/>
  <c r="U29" i="20"/>
  <c r="U31" i="20"/>
  <c r="F21" i="20"/>
  <c r="F19" i="20"/>
  <c r="K28" i="20"/>
  <c r="F23" i="20"/>
  <c r="P24" i="20"/>
  <c r="F36" i="20"/>
  <c r="F31" i="20"/>
  <c r="F6" i="20"/>
  <c r="K7" i="20"/>
  <c r="F38" i="20"/>
  <c r="K33" i="20"/>
  <c r="K51" i="20"/>
  <c r="P5" i="20"/>
  <c r="K5" i="20"/>
  <c r="U51" i="20"/>
  <c r="F44" i="20"/>
  <c r="U44" i="20"/>
  <c r="K32" i="20"/>
  <c r="F27" i="20"/>
  <c r="P23" i="20"/>
  <c r="P18" i="20"/>
  <c r="U8" i="20"/>
  <c r="U13" i="20"/>
  <c r="P15" i="20"/>
  <c r="U56" i="20"/>
  <c r="F29" i="20"/>
  <c r="P21" i="20"/>
  <c r="K46" i="20"/>
  <c r="U28" i="20"/>
  <c r="P26" i="20"/>
  <c r="K26" i="20"/>
  <c r="U12" i="20"/>
  <c r="K39" i="20"/>
  <c r="K42" i="20"/>
  <c r="K9" i="20"/>
  <c r="K19" i="20"/>
  <c r="K11" i="20"/>
  <c r="K22" i="20"/>
  <c r="U43" i="20"/>
  <c r="K43" i="20"/>
  <c r="U49" i="20"/>
  <c r="U17" i="20"/>
  <c r="U23" i="20"/>
  <c r="U14" i="20"/>
  <c r="F40" i="20"/>
  <c r="K52" i="20"/>
  <c r="K18" i="20"/>
  <c r="K50" i="20"/>
  <c r="K21" i="20"/>
  <c r="P11" i="20"/>
  <c r="K20" i="20"/>
  <c r="U54" i="20"/>
  <c r="F54" i="20"/>
  <c r="F13" i="20"/>
  <c r="K12" i="20"/>
  <c r="P20" i="20"/>
  <c r="P17" i="20"/>
  <c r="F45" i="20"/>
  <c r="U27" i="20"/>
  <c r="U48" i="20"/>
  <c r="U32" i="20"/>
  <c r="K47" i="20"/>
  <c r="K44" i="20"/>
  <c r="U47" i="20"/>
  <c r="U52" i="20"/>
  <c r="F30" i="20"/>
  <c r="P22" i="20"/>
  <c r="K31" i="20"/>
  <c r="K8" i="20"/>
  <c r="P12" i="20"/>
  <c r="U10" i="20"/>
  <c r="F34" i="20"/>
  <c r="U7" i="20"/>
  <c r="K30" i="20"/>
  <c r="U9" i="20"/>
  <c r="K55" i="20"/>
  <c r="F5" i="20"/>
  <c r="F37" i="20"/>
  <c r="K49" i="20"/>
  <c r="K24" i="20"/>
  <c r="K25" i="20"/>
  <c r="K40" i="20"/>
  <c r="U15" i="20"/>
  <c r="U21" i="20"/>
  <c r="P9" i="20"/>
  <c r="F32" i="20"/>
  <c r="F55" i="20"/>
  <c r="U50" i="20"/>
  <c r="P14" i="20"/>
  <c r="K36" i="20"/>
  <c r="U38" i="20"/>
  <c r="F16" i="20"/>
  <c r="U30" i="20"/>
  <c r="F14" i="20"/>
  <c r="U24" i="20"/>
  <c r="U5" i="20"/>
  <c r="U33" i="20"/>
  <c r="P16" i="20"/>
  <c r="F15" i="20"/>
  <c r="K41" i="20"/>
  <c r="F53" i="20"/>
  <c r="P25" i="20"/>
  <c r="F46" i="20"/>
  <c r="K6" i="20"/>
  <c r="F25" i="20"/>
  <c r="U34" i="20"/>
  <c r="K16" i="20"/>
  <c r="F8" i="20"/>
  <c r="U20" i="20"/>
  <c r="U11" i="20"/>
  <c r="K34" i="20"/>
  <c r="F20" i="20"/>
  <c r="U46" i="20"/>
  <c r="F43" i="20"/>
  <c r="U37" i="20"/>
  <c r="F10" i="20"/>
  <c r="F49" i="20"/>
  <c r="F11" i="20"/>
  <c r="U45" i="20"/>
  <c r="P6" i="20"/>
  <c r="U19" i="20"/>
  <c r="F7" i="20"/>
  <c r="K29" i="20"/>
  <c r="U55" i="20"/>
  <c r="U25" i="20"/>
  <c r="U22" i="20"/>
  <c r="F26" i="20"/>
  <c r="P7" i="20"/>
  <c r="F24" i="20"/>
  <c r="U36" i="20"/>
  <c r="F50" i="20"/>
  <c r="P13" i="20"/>
  <c r="K53" i="20"/>
  <c r="F28" i="20"/>
  <c r="F47" i="20"/>
  <c r="K56" i="20"/>
  <c r="U40" i="20"/>
  <c r="F39" i="20"/>
  <c r="U16" i="20"/>
  <c r="K23" i="20"/>
  <c r="RJ11" i="1"/>
  <c r="F41" i="20"/>
  <c r="XL11" i="1"/>
  <c r="OQ11" i="1"/>
  <c r="OS11" i="1"/>
  <c r="YI11" i="1"/>
  <c r="OR11" i="1"/>
  <c r="HE11" i="1"/>
  <c r="HF11" i="1"/>
  <c r="HC11" i="1"/>
  <c r="HD11" i="1"/>
  <c r="YH11" i="1"/>
  <c r="YK11" i="1"/>
  <c r="XO11" i="1"/>
  <c r="XM11" i="1"/>
  <c r="XN11" i="1"/>
  <c r="HB11" i="1"/>
  <c r="YM49" i="1"/>
  <c r="BJ43" i="4"/>
  <c r="YP45" i="1" l="1"/>
  <c r="YN43" i="1"/>
  <c r="YN41" i="1"/>
  <c r="YP47" i="1"/>
  <c r="YP43" i="1"/>
  <c r="YN50" i="1"/>
  <c r="YP41" i="1"/>
  <c r="YP46" i="1"/>
  <c r="YP48" i="1"/>
  <c r="YP44" i="1"/>
  <c r="YN46" i="1"/>
  <c r="YN44" i="1"/>
  <c r="YP50" i="1"/>
  <c r="YN45" i="1" l="1"/>
  <c r="YN48" i="1"/>
  <c r="YN47" i="1"/>
  <c r="YO49" i="1"/>
  <c r="YQ49" i="1" s="1"/>
  <c r="YM47" i="1" l="1"/>
  <c r="YM41" i="1"/>
  <c r="YM45" i="1"/>
  <c r="YM44" i="1"/>
  <c r="YM43" i="1"/>
  <c r="YM48" i="1"/>
  <c r="YM50" i="1"/>
  <c r="YM46" i="1"/>
  <c r="YO50" i="1" l="1"/>
  <c r="YQ50" i="1" s="1"/>
  <c r="YO41" i="1" l="1"/>
  <c r="YQ41" i="1" s="1"/>
  <c r="YO46" i="1"/>
  <c r="YQ46" i="1" s="1"/>
  <c r="YO45" i="1"/>
  <c r="YQ45" i="1" s="1"/>
  <c r="YO47" i="1"/>
  <c r="YQ47" i="1" s="1"/>
  <c r="YO44" i="1"/>
  <c r="YQ44" i="1" s="1"/>
  <c r="YO48" i="1"/>
  <c r="YQ48" i="1" s="1"/>
  <c r="YO43" i="1"/>
  <c r="YQ43" i="1" s="1"/>
  <c r="YN40" i="1" l="1"/>
  <c r="YO40" i="1"/>
  <c r="YP40" i="1"/>
  <c r="YN39" i="1"/>
  <c r="YP39" i="1"/>
  <c r="YO39" i="1"/>
  <c r="YN36" i="1"/>
  <c r="YN38" i="1"/>
  <c r="YN33" i="1"/>
  <c r="YP36" i="1"/>
  <c r="YP38" i="1"/>
  <c r="YO33" i="1"/>
  <c r="YN32" i="1"/>
  <c r="YP37" i="1"/>
  <c r="YO37" i="1"/>
  <c r="YP33" i="1"/>
  <c r="YO36" i="1"/>
  <c r="YO32" i="1" l="1"/>
  <c r="YO38" i="1"/>
  <c r="YM33" i="1" l="1"/>
  <c r="YQ33" i="1" s="1"/>
  <c r="YM36" i="1"/>
  <c r="YQ36" i="1" s="1"/>
  <c r="YM32" i="1"/>
  <c r="YM38" i="1"/>
  <c r="YQ38" i="1" s="1"/>
  <c r="YM37" i="1"/>
  <c r="YM40" i="1" l="1"/>
  <c r="YQ40" i="1" s="1"/>
  <c r="YP32" i="1" l="1"/>
  <c r="YQ32" i="1" s="1"/>
  <c r="YN37" i="1"/>
  <c r="YQ37" i="1" s="1"/>
  <c r="YM39" i="1" l="1"/>
  <c r="YQ39" i="1" s="1"/>
  <c r="ND57" i="1" l="1"/>
  <c r="ND54" i="1"/>
  <c r="ND50" i="1"/>
  <c r="ND33" i="1"/>
  <c r="ND56" i="1"/>
  <c r="ND36" i="1"/>
  <c r="ND46" i="1"/>
  <c r="ND41" i="1"/>
  <c r="ND47" i="1"/>
  <c r="ND51" i="1"/>
  <c r="ND32" i="1"/>
  <c r="ND52" i="1"/>
  <c r="ND55" i="1"/>
  <c r="ND31" i="1"/>
  <c r="ND44" i="1"/>
  <c r="ND35" i="1"/>
  <c r="ND38" i="1"/>
  <c r="ND37" i="1"/>
  <c r="ND28" i="1"/>
  <c r="ND34" i="1"/>
  <c r="ND42" i="1"/>
  <c r="ND39" i="1"/>
  <c r="ND30" i="1"/>
  <c r="ND53" i="1"/>
  <c r="ND29" i="1"/>
  <c r="ND49" i="1"/>
  <c r="ND48" i="1"/>
  <c r="ND43" i="1"/>
  <c r="ND40" i="1"/>
  <c r="ND45" i="1"/>
  <c r="NA46" i="1"/>
  <c r="NA28" i="1"/>
  <c r="NA53" i="1"/>
  <c r="NA43" i="1"/>
  <c r="NA54" i="1"/>
  <c r="NA29" i="1"/>
  <c r="NA48" i="1"/>
  <c r="NA30" i="1"/>
  <c r="NA55" i="1"/>
  <c r="NA31" i="1"/>
  <c r="NA56" i="1"/>
  <c r="NA50" i="1"/>
  <c r="NA37" i="1"/>
  <c r="NA51" i="1"/>
  <c r="NA34" i="1"/>
  <c r="NA40" i="1"/>
  <c r="NA38" i="1"/>
  <c r="NA47" i="1"/>
  <c r="NA49" i="1"/>
  <c r="NA57" i="1"/>
  <c r="NA42" i="1"/>
  <c r="NA44" i="1"/>
  <c r="NA35" i="1"/>
  <c r="NA39" i="1"/>
  <c r="NA32" i="1"/>
  <c r="NA33" i="1"/>
  <c r="NA52" i="1"/>
  <c r="NA36" i="1"/>
  <c r="NA41" i="1"/>
  <c r="NA45" i="1"/>
  <c r="DD28" i="1" l="1"/>
  <c r="DD38" i="1" l="1"/>
  <c r="DD33" i="1"/>
  <c r="DD44" i="1"/>
  <c r="DD47" i="1"/>
  <c r="DD43" i="1"/>
  <c r="DD55" i="1"/>
  <c r="DD52" i="1"/>
  <c r="DD36" i="1"/>
  <c r="DD45" i="1"/>
  <c r="DD35" i="1"/>
  <c r="DD50" i="1"/>
  <c r="DD41" i="1"/>
  <c r="DD57" i="1"/>
  <c r="DD40" i="1"/>
  <c r="DD37" i="1"/>
  <c r="DD54" i="1"/>
  <c r="DD56" i="1"/>
  <c r="DD48" i="1"/>
  <c r="DD31" i="1"/>
  <c r="DD49" i="1"/>
  <c r="DD32" i="1"/>
  <c r="DD39" i="1"/>
  <c r="DD51" i="1"/>
  <c r="DD42" i="1"/>
  <c r="DD29" i="1"/>
  <c r="DD30" i="1"/>
  <c r="DD34" i="1"/>
  <c r="DD53" i="1"/>
  <c r="DD46" i="1"/>
  <c r="TC52" i="1" l="1"/>
  <c r="TC44" i="1"/>
  <c r="TC36" i="1"/>
  <c r="TC51" i="1"/>
  <c r="TC47" i="1"/>
  <c r="TC43" i="1"/>
  <c r="TC35" i="1"/>
  <c r="TC28" i="1"/>
  <c r="TC54" i="1"/>
  <c r="TC50" i="1"/>
  <c r="TC46" i="1"/>
  <c r="TC42" i="1"/>
  <c r="TC38" i="1"/>
  <c r="TC34" i="1"/>
  <c r="TC30" i="1"/>
  <c r="TC57" i="1"/>
  <c r="TC53" i="1"/>
  <c r="TC49" i="1"/>
  <c r="TC45" i="1"/>
  <c r="TC41" i="1"/>
  <c r="TC37" i="1"/>
  <c r="TC33" i="1"/>
  <c r="TC29" i="1"/>
  <c r="TC48" i="1"/>
  <c r="TC40" i="1"/>
  <c r="TC32" i="1"/>
  <c r="TC56" i="1"/>
  <c r="TC55" i="1"/>
  <c r="TC39" i="1"/>
  <c r="TC31" i="1"/>
  <c r="YO35" i="1" l="1"/>
  <c r="YO29" i="1"/>
  <c r="YO57" i="1" l="1"/>
  <c r="YO31" i="1"/>
  <c r="YO28" i="1"/>
  <c r="WZ5" i="1" a="1"/>
  <c r="CE1" i="1" a="1"/>
  <c r="AC42" i="1" a="1"/>
  <c r="KZ37" i="1" a="1"/>
  <c r="PZ54" i="1" a="1"/>
  <c r="JR43" i="1" a="1"/>
  <c r="EF34" i="1" a="1"/>
  <c r="KU41" i="1" a="1"/>
  <c r="LA39" i="1" a="1"/>
  <c r="RR4" i="1" a="1"/>
  <c r="UU3" i="1" a="1"/>
  <c r="JU39" i="1" a="1"/>
  <c r="KS50" i="1" a="1"/>
  <c r="QO31" i="1" a="1"/>
  <c r="Q35" i="1" a="1"/>
  <c r="JR52" i="1" a="1"/>
  <c r="KU35" i="1" a="1"/>
  <c r="PZ48" i="1" a="1"/>
  <c r="R14" i="20"/>
  <c r="KP41" i="1" a="1"/>
  <c r="KR54" i="1" a="1"/>
  <c r="KZ48" i="1" a="1"/>
  <c r="JR36" i="1" a="1"/>
  <c r="W18" i="20"/>
  <c r="QO35" i="1" a="1"/>
  <c r="ABI1" i="1" a="1"/>
  <c r="ZW3" i="1" a="1"/>
  <c r="JS34" i="1" a="1"/>
  <c r="JW45" i="1" a="1"/>
  <c r="DK39" i="1" a="1"/>
  <c r="KT49" i="1" a="1"/>
  <c r="JS46" i="1" a="1"/>
  <c r="KX36" i="1" a="1"/>
  <c r="KU38" i="1" a="1"/>
  <c r="UV3" i="1" a="1"/>
  <c r="ZX6" i="1" a="1"/>
  <c r="KW38" i="1" a="1"/>
  <c r="KY54" i="1" a="1"/>
  <c r="KZ31" i="1" a="1"/>
  <c r="CR6" i="1" a="1"/>
  <c r="BA39" i="1" a="1"/>
  <c r="KY35" i="1" a="1"/>
  <c r="KU46" i="1" a="1"/>
  <c r="KW50" i="1" a="1"/>
  <c r="JR34" i="1" a="1"/>
  <c r="KT50" i="1" a="1"/>
  <c r="KY45" i="1" a="1"/>
  <c r="JU56" i="1" a="1"/>
  <c r="KR37" i="1" a="1"/>
  <c r="ZW5" i="1" a="1"/>
  <c r="EG36" i="1" a="1"/>
  <c r="KR33" i="1" a="1"/>
  <c r="KT43" i="1" a="1"/>
  <c r="AC35" i="1" a="1"/>
  <c r="BA41" i="1" a="1"/>
  <c r="KP48" i="1" a="1"/>
  <c r="KY40" i="1" a="1"/>
  <c r="M29" i="20"/>
  <c r="KQ37" i="1" a="1"/>
  <c r="QO44" i="1" a="1"/>
  <c r="KT28" i="1" a="1"/>
  <c r="QO47" i="1" a="1"/>
  <c r="Q52" i="1" a="1"/>
  <c r="KV53" i="1" a="1"/>
  <c r="JR44" i="1" a="1"/>
  <c r="QL3" i="1" a="1"/>
  <c r="KZ41" i="1" a="1"/>
  <c r="AC52" i="1" a="1"/>
  <c r="Q47" i="1" a="1"/>
  <c r="KQ45" i="1" a="1"/>
  <c r="EG28" i="1" a="1"/>
  <c r="KV40" i="1" a="1"/>
  <c r="JV30" i="1" a="1"/>
  <c r="JV49" i="1" a="1"/>
  <c r="EG37" i="1" a="1"/>
  <c r="R10" i="20"/>
  <c r="BA36" i="1" a="1"/>
  <c r="EG51" i="1" a="1"/>
  <c r="KP33" i="1" a="1"/>
  <c r="JW38" i="1" a="1"/>
  <c r="NU5" i="1" a="1"/>
  <c r="UZ3" i="1" a="1"/>
  <c r="KW49" i="1" a="1"/>
  <c r="KS34" i="1" a="1"/>
  <c r="JU48" i="1" a="1"/>
  <c r="PG2" i="1" a="1"/>
  <c r="PZ47" i="1" a="1"/>
  <c r="JR29" i="1" a="1"/>
  <c r="W31" i="20"/>
  <c r="QO56" i="1" a="1"/>
  <c r="KT35" i="1" a="1"/>
  <c r="KX52" i="1" a="1"/>
  <c r="KV50" i="1" a="1"/>
  <c r="BA29" i="1" a="1"/>
  <c r="KS48" i="1" a="1"/>
  <c r="KW37" i="1" a="1"/>
  <c r="DL37" i="1" a="1"/>
  <c r="XB5" i="1" a="1"/>
  <c r="KP54" i="1" a="1"/>
  <c r="JV53" i="1" a="1"/>
  <c r="KQ40" i="1" a="1"/>
  <c r="AO45" i="1" a="1"/>
  <c r="KQ47" i="1" a="1"/>
  <c r="KR35" i="1" a="1"/>
  <c r="JW42" i="1" a="1"/>
  <c r="KU54" i="1" a="1"/>
  <c r="KR52" i="1" a="1"/>
  <c r="AK29" i="4"/>
  <c r="DN20" i="1" a="1"/>
  <c r="TW3" i="1" a="1"/>
  <c r="PM3" i="1" a="1"/>
  <c r="DK31" i="1" a="1"/>
  <c r="QO40" i="1" a="1"/>
  <c r="JU49" i="1" a="1"/>
  <c r="QF5" i="1" a="1"/>
  <c r="JU50" i="1" a="1"/>
  <c r="EG43" i="1" a="1"/>
  <c r="DL36" i="1" a="1"/>
  <c r="KV51" i="1" a="1"/>
  <c r="AC53" i="1" a="1"/>
  <c r="BA38" i="1" a="1"/>
  <c r="Q53" i="1" a="1"/>
  <c r="JT42" i="1" a="1"/>
  <c r="KZ42" i="1" a="1"/>
  <c r="KV39" i="1" a="1"/>
  <c r="XC5" i="1" a="1"/>
  <c r="KT56" i="1" a="1"/>
  <c r="JS48" i="1" a="1"/>
  <c r="JU32" i="1" a="1"/>
  <c r="JW47" i="1" a="1"/>
  <c r="KS41" i="1" a="1"/>
  <c r="KY30" i="1" a="1"/>
  <c r="W12" i="20"/>
  <c r="KY31" i="1" a="1"/>
  <c r="TO2" i="1" a="1"/>
  <c r="KY36" i="1" a="1"/>
  <c r="DC6" i="1" a="1"/>
  <c r="JV41" i="1" a="1"/>
  <c r="BA57" i="1" a="1"/>
  <c r="BA50" i="1" a="1"/>
  <c r="BA31" i="1" a="1"/>
  <c r="AAW1" i="1" a="1"/>
  <c r="EF32" i="1" a="1"/>
  <c r="KP57" i="1" a="1"/>
  <c r="JV56" i="1" a="1"/>
  <c r="KP39" i="1" a="1"/>
  <c r="JV51" i="1" a="1"/>
  <c r="AC43" i="1" a="1"/>
  <c r="KV30" i="1" a="1"/>
  <c r="TO4" i="1" a="1"/>
  <c r="KW31" i="1" a="1"/>
  <c r="KX56" i="1" a="1"/>
  <c r="AAW4" i="1" a="1"/>
  <c r="JU44" i="1" a="1"/>
  <c r="KW29" i="1" a="1"/>
  <c r="DK46" i="1" a="1"/>
  <c r="AC56" i="1" a="1"/>
  <c r="JT47" i="1" a="1"/>
  <c r="KP52" i="1" a="1"/>
  <c r="AC39" i="1" a="1"/>
  <c r="KS42" i="1" a="1"/>
  <c r="DL30" i="1" a="1"/>
  <c r="JU52" i="1" a="1"/>
  <c r="JT29" i="1" a="1"/>
  <c r="Q51" i="1" a="1"/>
  <c r="KS43" i="1" a="1"/>
  <c r="KR51" i="1" a="1"/>
  <c r="AO35" i="1" a="1"/>
  <c r="KQ55" i="1" a="1"/>
  <c r="KU48" i="1" a="1"/>
  <c r="JV47" i="1" a="1"/>
  <c r="KU55" i="1" a="1"/>
  <c r="KT54" i="1" a="1"/>
  <c r="QO51" i="1" a="1"/>
  <c r="KS46" i="1" a="1"/>
  <c r="JS32" i="1" a="1"/>
  <c r="CE2" i="1" a="1"/>
  <c r="KR31" i="1" a="1"/>
  <c r="Q44" i="1" a="1"/>
  <c r="PG1" i="1" a="1"/>
  <c r="KQ57" i="1" a="1"/>
  <c r="KV37" i="1" a="1"/>
  <c r="JR39" i="1" a="1"/>
  <c r="H25" i="20"/>
  <c r="WT5" i="1" a="1"/>
  <c r="KX43" i="1" a="1"/>
  <c r="QO46" i="1" a="1"/>
  <c r="ZW4" i="1" a="1"/>
  <c r="EF28" i="1" a="1"/>
  <c r="LA56" i="1" a="1"/>
  <c r="JR49" i="1" a="1"/>
  <c r="AC36" i="1" a="1"/>
  <c r="BG2" i="1" a="1"/>
  <c r="EG47" i="1" a="1"/>
  <c r="KQ41" i="1" a="1"/>
  <c r="PZ49" i="1" a="1"/>
  <c r="KX37" i="1" a="1"/>
  <c r="JW31" i="1" a="1"/>
  <c r="KS32" i="1" a="1"/>
  <c r="KT39" i="1" a="1"/>
  <c r="DK44" i="1" a="1"/>
  <c r="KS44" i="1" a="1"/>
  <c r="PZ56" i="1" a="1"/>
  <c r="SP1" i="1" a="1"/>
  <c r="LA55" i="1" a="1"/>
  <c r="EF45" i="1" a="1"/>
  <c r="DL33" i="1" a="1"/>
  <c r="DL44" i="1" a="1"/>
  <c r="KW32" i="1" a="1"/>
  <c r="KY56" i="1" a="1"/>
  <c r="EF48" i="1" a="1"/>
  <c r="QF1" i="1" a="1"/>
  <c r="XA5" i="1" a="1"/>
  <c r="Q38" i="1" a="1"/>
  <c r="KP42" i="1" a="1"/>
  <c r="KS56" i="1" a="1"/>
  <c r="Q30" i="1" a="1"/>
  <c r="KZ34" i="1" a="1"/>
  <c r="AO31" i="1" a="1"/>
  <c r="JS37" i="1" a="1"/>
  <c r="JT57" i="1" a="1"/>
  <c r="JR53" i="1" a="1"/>
  <c r="UX3" i="1" a="1"/>
  <c r="LA53" i="1" a="1"/>
  <c r="EF29" i="1" a="1"/>
  <c r="PZ43" i="1" a="1"/>
  <c r="BS1" i="1" a="1"/>
  <c r="KS30" i="1" a="1"/>
  <c r="EG52" i="1" a="1"/>
  <c r="EF31" i="1" a="1"/>
  <c r="AK24" i="4"/>
  <c r="KX54" i="1" a="1"/>
  <c r="H47" i="20"/>
  <c r="JU37" i="1" a="1"/>
  <c r="JW34" i="1" a="1"/>
  <c r="EF53" i="1" a="1"/>
  <c r="ACH6" i="1" a="1"/>
  <c r="KT29" i="1" a="1"/>
  <c r="KW35" i="1" a="1"/>
  <c r="QO37" i="1" a="1"/>
  <c r="KQ36" i="1" a="1"/>
  <c r="JS42" i="1" a="1"/>
  <c r="KW52" i="1" a="1"/>
  <c r="JU34" i="1" a="1"/>
  <c r="H17" i="20"/>
  <c r="KP32" i="1" a="1"/>
  <c r="JW32" i="1" a="1"/>
  <c r="DL35" i="1" a="1"/>
  <c r="DL20" i="1" a="1"/>
  <c r="KU29" i="1" a="1"/>
  <c r="KR30" i="1" a="1"/>
  <c r="CQ4" i="1" a="1"/>
  <c r="LA45" i="1" a="1"/>
  <c r="KR29" i="1" a="1"/>
  <c r="R5" i="20"/>
  <c r="KQ30" i="1" a="1"/>
  <c r="EG49" i="1" a="1"/>
  <c r="KP50" i="1" a="1"/>
  <c r="KS51" i="1" a="1"/>
  <c r="NL2" i="1" a="1"/>
  <c r="PZ50" i="1" a="1"/>
  <c r="NL1" i="1" a="1"/>
  <c r="JU51" i="1" a="1"/>
  <c r="KW28" i="1" a="1"/>
  <c r="KY29" i="1" a="1"/>
  <c r="CF6" i="1" a="1"/>
  <c r="QO28" i="1" a="1"/>
  <c r="Q29" i="1" a="1"/>
  <c r="NL4" i="1" a="1"/>
  <c r="KY50" i="1" a="1"/>
  <c r="KT36" i="1" a="1"/>
  <c r="TB3" i="1" a="1"/>
  <c r="AO44" i="1" a="1"/>
  <c r="JV31" i="1" a="1"/>
  <c r="AO38" i="1" a="1"/>
  <c r="SQ6" i="1" a="1"/>
  <c r="KP36" i="1" a="1"/>
  <c r="AC31" i="1" a="1"/>
  <c r="KY57" i="1" a="1"/>
  <c r="EF43" i="1" a="1"/>
  <c r="QF2" i="1" a="1"/>
  <c r="SP6" i="1" a="1"/>
  <c r="JR45" i="1" a="1"/>
  <c r="BA56" i="1" a="1"/>
  <c r="AC50" i="1" a="1"/>
  <c r="QO52" i="1" a="1"/>
  <c r="Q36" i="1" a="1"/>
  <c r="JR32" i="1" a="1"/>
  <c r="KQ28" i="1" a="1"/>
  <c r="QO38" i="1" a="1"/>
  <c r="BG5" i="1" a="1"/>
  <c r="KU53" i="1" a="1"/>
  <c r="H9" i="20"/>
  <c r="JR33" i="1" a="1"/>
  <c r="AO28" i="1" a="1"/>
  <c r="KU49" i="1" a="1"/>
  <c r="KU43" i="1" a="1"/>
  <c r="AAW5" i="1" a="1"/>
  <c r="KS40" i="1" a="1"/>
  <c r="DK40" i="1" a="1"/>
  <c r="JU38" i="1" a="1"/>
  <c r="QS5" i="1" a="1"/>
  <c r="EF55" i="1" a="1"/>
  <c r="FA5" i="1" a="1"/>
  <c r="KZ32" i="1" a="1"/>
  <c r="DK54" i="1" a="1"/>
  <c r="AO51" i="1" a="1"/>
  <c r="KQ52" i="1" a="1"/>
  <c r="TZ3" i="1" a="1"/>
  <c r="EG39" i="1" a="1"/>
  <c r="QO50" i="1" a="1"/>
  <c r="BA28" i="1" a="1"/>
  <c r="JT49" i="1" a="1"/>
  <c r="WU5" i="1" a="1"/>
  <c r="KV36" i="1" a="1"/>
  <c r="DL50" i="1" a="1"/>
  <c r="RS6" i="1" a="1"/>
  <c r="H49" i="20"/>
  <c r="KZ45" i="1" a="1"/>
  <c r="QO57" i="1" a="1"/>
  <c r="ACG1" i="1" a="1"/>
  <c r="AC33" i="1" a="1"/>
  <c r="DL38" i="1" a="1"/>
  <c r="KS57" i="1" a="1"/>
  <c r="JU42" i="1" a="1"/>
  <c r="KW42" i="1" a="1"/>
  <c r="KZ49" i="1" a="1"/>
  <c r="KY39" i="1" a="1"/>
  <c r="KQ32" i="1" a="1"/>
  <c r="R16" i="20"/>
  <c r="KP56" i="1" a="1"/>
  <c r="DL54" i="1" a="1"/>
  <c r="RR6" i="1" a="1"/>
  <c r="LA33" i="1" a="1"/>
  <c r="DK35" i="1" a="1"/>
  <c r="KT51" i="1" a="1"/>
  <c r="KS36" i="1" a="1"/>
  <c r="KY33" i="1" a="1"/>
  <c r="KT46" i="1" a="1"/>
  <c r="KU32" i="1" a="1"/>
  <c r="JU40" i="1" a="1"/>
  <c r="CE3" i="1" a="1"/>
  <c r="JV34" i="1" a="1"/>
  <c r="AAW3" i="1" a="1"/>
  <c r="JS50" i="1" a="1"/>
  <c r="KU47" i="1" a="1"/>
  <c r="TB4" i="1" a="1"/>
  <c r="SD5" i="1" a="1"/>
  <c r="BG4" i="1" a="1"/>
  <c r="DC4" i="1" a="1"/>
  <c r="KU40" i="1" a="1"/>
  <c r="KP44" i="1" a="1"/>
  <c r="DL56" i="1" a="1"/>
  <c r="AC44" i="1" a="1"/>
  <c r="EF36" i="1" a="1"/>
  <c r="EG33" i="1" a="1"/>
  <c r="EF51" i="1" a="1"/>
  <c r="QO53" i="1" a="1"/>
  <c r="QO39" i="1" a="1"/>
  <c r="QO49" i="1" a="1"/>
  <c r="EG56" i="1" a="1"/>
  <c r="DK52" i="1" a="1"/>
  <c r="LA48" i="1" a="1"/>
  <c r="KQ39" i="1" a="1"/>
  <c r="JW36" i="1" a="1"/>
  <c r="BA37" i="1" a="1"/>
  <c r="AC29" i="1" a="1"/>
  <c r="KV34" i="1" a="1"/>
  <c r="DK38" i="1" a="1"/>
  <c r="QO32" i="1" a="1"/>
  <c r="JW37" i="1" a="1"/>
  <c r="KP43" i="1" a="1"/>
  <c r="Q55" i="1" a="1"/>
  <c r="KY37" i="1" a="1"/>
  <c r="EF33" i="1" a="1"/>
  <c r="KW45" i="1" a="1"/>
  <c r="TB5" i="1" a="1"/>
  <c r="CE6" i="1" a="1"/>
  <c r="KR46" i="1" a="1"/>
  <c r="KU57" i="1" a="1"/>
  <c r="KV56" i="1" a="1"/>
  <c r="KX44" i="1" a="1"/>
  <c r="JV57" i="1" a="1"/>
  <c r="KX28" i="1" a="1"/>
  <c r="KT40" i="1" a="1"/>
  <c r="FW5" i="1" a="1"/>
  <c r="AC57" i="1" a="1"/>
  <c r="KX50" i="1" a="1"/>
  <c r="UA3" i="1" a="1"/>
  <c r="KW41" i="1" a="1"/>
  <c r="H28" i="20"/>
  <c r="KR55" i="1" a="1"/>
  <c r="KY55" i="1" a="1"/>
  <c r="M21" i="20"/>
  <c r="BS2" i="1" a="1"/>
  <c r="AO42" i="1" a="1"/>
  <c r="VC3" i="1" a="1"/>
  <c r="KT48" i="1" a="1"/>
  <c r="PZ28" i="1" a="1"/>
  <c r="AC47" i="1" a="1"/>
  <c r="JT39" i="1" a="1"/>
  <c r="DC1" i="1" a="1"/>
  <c r="R20" i="20"/>
  <c r="M18" i="20"/>
  <c r="BA42" i="1" a="1"/>
  <c r="H43" i="20"/>
  <c r="DM20" i="1" a="1"/>
  <c r="QO30" i="1" a="1"/>
  <c r="KV45" i="1" a="1"/>
  <c r="RR1" i="1" a="1"/>
  <c r="PZ53" i="1" a="1"/>
  <c r="JR37" i="1" a="1"/>
  <c r="JV50" i="1" a="1"/>
  <c r="KV52" i="1" a="1"/>
  <c r="JS49" i="1" a="1"/>
  <c r="PG3" i="1" a="1"/>
  <c r="EG54" i="1" a="1"/>
  <c r="KR53" i="1" a="1"/>
  <c r="DL52" i="1" a="1"/>
  <c r="PZ31" i="1" a="1"/>
  <c r="KU42" i="1" a="1"/>
  <c r="ZW1" i="1" a="1"/>
  <c r="ACG3" i="1" a="1"/>
  <c r="FZ5" i="1" a="1"/>
  <c r="KY38" i="1" a="1"/>
  <c r="DK45" i="1" a="1"/>
  <c r="KU45" i="1" a="1"/>
  <c r="TO1" i="1" a="1"/>
  <c r="BS3" i="1" a="1"/>
  <c r="KS55" i="1" a="1"/>
  <c r="LA47" i="1" a="1"/>
  <c r="KP47" i="1" a="1"/>
  <c r="QF4" i="1" a="1"/>
  <c r="KQ49" i="1" a="1"/>
  <c r="JR46" i="1" a="1"/>
  <c r="QO41" i="1" a="1"/>
  <c r="JW49" i="1" a="1"/>
  <c r="TP6" i="1" a="1"/>
  <c r="KV31" i="1" a="1"/>
  <c r="DK28" i="1" a="1"/>
  <c r="JV44" i="1" a="1"/>
  <c r="JS29" i="1" a="1"/>
  <c r="KX48" i="1" a="1"/>
  <c r="KU52" i="1" a="1"/>
  <c r="KT31" i="1" a="1"/>
  <c r="JS31" i="1" a="1"/>
  <c r="DL46" i="1" a="1"/>
  <c r="PZ51" i="1" a="1"/>
  <c r="QF6" i="1" a="1"/>
  <c r="JS47" i="1" a="1"/>
  <c r="KS31" i="1" a="1"/>
  <c r="JU35" i="1" a="1"/>
  <c r="KZ52" i="1" a="1"/>
  <c r="DC5" i="1" a="1"/>
  <c r="KW34" i="1" a="1"/>
  <c r="KP28" i="1" a="1"/>
  <c r="JS51" i="1" a="1"/>
  <c r="BS5" i="1" a="1"/>
  <c r="ACG6" i="1" a="1"/>
  <c r="KZ35" i="1" a="1"/>
  <c r="JT56" i="1" a="1"/>
  <c r="Q37" i="1" a="1"/>
  <c r="KQ31" i="1" a="1"/>
  <c r="WY5" i="1" a="1"/>
  <c r="PZ41" i="1" a="1"/>
  <c r="H20" i="20"/>
  <c r="JV54" i="1" a="1"/>
  <c r="KV44" i="1" a="1"/>
  <c r="JS39" i="1" a="1"/>
  <c r="DK55" i="1" a="1"/>
  <c r="KT37" i="1" a="1"/>
  <c r="BA49" i="1" a="1"/>
  <c r="Q31" i="1" a="1"/>
  <c r="KZ38" i="1" a="1"/>
  <c r="KZ40" i="1" a="1"/>
  <c r="KP49" i="1" a="1"/>
  <c r="JT52" i="1" a="1"/>
  <c r="DL49" i="1" a="1"/>
  <c r="TY3" i="1" a="1"/>
  <c r="KT44" i="1" a="1"/>
  <c r="JV45" i="1" a="1"/>
  <c r="EF57" i="1" a="1"/>
  <c r="JS56" i="1" a="1"/>
  <c r="BS4" i="1" a="1"/>
  <c r="PZ44" i="1" a="1"/>
  <c r="DL41" i="1" a="1"/>
  <c r="JR51" i="1" a="1"/>
  <c r="EG46" i="1" a="1"/>
  <c r="KZ30" i="1" a="1"/>
  <c r="JT50" i="1" a="1"/>
  <c r="JR54" i="1" a="1"/>
  <c r="KT52" i="1" a="1"/>
  <c r="JV32" i="1" a="1"/>
  <c r="KY53" i="1" a="1"/>
  <c r="EF46" i="1" a="1"/>
  <c r="SP4" i="1" a="1"/>
  <c r="JV40" i="1" a="1"/>
  <c r="JV35" i="1" a="1"/>
  <c r="KW43" i="1" a="1"/>
  <c r="KY52" i="1" a="1"/>
  <c r="KX31" i="1" a="1"/>
  <c r="TO3" i="1" a="1"/>
  <c r="KV29" i="1" a="1"/>
  <c r="KQ43" i="1" a="1"/>
  <c r="JS36" i="1" a="1"/>
  <c r="JU43" i="1" a="1"/>
  <c r="KV43" i="1" a="1"/>
  <c r="WV5" i="1" a="1"/>
  <c r="BG6" i="1" a="1"/>
  <c r="JW57" i="1" a="1"/>
  <c r="TB2" i="1" a="1"/>
  <c r="LA31" i="1" a="1"/>
  <c r="NM6" i="1" a="1"/>
  <c r="H56" i="20"/>
  <c r="Q33" i="1" a="1"/>
  <c r="KR36" i="1" a="1"/>
  <c r="DL47" i="1" a="1"/>
  <c r="JT31" i="1" a="1"/>
  <c r="XW11" i="1" a="1"/>
  <c r="W13" i="20"/>
  <c r="ZW2" i="1" a="1"/>
  <c r="KW40" i="1" a="1"/>
  <c r="LA37" i="1" a="1"/>
  <c r="DK20" i="1" a="1"/>
  <c r="PZ39" i="1" a="1"/>
  <c r="AC51" i="1" a="1"/>
  <c r="JW52" i="1" a="1"/>
  <c r="Q50" i="1" a="1"/>
  <c r="JU30" i="1" a="1"/>
  <c r="JW41" i="1" a="1"/>
  <c r="DL55" i="1" a="1"/>
  <c r="BA34" i="1" a="1"/>
  <c r="M45" i="20"/>
  <c r="CQ2" i="1" a="1"/>
  <c r="KP51" i="1" a="1"/>
  <c r="AL29" i="4"/>
  <c r="FD5" i="1" a="1"/>
  <c r="DL53" i="1" a="1"/>
  <c r="TC6" i="1" a="1"/>
  <c r="KR50" i="1" a="1"/>
  <c r="KV32" i="1" a="1"/>
  <c r="JR47" i="1" a="1"/>
  <c r="JV52" i="1" a="1"/>
  <c r="RR2" i="1" a="1"/>
  <c r="RR5" i="1" a="1"/>
  <c r="JU53" i="1" a="1"/>
  <c r="KP31" i="1" a="1"/>
  <c r="KQ51" i="1" a="1"/>
  <c r="KR40" i="1" a="1"/>
  <c r="R19" i="20"/>
  <c r="JU47" i="1" a="1"/>
  <c r="KR57" i="1" a="1"/>
  <c r="DL31" i="1" a="1"/>
  <c r="QO29" i="1" a="1"/>
  <c r="DK57" i="1" a="1"/>
  <c r="KS33" i="1" a="1"/>
  <c r="QO45" i="1" a="1"/>
  <c r="DK37" i="1" a="1"/>
  <c r="AO29" i="1" a="1"/>
  <c r="VB3" i="1" a="1"/>
  <c r="NL6" i="1" a="1"/>
  <c r="DM5" i="1" a="1"/>
  <c r="JT33" i="1" a="1"/>
  <c r="Q32" i="1" a="1"/>
  <c r="AO41" i="1" a="1"/>
  <c r="SD6" i="1" a="1"/>
  <c r="KZ50" i="1" a="1"/>
  <c r="JV28" i="1" a="1"/>
  <c r="JR57" i="1" a="1"/>
  <c r="JS28" i="1" a="1"/>
  <c r="JV37" i="1" a="1"/>
  <c r="QO36" i="1" a="1"/>
  <c r="JS41" i="1" a="1"/>
  <c r="KV42" i="1" a="1"/>
  <c r="KP53" i="1" a="1"/>
  <c r="EG50" i="1" a="1"/>
  <c r="JT38" i="1" a="1"/>
  <c r="AO52" i="1" a="1"/>
  <c r="LA57" i="1" a="1"/>
  <c r="KP34" i="1" a="1"/>
  <c r="KQ33" i="1" a="1"/>
  <c r="AC48" i="1" a="1"/>
  <c r="ABI2" i="1" a="1"/>
  <c r="QO33" i="1" a="1"/>
  <c r="ABJ6" i="1" a="1"/>
  <c r="KY28" i="1" a="1"/>
  <c r="AO49" i="1" a="1"/>
  <c r="KP40" i="1" a="1"/>
  <c r="EF41" i="1" a="1"/>
  <c r="PZ52" i="1" a="1"/>
  <c r="KZ44" i="1" a="1"/>
  <c r="JW35" i="1" a="1"/>
  <c r="PZ29" i="1" a="1"/>
  <c r="BA44" i="1" a="1"/>
  <c r="JT43" i="1" a="1"/>
  <c r="EG34" i="1" a="1"/>
  <c r="W54" i="20"/>
  <c r="KT45" i="1" a="1"/>
  <c r="KX45" i="1" a="1"/>
  <c r="NL3" i="1" a="1"/>
  <c r="PZ46" i="1" a="1"/>
  <c r="BA46" i="1" a="1"/>
  <c r="KY43" i="1" a="1"/>
  <c r="TB6" i="1" a="1"/>
  <c r="Q39" i="1" a="1"/>
  <c r="DK56" i="1" a="1"/>
  <c r="DD6" i="1" a="1"/>
  <c r="JS57" i="1" a="1"/>
  <c r="BA40" i="1" a="1"/>
  <c r="Q28" i="1" a="1"/>
  <c r="JU28" i="1" a="1"/>
  <c r="AO56" i="1" a="1"/>
  <c r="BA51" i="1" a="1"/>
  <c r="JS38" i="1" a="1"/>
  <c r="KV54" i="1" a="1"/>
  <c r="JR55" i="1" a="1"/>
  <c r="KX57" i="1" a="1"/>
  <c r="JS40" i="1" a="1"/>
  <c r="JT28" i="1" a="1"/>
  <c r="AAW6" i="1" a="1"/>
  <c r="KX29" i="1" a="1"/>
  <c r="LA28" i="1" a="1"/>
  <c r="QO54" i="1" a="1"/>
  <c r="KZ36" i="1" a="1"/>
  <c r="AC38" i="1" a="1"/>
  <c r="KV49" i="1" a="1"/>
  <c r="AO39" i="1" a="1"/>
  <c r="KT33" i="1" a="1"/>
  <c r="AK22" i="4"/>
  <c r="AO55" i="1" a="1"/>
  <c r="Q49" i="1" a="1"/>
  <c r="AC46" i="1" a="1"/>
  <c r="KP37" i="1" a="1"/>
  <c r="JT45" i="1" a="1"/>
  <c r="AO57" i="1" a="1"/>
  <c r="EF54" i="1" a="1"/>
  <c r="JT51" i="1" a="1"/>
  <c r="JS55" i="1" a="1"/>
  <c r="BA35" i="1" a="1"/>
  <c r="KT57" i="1" a="1"/>
  <c r="JV36" i="1" a="1"/>
  <c r="JU33" i="1" a="1"/>
  <c r="KZ43" i="1" a="1"/>
  <c r="EF47" i="1" a="1"/>
  <c r="JU54" i="1" a="1"/>
  <c r="PZ55" i="1" a="1"/>
  <c r="KS38" i="1" a="1"/>
  <c r="EF42" i="1" a="1"/>
  <c r="KR41" i="1" a="1"/>
  <c r="AO48" i="1" a="1"/>
  <c r="ABI3" i="1" a="1"/>
  <c r="M39" i="20"/>
  <c r="KV47" i="1" a="1"/>
  <c r="LA32" i="1" a="1"/>
  <c r="AO32" i="1" a="1"/>
  <c r="KP29" i="1" a="1"/>
  <c r="KR43" i="1" a="1"/>
  <c r="KZ39" i="1" a="1"/>
  <c r="KV55" i="1" a="1"/>
  <c r="LA30" i="1" a="1"/>
  <c r="JT41" i="1" a="1"/>
  <c r="PZ36" i="1" a="1"/>
  <c r="EG55" i="1" a="1"/>
  <c r="LA38" i="1" a="1"/>
  <c r="EF49" i="1" a="1"/>
  <c r="M26" i="20"/>
  <c r="LA40" i="1" a="1"/>
  <c r="AL24" i="4"/>
  <c r="DK48" i="1" a="1"/>
  <c r="SE6" i="1" a="1"/>
  <c r="JR42" i="1" a="1"/>
  <c r="QQ5" i="1" a="1"/>
  <c r="KT30" i="1" a="1"/>
  <c r="SP3" i="1" a="1"/>
  <c r="W15" i="20"/>
  <c r="H12" i="20"/>
  <c r="JT46" i="1" a="1"/>
  <c r="VA3" i="1" a="1"/>
  <c r="KV57" i="1" a="1"/>
  <c r="DL32" i="1" a="1"/>
  <c r="KX32" i="1" a="1"/>
  <c r="KR47" i="1" a="1"/>
  <c r="JS30" i="1" a="1"/>
  <c r="AC55" i="1" a="1"/>
  <c r="W40" i="20"/>
  <c r="EG32" i="1" a="1"/>
  <c r="KU34" i="1" a="1"/>
  <c r="JU41" i="1" a="1"/>
  <c r="KR32" i="1" a="1"/>
  <c r="NW5" i="1" a="1"/>
  <c r="KX51" i="1" a="1"/>
  <c r="BA43" i="1" a="1"/>
  <c r="KV46" i="1" a="1"/>
  <c r="BA55" i="1" a="1"/>
  <c r="JS52" i="1" a="1"/>
  <c r="KS29" i="1" a="1"/>
  <c r="JW48" i="1" a="1"/>
  <c r="JV33" i="1" a="1"/>
  <c r="TO5" i="1" a="1"/>
  <c r="SD3" i="1" a="1"/>
  <c r="JV48" i="1" a="1"/>
  <c r="AC34" i="1" a="1"/>
  <c r="KU51" i="1" a="1"/>
  <c r="M13" i="20"/>
  <c r="Q43" i="1" a="1"/>
  <c r="TB1" i="1" a="1"/>
  <c r="DK36" i="1" a="1"/>
  <c r="KW47" i="1" a="1"/>
  <c r="JW50" i="1" a="1"/>
  <c r="PG5" i="1" a="1"/>
  <c r="BA53" i="1" a="1"/>
  <c r="KQ29" i="1" a="1"/>
  <c r="LA34" i="1" a="1"/>
  <c r="KT41" i="1" a="1"/>
  <c r="AO37" i="1" a="1"/>
  <c r="DK29" i="1" a="1"/>
  <c r="WX5" i="1" a="1"/>
  <c r="JW44" i="1" a="1"/>
  <c r="JW53" i="1" a="1"/>
  <c r="JV55" i="1" a="1"/>
  <c r="DL39" i="1" a="1"/>
  <c r="KU30" i="1" a="1"/>
  <c r="LA35" i="1" a="1"/>
  <c r="JS45" i="1" a="1"/>
  <c r="WW5" i="1" a="1"/>
  <c r="KQ46" i="1" a="1"/>
  <c r="LA43" i="1" a="1"/>
  <c r="EF39" i="1" a="1"/>
  <c r="JV38" i="1" a="1"/>
  <c r="KS53" i="1" a="1"/>
  <c r="AO46" i="1" a="1"/>
  <c r="AO33" i="1" a="1"/>
  <c r="AC37" i="1" a="1"/>
  <c r="QO48" i="1" a="1"/>
  <c r="KW55" i="1" a="1"/>
  <c r="Q57" i="1" a="1"/>
  <c r="TX3" i="1" a="1"/>
  <c r="W5" i="20"/>
  <c r="KZ56" i="1" a="1"/>
  <c r="JT54" i="1" a="1"/>
  <c r="EF44" i="1" a="1"/>
  <c r="DK43" i="1" a="1"/>
  <c r="PZ38" i="1" a="1"/>
  <c r="JT44" i="1" a="1"/>
  <c r="KX38" i="1" a="1"/>
  <c r="LA52" i="1" a="1"/>
  <c r="JW54" i="1" a="1"/>
  <c r="JU36" i="1" a="1"/>
  <c r="EG53" i="1" a="1"/>
  <c r="JT55" i="1" a="1"/>
  <c r="AC45" i="1" a="1"/>
  <c r="JS54" i="1" a="1"/>
  <c r="LA42" i="1" a="1"/>
  <c r="EF35" i="1" a="1"/>
  <c r="KP46" i="1" a="1"/>
  <c r="KP55" i="1" a="1"/>
  <c r="Q42" i="1" a="1"/>
  <c r="EG31" i="1" a="1"/>
  <c r="KS39" i="1" a="1"/>
  <c r="M24" i="20"/>
  <c r="LA44" i="1" a="1"/>
  <c r="AC28" i="1" a="1"/>
  <c r="DL40" i="1" a="1"/>
  <c r="BA48" i="1" a="1"/>
  <c r="FC5" i="1" a="1"/>
  <c r="PZ37" i="1" a="1"/>
  <c r="KU36" i="1" a="1"/>
  <c r="QO43" i="1" a="1"/>
  <c r="KZ47" i="1" a="1"/>
  <c r="HN11" i="1" a="1"/>
  <c r="LA49" i="1" a="1"/>
  <c r="KX47" i="1" a="1"/>
  <c r="CQ3" i="1" a="1"/>
  <c r="W22" i="20"/>
  <c r="AO54" i="1" a="1"/>
  <c r="JV39" i="1" a="1"/>
  <c r="AC41" i="1" a="1"/>
  <c r="KT34" i="1" a="1"/>
  <c r="DL34" i="1" a="1"/>
  <c r="KU31" i="1" a="1"/>
  <c r="KT42" i="1" a="1"/>
  <c r="KV41" i="1" a="1"/>
  <c r="SP5" i="1" a="1"/>
  <c r="KY32" i="1" a="1"/>
  <c r="JR56" i="1" a="1"/>
  <c r="AC32" i="1" a="1"/>
  <c r="H35" i="20"/>
  <c r="H46" i="20"/>
  <c r="DL28" i="1" a="1"/>
  <c r="EF50" i="1" a="1"/>
  <c r="JT37" i="1" a="1"/>
  <c r="PZ30" i="1" a="1"/>
  <c r="TU4" i="1" a="1"/>
  <c r="KR39" i="1" a="1"/>
  <c r="KW51" i="1" a="1"/>
  <c r="DK51" i="1" a="1"/>
  <c r="JW39" i="1" a="1"/>
  <c r="EG35" i="1" a="1"/>
  <c r="PZ42" i="1" a="1"/>
  <c r="KX40" i="1" a="1"/>
  <c r="PZ34" i="1" a="1"/>
  <c r="M14" i="20"/>
  <c r="KQ54" i="1" a="1"/>
  <c r="KY48" i="1" a="1"/>
  <c r="UY3" i="1" a="1"/>
  <c r="KT53" i="1" a="1"/>
  <c r="PG4" i="1" a="1"/>
  <c r="JW28" i="1" a="1"/>
  <c r="KQ38" i="1" a="1"/>
  <c r="KR48" i="1" a="1"/>
  <c r="CE5" i="1" a="1"/>
  <c r="KV38" i="1" a="1"/>
  <c r="EF52" i="1" a="1"/>
  <c r="AO30" i="1" a="1"/>
  <c r="DK42" i="1" a="1"/>
  <c r="JR35" i="1" a="1"/>
  <c r="JT32" i="1" a="1"/>
  <c r="JR50" i="1" a="1"/>
  <c r="M33" i="20"/>
  <c r="AC30" i="1" a="1"/>
  <c r="KP30" i="1" a="1"/>
  <c r="CQ1" i="1" a="1"/>
  <c r="CE4" i="1" a="1"/>
  <c r="JV43" i="1" a="1"/>
  <c r="BA33" i="1" a="1"/>
  <c r="JS35" i="1" a="1"/>
  <c r="BA47" i="1" a="1"/>
  <c r="KT38" i="1" a="1"/>
  <c r="KR49" i="1" a="1"/>
  <c r="KW48" i="1" a="1"/>
  <c r="W17" i="20"/>
  <c r="KP38" i="1" a="1"/>
  <c r="ABI5" i="1" a="1"/>
  <c r="KZ57" i="1" a="1"/>
  <c r="KY51" i="1" a="1"/>
  <c r="KZ53" i="1" a="1"/>
  <c r="BA30" i="1" a="1"/>
  <c r="PZ40" i="1" a="1"/>
  <c r="KX49" i="1" a="1"/>
  <c r="KQ34" i="1" a="1"/>
  <c r="JR28" i="1" a="1"/>
  <c r="KU50" i="1" a="1"/>
  <c r="DL42" i="1" a="1"/>
  <c r="Q46" i="1" a="1"/>
  <c r="PZ35" i="1" a="1"/>
  <c r="KY49" i="1" a="1"/>
  <c r="KZ28" i="1" a="1"/>
  <c r="EG57" i="1" a="1"/>
  <c r="KS45" i="1" a="1"/>
  <c r="KX41" i="1" a="1"/>
  <c r="ACG2" i="1" a="1"/>
  <c r="JW56" i="1" a="1"/>
  <c r="KY44" i="1" a="1"/>
  <c r="JT35" i="1" a="1"/>
  <c r="JS33" i="1" a="1"/>
  <c r="KW56" i="1" a="1"/>
  <c r="EG40" i="1" a="1"/>
  <c r="JR48" i="1" a="1"/>
  <c r="AO43" i="1" a="1"/>
  <c r="SD4" i="1" a="1"/>
  <c r="KU39" i="1" a="1"/>
  <c r="KR28" i="1" a="1"/>
  <c r="KU28" i="1" a="1"/>
  <c r="KS37" i="1" a="1"/>
  <c r="JS44" i="1" a="1"/>
  <c r="KX30" i="1" a="1"/>
  <c r="KS52" i="1" a="1"/>
  <c r="KS35" i="1" a="1"/>
  <c r="AO47" i="1" a="1"/>
  <c r="BH6" i="1" a="1"/>
  <c r="LA54" i="1" a="1"/>
  <c r="KP45" i="1" a="1"/>
  <c r="EG45" i="1" a="1"/>
  <c r="JR38" i="1" a="1"/>
  <c r="JW46" i="1" a="1"/>
  <c r="JU46" i="1" a="1"/>
  <c r="JR31" i="1" a="1"/>
  <c r="FY5" i="1" a="1"/>
  <c r="NR3" i="1" a="1"/>
  <c r="LA51" i="1" a="1"/>
  <c r="Q41" i="1" a="1"/>
  <c r="Q48" i="1" a="1"/>
  <c r="DK34" i="1" a="1"/>
  <c r="KW33" i="1" a="1"/>
  <c r="AL21" i="4"/>
  <c r="AO36" i="1" a="1"/>
  <c r="R26" i="20"/>
  <c r="KW53" i="1" a="1"/>
  <c r="KX42" i="1" a="1"/>
  <c r="EF40" i="1" a="1"/>
  <c r="EF30" i="1" a="1"/>
  <c r="DL43" i="1" a="1"/>
  <c r="KR34" i="1" a="1"/>
  <c r="DL48" i="1" a="1"/>
  <c r="AAW2" i="1" a="1"/>
  <c r="JU29" i="1" a="1"/>
  <c r="KT55" i="1" a="1"/>
  <c r="JW33" i="1" a="1"/>
  <c r="KX55" i="1" a="1"/>
  <c r="RL11" i="1" a="1"/>
  <c r="LA29" i="1" a="1"/>
  <c r="JW40" i="1" a="1"/>
  <c r="R7" i="20"/>
  <c r="KZ46" i="1" a="1"/>
  <c r="KY34" i="1" a="1"/>
  <c r="KW54" i="1" a="1"/>
  <c r="KV28" i="1" a="1"/>
  <c r="KP35" i="1" a="1"/>
  <c r="JW30" i="1" a="1"/>
  <c r="SD2" i="1" a="1"/>
  <c r="Q34" i="1" a="1"/>
  <c r="QF3" i="1" a="1"/>
  <c r="KQ42" i="1" a="1"/>
  <c r="PZ45" i="1" a="1"/>
  <c r="SP2" i="1" a="1"/>
  <c r="DK41" i="1" a="1"/>
  <c r="JT34" i="1" a="1"/>
  <c r="JT40" i="1" a="1"/>
  <c r="FV5" i="1" a="1"/>
  <c r="QN5" i="1" a="1"/>
  <c r="KR45" i="1" a="1"/>
  <c r="PA11" i="1" a="1"/>
  <c r="NL5" i="1" a="1"/>
  <c r="KS28" i="1" a="1"/>
  <c r="KY47" i="1" a="1"/>
  <c r="H51" i="20"/>
  <c r="KZ54" i="1" a="1"/>
  <c r="KW39" i="1" a="1"/>
  <c r="PG6" i="1" a="1"/>
  <c r="ZW6" i="1" a="1"/>
  <c r="DK32" i="1" a="1"/>
  <c r="KU33" i="1" a="1"/>
  <c r="JS53" i="1" a="1"/>
  <c r="JU31" i="1" a="1"/>
  <c r="ABI4" i="1" a="1"/>
  <c r="LA50" i="1" a="1"/>
  <c r="EF37" i="1" a="1"/>
  <c r="JR30" i="1" a="1"/>
  <c r="KU56" i="1" a="1"/>
  <c r="DC3" i="1" a="1"/>
  <c r="KX33" i="1" a="1"/>
  <c r="EF38" i="1" a="1"/>
  <c r="DL57" i="1" a="1"/>
  <c r="EG42" i="1" a="1"/>
  <c r="KQ50" i="1" a="1"/>
  <c r="EF56" i="1" a="1"/>
  <c r="KX34" i="1" a="1"/>
  <c r="JU55" i="1" a="1"/>
  <c r="JR40" i="1" a="1"/>
  <c r="JT53" i="1" a="1"/>
  <c r="Q45" i="1" a="1"/>
  <c r="QP5" i="1" a="1"/>
  <c r="KQ48" i="1" a="1"/>
  <c r="DL51" i="1" a="1"/>
  <c r="JR41" i="1" a="1"/>
  <c r="KZ29" i="1" a="1"/>
  <c r="PZ57" i="1" a="1"/>
  <c r="KR56" i="1" a="1"/>
  <c r="BS6" i="1" a="1"/>
  <c r="FB5" i="1" a="1"/>
  <c r="BT6" i="1" a="1"/>
  <c r="BA54" i="1" a="1"/>
  <c r="KZ33" i="1" a="1"/>
  <c r="ACG4" i="1" a="1"/>
  <c r="KU37" i="1" a="1"/>
  <c r="QG6" i="1" a="1"/>
  <c r="EG41" i="1" a="1"/>
  <c r="Q54" i="1" a="1"/>
  <c r="KR44" i="1" a="1"/>
  <c r="QO55" i="1" a="1"/>
  <c r="JV29" i="1" a="1"/>
  <c r="DK47" i="1" a="1"/>
  <c r="LA46" i="1" a="1"/>
  <c r="JV42" i="1" a="1"/>
  <c r="BA52" i="1" a="1"/>
  <c r="KQ35" i="1" a="1"/>
  <c r="KS49" i="1" a="1"/>
  <c r="KQ53" i="1" a="1"/>
  <c r="JT30" i="1" a="1"/>
  <c r="CQ5" i="1" a="1"/>
  <c r="TO6" i="1" a="1"/>
  <c r="CQ6" i="1" a="1"/>
  <c r="W50" i="20"/>
  <c r="ABI6" i="1" a="1"/>
  <c r="KV48" i="1" a="1"/>
  <c r="KQ56" i="1" a="1"/>
  <c r="KY41" i="1" a="1"/>
  <c r="KY42" i="1" a="1"/>
  <c r="FX5" i="1" a="1"/>
  <c r="KY46" i="1" a="1"/>
  <c r="EG44" i="1" a="1"/>
  <c r="DL29" i="1" a="1"/>
  <c r="DL45" i="1" a="1"/>
  <c r="KW44" i="1" a="1"/>
  <c r="KS47" i="1" a="1"/>
  <c r="ACG5" i="1" a="1"/>
  <c r="KW57" i="1" a="1"/>
  <c r="KW46" i="1" a="1"/>
  <c r="KV33" i="1" a="1"/>
  <c r="KQ44" i="1" a="1"/>
  <c r="W49" i="20"/>
  <c r="GA5" i="1" a="1"/>
  <c r="JU45" i="1" a="1"/>
  <c r="DK50" i="1" a="1"/>
  <c r="AAX6" i="1" a="1"/>
  <c r="KV35" i="1" a="1"/>
  <c r="AL22" i="4"/>
  <c r="PZ33" i="1" a="1"/>
  <c r="JV46" i="1" a="1"/>
  <c r="UT3" i="1" a="1"/>
  <c r="QO34" i="1" a="1"/>
  <c r="DK33" i="1" a="1"/>
  <c r="AC40" i="1" a="1"/>
  <c r="JT36" i="1" a="1"/>
  <c r="JU57" i="1" a="1"/>
  <c r="W53" i="20"/>
  <c r="AO53" i="1" a="1"/>
  <c r="KW30" i="1" a="1"/>
  <c r="W45" i="20"/>
  <c r="UW3" i="1" a="1"/>
  <c r="DN5" i="1" a="1"/>
  <c r="JT48" i="1" a="1"/>
  <c r="BA45" i="1" a="1"/>
  <c r="DK53" i="1" a="1"/>
  <c r="AO50" i="1" a="1"/>
  <c r="QO42" i="1" a="1"/>
  <c r="LA41" i="1" a="1"/>
  <c r="LA36" i="1" a="1"/>
  <c r="H42" i="20"/>
  <c r="EG48" i="1" a="1"/>
  <c r="JS43" i="1" a="1"/>
  <c r="JW51" i="1" a="1"/>
  <c r="DC2" i="1" a="1"/>
  <c r="PH6" i="1" a="1"/>
  <c r="SD1" i="1" a="1"/>
  <c r="KS54" i="1" a="1"/>
  <c r="KX39" i="1" a="1"/>
  <c r="DK49" i="1" a="1"/>
  <c r="Q56" i="1" a="1"/>
  <c r="AO40" i="1" a="1"/>
  <c r="KX35" i="1" a="1"/>
  <c r="AC49" i="1" a="1"/>
  <c r="EG29" i="1" a="1"/>
  <c r="AC54" i="1" a="1"/>
  <c r="KZ51" i="1" a="1"/>
  <c r="JW29" i="1" a="1"/>
  <c r="EG38" i="1" a="1"/>
  <c r="EG30" i="1" a="1"/>
  <c r="KW36" i="1" a="1"/>
  <c r="KX53" i="1" a="1"/>
  <c r="AK21" i="4"/>
  <c r="BG1" i="1" a="1"/>
  <c r="KR42" i="1" a="1"/>
  <c r="KZ55" i="1" a="1"/>
  <c r="JW55" i="1" a="1"/>
  <c r="BG3" i="1" a="1"/>
  <c r="JW43" i="1" a="1"/>
  <c r="KU44" i="1" a="1"/>
  <c r="DK30" i="1" a="1"/>
  <c r="M10" i="20"/>
  <c r="KX46" i="1" a="1"/>
  <c r="AO34" i="1" a="1"/>
  <c r="BA32" i="1" a="1"/>
  <c r="RR3" i="1" a="1"/>
  <c r="KT32" i="1" a="1"/>
  <c r="KT47" i="1" a="1"/>
  <c r="PZ32" i="1" a="1"/>
  <c r="Q40" i="1" a="1"/>
  <c r="KR38" i="1" a="1"/>
  <c r="KR38" i="1" l="1"/>
  <c r="Q40" i="1"/>
  <c r="PZ32" i="1"/>
  <c r="KT47" i="1"/>
  <c r="KT32" i="1"/>
  <c r="RR3" i="1"/>
  <c r="BA32" i="1"/>
  <c r="AO34" i="1"/>
  <c r="KX46" i="1"/>
  <c r="DK30" i="1"/>
  <c r="KU44" i="1"/>
  <c r="JW43" i="1"/>
  <c r="BG3" i="1"/>
  <c r="JW55" i="1"/>
  <c r="KZ55" i="1"/>
  <c r="KR42" i="1"/>
  <c r="BG1" i="1"/>
  <c r="AS21" i="4"/>
  <c r="AM21" i="4"/>
  <c r="KX53" i="1"/>
  <c r="KW36" i="1"/>
  <c r="EG30" i="1"/>
  <c r="EG38" i="1"/>
  <c r="JW29" i="1"/>
  <c r="KZ51" i="1"/>
  <c r="AC54" i="1"/>
  <c r="EG29" i="1"/>
  <c r="AC49" i="1"/>
  <c r="KX35" i="1"/>
  <c r="AO40" i="1"/>
  <c r="Q56" i="1"/>
  <c r="DK49" i="1"/>
  <c r="KX39" i="1"/>
  <c r="KS54" i="1"/>
  <c r="SD1" i="1"/>
  <c r="PH6" i="1"/>
  <c r="DC2" i="1"/>
  <c r="JW51" i="1"/>
  <c r="JS43" i="1"/>
  <c r="EG48" i="1"/>
  <c r="LA36" i="1"/>
  <c r="LA41" i="1"/>
  <c r="QO42" i="1"/>
  <c r="AO50" i="1"/>
  <c r="DK53" i="1"/>
  <c r="BA45" i="1"/>
  <c r="JT48" i="1"/>
  <c r="DN5" i="1"/>
  <c r="UW3" i="1"/>
  <c r="KW30" i="1"/>
  <c r="AO53" i="1"/>
  <c r="JU57" i="1"/>
  <c r="JT36" i="1"/>
  <c r="AC40" i="1"/>
  <c r="DK33" i="1"/>
  <c r="QO34" i="1"/>
  <c r="UT3" i="1"/>
  <c r="JV46" i="1"/>
  <c r="PZ33" i="1"/>
  <c r="AT22" i="4"/>
  <c r="KV35" i="1"/>
  <c r="AAX6" i="1"/>
  <c r="DK50" i="1"/>
  <c r="JU45" i="1"/>
  <c r="GA5" i="1"/>
  <c r="KQ44" i="1"/>
  <c r="KV33" i="1"/>
  <c r="KW46" i="1"/>
  <c r="KW57" i="1"/>
  <c r="ACG5" i="1"/>
  <c r="KS47" i="1"/>
  <c r="KW44" i="1"/>
  <c r="DL45" i="1"/>
  <c r="DL29" i="1"/>
  <c r="EG44" i="1"/>
  <c r="KY46" i="1"/>
  <c r="FX5" i="1"/>
  <c r="KY42" i="1"/>
  <c r="KY41" i="1"/>
  <c r="KQ56" i="1"/>
  <c r="KV48" i="1"/>
  <c r="ABI6" i="1"/>
  <c r="CQ6" i="1"/>
  <c r="TO6" i="1"/>
  <c r="CQ5" i="1"/>
  <c r="JT30" i="1"/>
  <c r="KQ53" i="1"/>
  <c r="KS49" i="1"/>
  <c r="KQ35" i="1"/>
  <c r="BA52" i="1"/>
  <c r="JV42" i="1"/>
  <c r="LA46" i="1"/>
  <c r="DK47" i="1"/>
  <c r="JV29" i="1"/>
  <c r="QO55" i="1"/>
  <c r="KR44" i="1"/>
  <c r="Q54" i="1"/>
  <c r="EG41" i="1"/>
  <c r="QG6" i="1"/>
  <c r="KU37" i="1"/>
  <c r="ACG4" i="1"/>
  <c r="KZ33" i="1"/>
  <c r="BA54" i="1"/>
  <c r="BT6" i="1"/>
  <c r="FB5" i="1"/>
  <c r="BS6" i="1"/>
  <c r="KR56" i="1"/>
  <c r="PZ57" i="1"/>
  <c r="KZ29" i="1"/>
  <c r="JR41" i="1"/>
  <c r="DL51" i="1"/>
  <c r="KQ48" i="1"/>
  <c r="QP5" i="1"/>
  <c r="Q45" i="1"/>
  <c r="JT53" i="1"/>
  <c r="JR40" i="1"/>
  <c r="JU55" i="1"/>
  <c r="KX34" i="1"/>
  <c r="EF56" i="1"/>
  <c r="KQ50" i="1"/>
  <c r="EG42" i="1"/>
  <c r="DL57" i="1"/>
  <c r="EF38" i="1"/>
  <c r="KX33" i="1"/>
  <c r="DC3" i="1"/>
  <c r="KU56" i="1"/>
  <c r="JR30" i="1"/>
  <c r="EF37" i="1"/>
  <c r="LA50" i="1"/>
  <c r="ABI4" i="1"/>
  <c r="JU31" i="1"/>
  <c r="JS53" i="1"/>
  <c r="KU33" i="1"/>
  <c r="DK32" i="1"/>
  <c r="ZW6" i="1"/>
  <c r="PG6" i="1"/>
  <c r="KW39" i="1"/>
  <c r="KZ54" i="1"/>
  <c r="KY47" i="1"/>
  <c r="KS28" i="1"/>
  <c r="NL5" i="1"/>
  <c r="PA11" i="1"/>
  <c r="KR45" i="1"/>
  <c r="QN5" i="1"/>
  <c r="FV5" i="1"/>
  <c r="JT40" i="1"/>
  <c r="JT34" i="1"/>
  <c r="DK41" i="1"/>
  <c r="SP2" i="1"/>
  <c r="PZ45" i="1"/>
  <c r="KQ42" i="1"/>
  <c r="QF3" i="1"/>
  <c r="Q34" i="1"/>
  <c r="SD2" i="1"/>
  <c r="JW30" i="1"/>
  <c r="KP35" i="1"/>
  <c r="KV28" i="1"/>
  <c r="KW54" i="1"/>
  <c r="KY34" i="1"/>
  <c r="KZ46" i="1"/>
  <c r="JW40" i="1"/>
  <c r="LA29" i="1"/>
  <c r="RL11" i="1"/>
  <c r="KX55" i="1"/>
  <c r="JW33" i="1"/>
  <c r="KT55" i="1"/>
  <c r="JU29" i="1"/>
  <c r="AAW2" i="1"/>
  <c r="DL48" i="1"/>
  <c r="KR34" i="1"/>
  <c r="DL43" i="1"/>
  <c r="EF30" i="1"/>
  <c r="EF40" i="1"/>
  <c r="KX42" i="1"/>
  <c r="KW53" i="1"/>
  <c r="AO36" i="1"/>
  <c r="AT21" i="4"/>
  <c r="KW33" i="1"/>
  <c r="DK34" i="1"/>
  <c r="Q48" i="1"/>
  <c r="Q41" i="1"/>
  <c r="LA51" i="1"/>
  <c r="NR3" i="1"/>
  <c r="FY5" i="1"/>
  <c r="JR31" i="1"/>
  <c r="JU46" i="1"/>
  <c r="JW46" i="1"/>
  <c r="JR38" i="1"/>
  <c r="EG45" i="1"/>
  <c r="KP45" i="1"/>
  <c r="LA54" i="1"/>
  <c r="BH6" i="1"/>
  <c r="AO47" i="1"/>
  <c r="KS35" i="1"/>
  <c r="KS52" i="1"/>
  <c r="KX30" i="1"/>
  <c r="JS44" i="1"/>
  <c r="KS37" i="1"/>
  <c r="KU28" i="1"/>
  <c r="KR28" i="1"/>
  <c r="KU39" i="1"/>
  <c r="SD4" i="1"/>
  <c r="AO43" i="1"/>
  <c r="JR48" i="1"/>
  <c r="EG40" i="1"/>
  <c r="KW56" i="1"/>
  <c r="JS33" i="1"/>
  <c r="JT35" i="1"/>
  <c r="KY44" i="1"/>
  <c r="JW56" i="1"/>
  <c r="ACG2" i="1"/>
  <c r="KX41" i="1"/>
  <c r="KS45" i="1"/>
  <c r="EG57" i="1"/>
  <c r="KZ28" i="1"/>
  <c r="KY49" i="1"/>
  <c r="PZ35" i="1"/>
  <c r="Q46" i="1"/>
  <c r="DL42" i="1"/>
  <c r="KU50" i="1"/>
  <c r="JR28" i="1"/>
  <c r="KQ34" i="1"/>
  <c r="KX49" i="1"/>
  <c r="PZ40" i="1"/>
  <c r="BA30" i="1"/>
  <c r="KZ53" i="1"/>
  <c r="KY51" i="1"/>
  <c r="KZ57" i="1"/>
  <c r="ABI5" i="1"/>
  <c r="KP38" i="1"/>
  <c r="KW48" i="1"/>
  <c r="KR49" i="1"/>
  <c r="KT38" i="1"/>
  <c r="BA47" i="1"/>
  <c r="JS35" i="1"/>
  <c r="BA33" i="1"/>
  <c r="JV43" i="1"/>
  <c r="CE4" i="1"/>
  <c r="CQ1" i="1"/>
  <c r="KP30" i="1"/>
  <c r="AC30" i="1"/>
  <c r="JR50" i="1"/>
  <c r="JT32" i="1"/>
  <c r="JR35" i="1"/>
  <c r="DK42" i="1"/>
  <c r="AO30" i="1"/>
  <c r="EF52" i="1"/>
  <c r="KV38" i="1"/>
  <c r="CE5" i="1"/>
  <c r="KR48" i="1"/>
  <c r="KQ38" i="1"/>
  <c r="JW28" i="1"/>
  <c r="PG4" i="1"/>
  <c r="KT53" i="1"/>
  <c r="UY3" i="1"/>
  <c r="KY48" i="1"/>
  <c r="KQ54" i="1"/>
  <c r="PZ34" i="1"/>
  <c r="KX40" i="1"/>
  <c r="PZ42" i="1"/>
  <c r="EG35" i="1"/>
  <c r="JW39" i="1"/>
  <c r="DK51" i="1"/>
  <c r="KW51" i="1"/>
  <c r="KR39" i="1"/>
  <c r="TU4" i="1"/>
  <c r="PZ30" i="1"/>
  <c r="JT37" i="1"/>
  <c r="EF50" i="1"/>
  <c r="DL28" i="1"/>
  <c r="AC32" i="1"/>
  <c r="JR56" i="1"/>
  <c r="KY32" i="1"/>
  <c r="SP5" i="1"/>
  <c r="KV41" i="1"/>
  <c r="KT42" i="1"/>
  <c r="KU31" i="1"/>
  <c r="DL34" i="1"/>
  <c r="KT34" i="1"/>
  <c r="AC41" i="1"/>
  <c r="JV39" i="1"/>
  <c r="AO54" i="1"/>
  <c r="CQ3" i="1"/>
  <c r="KX47" i="1"/>
  <c r="LA49" i="1"/>
  <c r="HN11" i="1"/>
  <c r="KZ47" i="1"/>
  <c r="QO43" i="1"/>
  <c r="KU36" i="1"/>
  <c r="PZ37" i="1"/>
  <c r="FC5" i="1"/>
  <c r="BA48" i="1"/>
  <c r="DL40" i="1"/>
  <c r="AC28" i="1"/>
  <c r="LA44" i="1"/>
  <c r="KS39" i="1"/>
  <c r="EG31" i="1"/>
  <c r="Q42" i="1"/>
  <c r="KP55" i="1"/>
  <c r="KP46" i="1"/>
  <c r="EF35" i="1"/>
  <c r="EM35" i="1" s="1"/>
  <c r="LA42" i="1"/>
  <c r="JS54" i="1"/>
  <c r="AC45" i="1"/>
  <c r="JT55" i="1"/>
  <c r="EG53" i="1"/>
  <c r="JU36" i="1"/>
  <c r="JW54" i="1"/>
  <c r="LA52" i="1"/>
  <c r="KX38" i="1"/>
  <c r="JT44" i="1"/>
  <c r="PZ38" i="1"/>
  <c r="DK43" i="1"/>
  <c r="DR43" i="1" s="1"/>
  <c r="EF44" i="1"/>
  <c r="EM44" i="1" s="1"/>
  <c r="JT54" i="1"/>
  <c r="KZ56" i="1"/>
  <c r="TX3" i="1"/>
  <c r="Q57" i="1"/>
  <c r="KW55" i="1"/>
  <c r="QO48" i="1"/>
  <c r="AC37" i="1"/>
  <c r="ABZ37" i="1" s="1"/>
  <c r="AO33" i="1"/>
  <c r="AO46" i="1"/>
  <c r="KS53" i="1"/>
  <c r="JV38" i="1"/>
  <c r="EF39" i="1"/>
  <c r="LA43" i="1"/>
  <c r="KQ46" i="1"/>
  <c r="WW5" i="1"/>
  <c r="JS45" i="1"/>
  <c r="LA35" i="1"/>
  <c r="KU30" i="1"/>
  <c r="DL39" i="1"/>
  <c r="JV55" i="1"/>
  <c r="JW53" i="1"/>
  <c r="JW44" i="1"/>
  <c r="WX5" i="1"/>
  <c r="DK29" i="1"/>
  <c r="AO37" i="1"/>
  <c r="KT41" i="1"/>
  <c r="LA34" i="1"/>
  <c r="KQ29" i="1"/>
  <c r="BA53" i="1"/>
  <c r="PG5" i="1"/>
  <c r="JW50" i="1"/>
  <c r="KW47" i="1"/>
  <c r="DK36" i="1"/>
  <c r="TB1" i="1"/>
  <c r="Q43" i="1"/>
  <c r="KU51" i="1"/>
  <c r="AC34" i="1"/>
  <c r="JV48" i="1"/>
  <c r="SD3" i="1"/>
  <c r="TO5" i="1"/>
  <c r="JV33" i="1"/>
  <c r="JW48" i="1"/>
  <c r="KS29" i="1"/>
  <c r="JS52" i="1"/>
  <c r="BA55" i="1"/>
  <c r="KV46" i="1"/>
  <c r="BA43" i="1"/>
  <c r="KX51" i="1"/>
  <c r="NW5" i="1"/>
  <c r="KR32" i="1"/>
  <c r="JU41" i="1"/>
  <c r="KU34" i="1"/>
  <c r="EG32" i="1"/>
  <c r="AC55" i="1"/>
  <c r="JS30" i="1"/>
  <c r="KR47" i="1"/>
  <c r="KX32" i="1"/>
  <c r="DL32" i="1"/>
  <c r="KV57" i="1"/>
  <c r="VA3" i="1"/>
  <c r="JT46" i="1"/>
  <c r="SP3" i="1"/>
  <c r="KT30" i="1"/>
  <c r="QQ5" i="1"/>
  <c r="JR42" i="1"/>
  <c r="SE6" i="1"/>
  <c r="DK48" i="1"/>
  <c r="DR48" i="1" s="1"/>
  <c r="AT24" i="4"/>
  <c r="LA40" i="1"/>
  <c r="EF49" i="1"/>
  <c r="LA38" i="1"/>
  <c r="MT38" i="1" s="1"/>
  <c r="EG55" i="1"/>
  <c r="PZ36" i="1"/>
  <c r="JT41" i="1"/>
  <c r="LA30" i="1"/>
  <c r="MT30" i="1" s="1"/>
  <c r="KV55" i="1"/>
  <c r="KZ39" i="1"/>
  <c r="KR43" i="1"/>
  <c r="KP29" i="1"/>
  <c r="MU29" i="1" s="1"/>
  <c r="AO32" i="1"/>
  <c r="LA32" i="1"/>
  <c r="KV47" i="1"/>
  <c r="ABI3" i="1"/>
  <c r="AO48" i="1"/>
  <c r="KR41" i="1"/>
  <c r="EF42" i="1"/>
  <c r="KS38" i="1"/>
  <c r="MU38" i="1" s="1"/>
  <c r="PZ55" i="1"/>
  <c r="JU54" i="1"/>
  <c r="EF47" i="1"/>
  <c r="KZ43" i="1"/>
  <c r="JU33" i="1"/>
  <c r="JV36" i="1"/>
  <c r="KT57" i="1"/>
  <c r="BA35" i="1"/>
  <c r="JS55" i="1"/>
  <c r="JT51" i="1"/>
  <c r="EF54" i="1"/>
  <c r="AO57" i="1"/>
  <c r="JT45" i="1"/>
  <c r="KP37" i="1"/>
  <c r="AC46" i="1"/>
  <c r="Q49" i="1"/>
  <c r="ABT49" i="1" s="1"/>
  <c r="AO55" i="1"/>
  <c r="AM22" i="4"/>
  <c r="AS22" i="4"/>
  <c r="KT33" i="1"/>
  <c r="AO39" i="1"/>
  <c r="KV49" i="1"/>
  <c r="AC38" i="1"/>
  <c r="KZ36" i="1"/>
  <c r="QO54" i="1"/>
  <c r="LA28" i="1"/>
  <c r="KX29" i="1"/>
  <c r="AAW6" i="1"/>
  <c r="JT28" i="1"/>
  <c r="JS40" i="1"/>
  <c r="KX57" i="1"/>
  <c r="JR55" i="1"/>
  <c r="KV54" i="1"/>
  <c r="JS38" i="1"/>
  <c r="BA51" i="1"/>
  <c r="AO56" i="1"/>
  <c r="JU28" i="1"/>
  <c r="Q28" i="1"/>
  <c r="BA40" i="1"/>
  <c r="JS57" i="1"/>
  <c r="DD6" i="1"/>
  <c r="DK56" i="1"/>
  <c r="Q39" i="1"/>
  <c r="TB6" i="1"/>
  <c r="KY43" i="1"/>
  <c r="BA46" i="1"/>
  <c r="PZ46" i="1"/>
  <c r="NL3" i="1"/>
  <c r="KX45" i="1"/>
  <c r="KT45" i="1"/>
  <c r="EG34" i="1"/>
  <c r="JT43" i="1"/>
  <c r="BA44" i="1"/>
  <c r="PZ29" i="1"/>
  <c r="JW35" i="1"/>
  <c r="KZ44" i="1"/>
  <c r="MT44" i="1" s="1"/>
  <c r="PZ52" i="1"/>
  <c r="EF41" i="1"/>
  <c r="KP40" i="1"/>
  <c r="AO49" i="1"/>
  <c r="KY28" i="1"/>
  <c r="ABJ6" i="1"/>
  <c r="QO33" i="1"/>
  <c r="ABI2" i="1"/>
  <c r="AC48" i="1"/>
  <c r="KQ33" i="1"/>
  <c r="KP34" i="1"/>
  <c r="LA57" i="1"/>
  <c r="AO52" i="1"/>
  <c r="JT38" i="1"/>
  <c r="EG50" i="1"/>
  <c r="KP53" i="1"/>
  <c r="KV42" i="1"/>
  <c r="JS41" i="1"/>
  <c r="QO36" i="1"/>
  <c r="JV37" i="1"/>
  <c r="JS28" i="1"/>
  <c r="JR57" i="1"/>
  <c r="JV28" i="1"/>
  <c r="KZ50" i="1"/>
  <c r="SD6" i="1"/>
  <c r="AO41" i="1"/>
  <c r="Q32" i="1"/>
  <c r="JT33" i="1"/>
  <c r="DM5" i="1"/>
  <c r="NL6" i="1"/>
  <c r="VB3" i="1"/>
  <c r="AO29" i="1"/>
  <c r="DK37" i="1"/>
  <c r="QO45" i="1"/>
  <c r="KS33" i="1"/>
  <c r="DK57" i="1"/>
  <c r="DR57" i="1" s="1"/>
  <c r="QO29" i="1"/>
  <c r="DL31" i="1"/>
  <c r="KR57" i="1"/>
  <c r="JU47" i="1"/>
  <c r="KR40" i="1"/>
  <c r="KQ51" i="1"/>
  <c r="KP31" i="1"/>
  <c r="JU53" i="1"/>
  <c r="RR5" i="1"/>
  <c r="RR2" i="1"/>
  <c r="JV52" i="1"/>
  <c r="JR47" i="1"/>
  <c r="KV32" i="1"/>
  <c r="KR50" i="1"/>
  <c r="TC6" i="1"/>
  <c r="DL53" i="1"/>
  <c r="FD5" i="1"/>
  <c r="AT29" i="4"/>
  <c r="KP51" i="1"/>
  <c r="CQ2" i="1"/>
  <c r="BA34" i="1"/>
  <c r="DL55" i="1"/>
  <c r="JW41" i="1"/>
  <c r="JU30" i="1"/>
  <c r="Q50" i="1"/>
  <c r="JW52" i="1"/>
  <c r="AC51" i="1"/>
  <c r="PZ39" i="1"/>
  <c r="DK20" i="1"/>
  <c r="DK13" i="1" s="1"/>
  <c r="LA37" i="1"/>
  <c r="KW40" i="1"/>
  <c r="ZW2" i="1"/>
  <c r="XW11" i="1"/>
  <c r="JT31" i="1"/>
  <c r="DL47" i="1"/>
  <c r="KR36" i="1"/>
  <c r="Q33" i="1"/>
  <c r="NM6" i="1"/>
  <c r="LA31" i="1"/>
  <c r="TB2" i="1"/>
  <c r="JW57" i="1"/>
  <c r="BG6" i="1"/>
  <c r="WV5" i="1"/>
  <c r="KV43" i="1"/>
  <c r="JU43" i="1"/>
  <c r="JS36" i="1"/>
  <c r="KQ43" i="1"/>
  <c r="KV29" i="1"/>
  <c r="TO3" i="1"/>
  <c r="KX31" i="1"/>
  <c r="KY52" i="1"/>
  <c r="KW43" i="1"/>
  <c r="JV35" i="1"/>
  <c r="JV40" i="1"/>
  <c r="SP4" i="1"/>
  <c r="EF46" i="1"/>
  <c r="KY53" i="1"/>
  <c r="JV32" i="1"/>
  <c r="KT52" i="1"/>
  <c r="JR54" i="1"/>
  <c r="JT50" i="1"/>
  <c r="KZ30" i="1"/>
  <c r="EG46" i="1"/>
  <c r="JR51" i="1"/>
  <c r="DL41" i="1"/>
  <c r="PZ44" i="1"/>
  <c r="BS4" i="1"/>
  <c r="JS56" i="1"/>
  <c r="EF57" i="1"/>
  <c r="JV45" i="1"/>
  <c r="KT44" i="1"/>
  <c r="TY3" i="1"/>
  <c r="DL49" i="1"/>
  <c r="JT52" i="1"/>
  <c r="KP49" i="1"/>
  <c r="KZ40" i="1"/>
  <c r="MT40" i="1" s="1"/>
  <c r="KZ38" i="1"/>
  <c r="Q31" i="1"/>
  <c r="BA49" i="1"/>
  <c r="KT37" i="1"/>
  <c r="MU37" i="1" s="1"/>
  <c r="DK55" i="1"/>
  <c r="JS39" i="1"/>
  <c r="KV44" i="1"/>
  <c r="JV54" i="1"/>
  <c r="PZ41" i="1"/>
  <c r="WY5" i="1"/>
  <c r="KQ31" i="1"/>
  <c r="Q37" i="1"/>
  <c r="JT56" i="1"/>
  <c r="KZ35" i="1"/>
  <c r="ACG6" i="1"/>
  <c r="BS5" i="1"/>
  <c r="JS51" i="1"/>
  <c r="KP28" i="1"/>
  <c r="KW34" i="1"/>
  <c r="DC5" i="1"/>
  <c r="KZ52" i="1"/>
  <c r="JU35" i="1"/>
  <c r="KS31" i="1"/>
  <c r="JS47" i="1"/>
  <c r="QF6" i="1"/>
  <c r="PZ51" i="1"/>
  <c r="DL46" i="1"/>
  <c r="JS31" i="1"/>
  <c r="KT31" i="1"/>
  <c r="KU52" i="1"/>
  <c r="KX48" i="1"/>
  <c r="JS29" i="1"/>
  <c r="JZ29" i="1" s="1"/>
  <c r="JV44" i="1"/>
  <c r="DK28" i="1"/>
  <c r="DR28" i="1" s="1"/>
  <c r="KV31" i="1"/>
  <c r="TP6" i="1"/>
  <c r="JW49" i="1"/>
  <c r="QO41" i="1"/>
  <c r="JR46" i="1"/>
  <c r="KQ49" i="1"/>
  <c r="MU49" i="1" s="1"/>
  <c r="QF4" i="1"/>
  <c r="KP47" i="1"/>
  <c r="LA47" i="1"/>
  <c r="KS55" i="1"/>
  <c r="BS3" i="1"/>
  <c r="TO1" i="1"/>
  <c r="KU45" i="1"/>
  <c r="DK45" i="1"/>
  <c r="DR45" i="1" s="1"/>
  <c r="KY38" i="1"/>
  <c r="FZ5" i="1"/>
  <c r="ACG3" i="1"/>
  <c r="ZW1" i="1"/>
  <c r="ZX1" i="1" s="1"/>
  <c r="KU42" i="1"/>
  <c r="PZ31" i="1"/>
  <c r="DL52" i="1"/>
  <c r="KR53" i="1"/>
  <c r="EG54" i="1"/>
  <c r="PG3" i="1"/>
  <c r="JS49" i="1"/>
  <c r="KV52" i="1"/>
  <c r="MT52" i="1" s="1"/>
  <c r="JV50" i="1"/>
  <c r="JR37" i="1"/>
  <c r="PZ53" i="1"/>
  <c r="RR1" i="1"/>
  <c r="KV45" i="1"/>
  <c r="QO30" i="1"/>
  <c r="DM20" i="1"/>
  <c r="DM13" i="1" s="1"/>
  <c r="BA42" i="1"/>
  <c r="DC1" i="1"/>
  <c r="JT39" i="1"/>
  <c r="AC47" i="1"/>
  <c r="PZ28" i="1"/>
  <c r="KT48" i="1"/>
  <c r="VC3" i="1"/>
  <c r="AO42" i="1"/>
  <c r="BS2" i="1"/>
  <c r="KY55" i="1"/>
  <c r="KR55" i="1"/>
  <c r="KW41" i="1"/>
  <c r="UA3" i="1"/>
  <c r="KX50" i="1"/>
  <c r="AC57" i="1"/>
  <c r="FW5" i="1"/>
  <c r="KT40" i="1"/>
  <c r="KX28" i="1"/>
  <c r="JV57" i="1"/>
  <c r="KX44" i="1"/>
  <c r="KV56" i="1"/>
  <c r="MT56" i="1" s="1"/>
  <c r="KU57" i="1"/>
  <c r="KR46" i="1"/>
  <c r="CE6" i="1"/>
  <c r="TB5" i="1"/>
  <c r="KW45" i="1"/>
  <c r="EF33" i="1"/>
  <c r="KY37" i="1"/>
  <c r="Q55" i="1"/>
  <c r="KP43" i="1"/>
  <c r="JW37" i="1"/>
  <c r="QO32" i="1"/>
  <c r="DK38" i="1"/>
  <c r="DR38" i="1" s="1"/>
  <c r="KV34" i="1"/>
  <c r="AC29" i="1"/>
  <c r="BA37" i="1"/>
  <c r="JW36" i="1"/>
  <c r="KQ39" i="1"/>
  <c r="LA48" i="1"/>
  <c r="DK52" i="1"/>
  <c r="EG56" i="1"/>
  <c r="EM56" i="1" s="1"/>
  <c r="QO49" i="1"/>
  <c r="QO39" i="1"/>
  <c r="QO53" i="1"/>
  <c r="EF51" i="1"/>
  <c r="EG33" i="1"/>
  <c r="EF36" i="1"/>
  <c r="AC44" i="1"/>
  <c r="DL56" i="1"/>
  <c r="DR56" i="1" s="1"/>
  <c r="KP44" i="1"/>
  <c r="KU40" i="1"/>
  <c r="DC4" i="1"/>
  <c r="BG4" i="1"/>
  <c r="BI29" i="1" s="1"/>
  <c r="SD5" i="1"/>
  <c r="TB4" i="1"/>
  <c r="KU47" i="1"/>
  <c r="JS50" i="1"/>
  <c r="AAW3" i="1"/>
  <c r="JV34" i="1"/>
  <c r="CE3" i="1"/>
  <c r="JU40" i="1"/>
  <c r="KU32" i="1"/>
  <c r="KT46" i="1"/>
  <c r="KY33" i="1"/>
  <c r="KS36" i="1"/>
  <c r="KT51" i="1"/>
  <c r="DK35" i="1"/>
  <c r="LA33" i="1"/>
  <c r="RR6" i="1"/>
  <c r="RW55" i="1" s="1"/>
  <c r="DL54" i="1"/>
  <c r="KP56" i="1"/>
  <c r="KQ32" i="1"/>
  <c r="KY39" i="1"/>
  <c r="MT39" i="1" s="1"/>
  <c r="KZ49" i="1"/>
  <c r="KW42" i="1"/>
  <c r="JU42" i="1"/>
  <c r="KS57" i="1"/>
  <c r="DL38" i="1"/>
  <c r="AC33" i="1"/>
  <c r="ACG1" i="1"/>
  <c r="QO57" i="1"/>
  <c r="KZ45" i="1"/>
  <c r="RS6" i="1"/>
  <c r="DL50" i="1"/>
  <c r="KV36" i="1"/>
  <c r="WU5" i="1"/>
  <c r="JT49" i="1"/>
  <c r="BA28" i="1"/>
  <c r="QO50" i="1"/>
  <c r="EG39" i="1"/>
  <c r="TZ3" i="1"/>
  <c r="KQ52" i="1"/>
  <c r="AO51" i="1"/>
  <c r="L59" i="18" s="1"/>
  <c r="DK54" i="1"/>
  <c r="DR54" i="1" s="1"/>
  <c r="KZ32" i="1"/>
  <c r="FA5" i="1"/>
  <c r="EF55" i="1"/>
  <c r="EM55" i="1" s="1"/>
  <c r="QS5" i="1"/>
  <c r="JU38" i="1"/>
  <c r="DK40" i="1"/>
  <c r="DR40" i="1" s="1"/>
  <c r="KS40" i="1"/>
  <c r="AAW5" i="1"/>
  <c r="KU43" i="1"/>
  <c r="KU49" i="1"/>
  <c r="AO28" i="1"/>
  <c r="JR33" i="1"/>
  <c r="KU53" i="1"/>
  <c r="BG5" i="1"/>
  <c r="QO38" i="1"/>
  <c r="KQ28" i="1"/>
  <c r="JR32" i="1"/>
  <c r="Q36" i="1"/>
  <c r="QO52" i="1"/>
  <c r="AC50" i="1"/>
  <c r="BA56" i="1"/>
  <c r="JR45" i="1"/>
  <c r="SP6" i="1"/>
  <c r="QF2" i="1"/>
  <c r="EF43" i="1"/>
  <c r="KY57" i="1"/>
  <c r="AC31" i="1"/>
  <c r="J39" i="18" s="1"/>
  <c r="KP36" i="1"/>
  <c r="SQ6" i="1"/>
  <c r="AO38" i="1"/>
  <c r="JV31" i="1"/>
  <c r="AO44" i="1"/>
  <c r="TB3" i="1"/>
  <c r="KT36" i="1"/>
  <c r="KY50" i="1"/>
  <c r="NL4" i="1"/>
  <c r="Q29" i="1"/>
  <c r="QO28" i="1"/>
  <c r="CF6" i="1"/>
  <c r="CJ43" i="1" s="1"/>
  <c r="KY29" i="1"/>
  <c r="KW28" i="1"/>
  <c r="JU51" i="1"/>
  <c r="NL1" i="1"/>
  <c r="PZ50" i="1"/>
  <c r="NL2" i="1"/>
  <c r="KS51" i="1"/>
  <c r="KP50" i="1"/>
  <c r="MU50" i="1" s="1"/>
  <c r="EG49" i="1"/>
  <c r="KQ30" i="1"/>
  <c r="KR29" i="1"/>
  <c r="LA45" i="1"/>
  <c r="MT45" i="1" s="1"/>
  <c r="CQ4" i="1"/>
  <c r="KR30" i="1"/>
  <c r="KU29" i="1"/>
  <c r="DL20" i="1"/>
  <c r="DL13" i="1" s="1"/>
  <c r="DL35" i="1"/>
  <c r="JW32" i="1"/>
  <c r="KP32" i="1"/>
  <c r="JU34" i="1"/>
  <c r="KW52" i="1"/>
  <c r="JS42" i="1"/>
  <c r="KQ36" i="1"/>
  <c r="QO37" i="1"/>
  <c r="KW35" i="1"/>
  <c r="KT29" i="1"/>
  <c r="ACH6" i="1"/>
  <c r="EF53" i="1"/>
  <c r="EM53" i="1" s="1"/>
  <c r="JW34" i="1"/>
  <c r="JU37" i="1"/>
  <c r="KX54" i="1"/>
  <c r="AM24" i="4"/>
  <c r="AS24" i="4"/>
  <c r="EF31" i="1"/>
  <c r="EM31" i="1" s="1"/>
  <c r="EG52" i="1"/>
  <c r="KS30" i="1"/>
  <c r="BS1" i="1"/>
  <c r="PZ43" i="1"/>
  <c r="EF29" i="1"/>
  <c r="LA53" i="1"/>
  <c r="MT53" i="1" s="1"/>
  <c r="UX3" i="1"/>
  <c r="JR53" i="1"/>
  <c r="JT57" i="1"/>
  <c r="JS37" i="1"/>
  <c r="JX37" i="1" s="1"/>
  <c r="AO31" i="1"/>
  <c r="KZ34" i="1"/>
  <c r="Q30" i="1"/>
  <c r="KS56" i="1"/>
  <c r="MU56" i="1" s="1"/>
  <c r="KP42" i="1"/>
  <c r="Q38" i="1"/>
  <c r="XA5" i="1"/>
  <c r="QF1" i="1"/>
  <c r="EF48" i="1"/>
  <c r="KY56" i="1"/>
  <c r="KW32" i="1"/>
  <c r="DL44" i="1"/>
  <c r="DR44" i="1" s="1"/>
  <c r="DL33" i="1"/>
  <c r="EF45" i="1"/>
  <c r="LA55" i="1"/>
  <c r="SP1" i="1"/>
  <c r="PZ56" i="1"/>
  <c r="KS44" i="1"/>
  <c r="DK44" i="1"/>
  <c r="KT39" i="1"/>
  <c r="MU39" i="1" s="1"/>
  <c r="KS32" i="1"/>
  <c r="JW31" i="1"/>
  <c r="KX37" i="1"/>
  <c r="PZ49" i="1"/>
  <c r="KQ41" i="1"/>
  <c r="EG47" i="1"/>
  <c r="BG2" i="1"/>
  <c r="AC36" i="1"/>
  <c r="JR49" i="1"/>
  <c r="LA56" i="1"/>
  <c r="EF28" i="1"/>
  <c r="ZW4" i="1"/>
  <c r="QO46" i="1"/>
  <c r="KX43" i="1"/>
  <c r="WT5" i="1"/>
  <c r="JR39" i="1"/>
  <c r="JZ39" i="1" s="1"/>
  <c r="KV37" i="1"/>
  <c r="KQ57" i="1"/>
  <c r="PG1" i="1"/>
  <c r="Q44" i="1"/>
  <c r="ABT44" i="1" s="1"/>
  <c r="KR31" i="1"/>
  <c r="CE2" i="1"/>
  <c r="JS32" i="1"/>
  <c r="KS46" i="1"/>
  <c r="QO51" i="1"/>
  <c r="KT54" i="1"/>
  <c r="KU55" i="1"/>
  <c r="JV47" i="1"/>
  <c r="JX47" i="1" s="1"/>
  <c r="KU48" i="1"/>
  <c r="KQ55" i="1"/>
  <c r="AO35" i="1"/>
  <c r="KR51" i="1"/>
  <c r="KS43" i="1"/>
  <c r="Q51" i="1"/>
  <c r="JT29" i="1"/>
  <c r="JU52" i="1"/>
  <c r="DL30" i="1"/>
  <c r="KS42" i="1"/>
  <c r="AC39" i="1"/>
  <c r="KP52" i="1"/>
  <c r="JT47" i="1"/>
  <c r="AC56" i="1"/>
  <c r="DK46" i="1"/>
  <c r="KW29" i="1"/>
  <c r="MT29" i="1" s="1"/>
  <c r="JU44" i="1"/>
  <c r="AAW4" i="1"/>
  <c r="KX56" i="1"/>
  <c r="KW31" i="1"/>
  <c r="MT31" i="1" s="1"/>
  <c r="TO4" i="1"/>
  <c r="KV30" i="1"/>
  <c r="AC43" i="1"/>
  <c r="JV51" i="1"/>
  <c r="KP39" i="1"/>
  <c r="JV56" i="1"/>
  <c r="KP57" i="1"/>
  <c r="EF32" i="1"/>
  <c r="EM32" i="1" s="1"/>
  <c r="AAW1" i="1"/>
  <c r="BA31" i="1"/>
  <c r="BA50" i="1"/>
  <c r="BA57" i="1"/>
  <c r="JV41" i="1"/>
  <c r="DC6" i="1"/>
  <c r="KY36" i="1"/>
  <c r="TO2" i="1"/>
  <c r="KY31" i="1"/>
  <c r="KY30" i="1"/>
  <c r="KS41" i="1"/>
  <c r="JW47" i="1"/>
  <c r="JU32" i="1"/>
  <c r="JS48" i="1"/>
  <c r="KT56" i="1"/>
  <c r="XC5" i="1"/>
  <c r="KV39" i="1"/>
  <c r="KZ42" i="1"/>
  <c r="JT42" i="1"/>
  <c r="Q53" i="1"/>
  <c r="H61" i="18" s="1"/>
  <c r="BA38" i="1"/>
  <c r="AC53" i="1"/>
  <c r="KV51" i="1"/>
  <c r="DL36" i="1"/>
  <c r="DR36" i="1" s="1"/>
  <c r="EG43" i="1"/>
  <c r="JU50" i="1"/>
  <c r="QF5" i="1"/>
  <c r="JU49" i="1"/>
  <c r="QO40" i="1"/>
  <c r="DK31" i="1"/>
  <c r="PM3" i="1"/>
  <c r="TW3" i="1"/>
  <c r="DN20" i="1"/>
  <c r="DN13" i="1" s="1"/>
  <c r="AM29" i="4"/>
  <c r="AS29" i="4"/>
  <c r="KR52" i="1"/>
  <c r="KU54" i="1"/>
  <c r="JW42" i="1"/>
  <c r="KR35" i="1"/>
  <c r="KQ47" i="1"/>
  <c r="MU47" i="1" s="1"/>
  <c r="AO45" i="1"/>
  <c r="KQ40" i="1"/>
  <c r="JV53" i="1"/>
  <c r="KP54" i="1"/>
  <c r="XB5" i="1"/>
  <c r="DL37" i="1"/>
  <c r="KW37" i="1"/>
  <c r="KS48" i="1"/>
  <c r="BA29" i="1"/>
  <c r="KV50" i="1"/>
  <c r="KX52" i="1"/>
  <c r="KT35" i="1"/>
  <c r="QO56" i="1"/>
  <c r="JR29" i="1"/>
  <c r="PZ47" i="1"/>
  <c r="PG2" i="1"/>
  <c r="JU48" i="1"/>
  <c r="KS34" i="1"/>
  <c r="KW49" i="1"/>
  <c r="UZ3" i="1"/>
  <c r="NU5" i="1"/>
  <c r="JW38" i="1"/>
  <c r="KP33" i="1"/>
  <c r="EG51" i="1"/>
  <c r="BA36" i="1"/>
  <c r="EG37" i="1"/>
  <c r="JV49" i="1"/>
  <c r="JV30" i="1"/>
  <c r="JZ30" i="1" s="1"/>
  <c r="KV40" i="1"/>
  <c r="EG28" i="1"/>
  <c r="KQ45" i="1"/>
  <c r="Q47" i="1"/>
  <c r="AC52" i="1"/>
  <c r="KZ41" i="1"/>
  <c r="QL3" i="1"/>
  <c r="JR44" i="1"/>
  <c r="JZ44" i="1" s="1"/>
  <c r="KV53" i="1"/>
  <c r="Q52" i="1"/>
  <c r="QO47" i="1"/>
  <c r="KT28" i="1"/>
  <c r="MU28" i="1" s="1"/>
  <c r="QO44" i="1"/>
  <c r="KQ37" i="1"/>
  <c r="KY40" i="1"/>
  <c r="KP48" i="1"/>
  <c r="MU48" i="1" s="1"/>
  <c r="BA41" i="1"/>
  <c r="AC35" i="1"/>
  <c r="KT43" i="1"/>
  <c r="KR33" i="1"/>
  <c r="MU33" i="1" s="1"/>
  <c r="EG36" i="1"/>
  <c r="ZW5" i="1"/>
  <c r="ZX5" i="1" s="1"/>
  <c r="KR37" i="1"/>
  <c r="JU56" i="1"/>
  <c r="KY45" i="1"/>
  <c r="KT50" i="1"/>
  <c r="JR34" i="1"/>
  <c r="KW50" i="1"/>
  <c r="KU46" i="1"/>
  <c r="KY35" i="1"/>
  <c r="BA39" i="1"/>
  <c r="CR6" i="1"/>
  <c r="KZ31" i="1"/>
  <c r="KY54" i="1"/>
  <c r="KW38" i="1"/>
  <c r="ZX6" i="1"/>
  <c r="AAC32" i="1" s="1"/>
  <c r="UV3" i="1"/>
  <c r="KU38" i="1"/>
  <c r="KX36" i="1"/>
  <c r="JS46" i="1"/>
  <c r="JZ46" i="1" s="1"/>
  <c r="KT49" i="1"/>
  <c r="DK39" i="1"/>
  <c r="JW45" i="1"/>
  <c r="JS34" i="1"/>
  <c r="ZW3" i="1"/>
  <c r="ABI1" i="1"/>
  <c r="QO35" i="1"/>
  <c r="JR36" i="1"/>
  <c r="JZ36" i="1" s="1"/>
  <c r="KZ48" i="1"/>
  <c r="KR54" i="1"/>
  <c r="KP41" i="1"/>
  <c r="PZ48" i="1"/>
  <c r="KU35" i="1"/>
  <c r="JR52" i="1"/>
  <c r="Q35" i="1"/>
  <c r="QO31" i="1"/>
  <c r="KS50" i="1"/>
  <c r="JU39" i="1"/>
  <c r="UU3" i="1"/>
  <c r="RR4" i="1"/>
  <c r="LA39" i="1"/>
  <c r="KU41" i="1"/>
  <c r="EF34" i="1"/>
  <c r="JR43" i="1"/>
  <c r="PZ54" i="1"/>
  <c r="KZ37" i="1"/>
  <c r="AC42" i="1"/>
  <c r="CE1" i="1"/>
  <c r="WZ5" i="1"/>
  <c r="DR52" i="1"/>
  <c r="MT34" i="1"/>
  <c r="EM28" i="1"/>
  <c r="DR29" i="1"/>
  <c r="DR55" i="1"/>
  <c r="EM42" i="1"/>
  <c r="DR31" i="1"/>
  <c r="EM30" i="1"/>
  <c r="MT51" i="1"/>
  <c r="EM48" i="1"/>
  <c r="EM29" i="1"/>
  <c r="MU32" i="1"/>
  <c r="EM45" i="1"/>
  <c r="EM52" i="1"/>
  <c r="DR42" i="1"/>
  <c r="MT49" i="1"/>
  <c r="DR32" i="1"/>
  <c r="MT46" i="1"/>
  <c r="EM34" i="1"/>
  <c r="DR51" i="1"/>
  <c r="J61" i="18"/>
  <c r="ABZ53" i="1"/>
  <c r="AAP38" i="1"/>
  <c r="N46" i="18"/>
  <c r="AR58" i="18"/>
  <c r="AAP39" i="1"/>
  <c r="N47" i="18"/>
  <c r="ABZ56" i="1"/>
  <c r="J64" i="18"/>
  <c r="AR61" i="18"/>
  <c r="H52" i="18"/>
  <c r="MT37" i="1"/>
  <c r="AR55" i="18"/>
  <c r="AR64" i="18"/>
  <c r="RW30" i="1"/>
  <c r="RW48" i="1"/>
  <c r="RW53" i="1"/>
  <c r="RW42" i="1"/>
  <c r="RW38" i="1"/>
  <c r="DR35" i="1"/>
  <c r="TD37" i="1"/>
  <c r="TD30" i="1"/>
  <c r="TD38" i="1"/>
  <c r="TD47" i="1"/>
  <c r="TD49" i="1"/>
  <c r="TD35" i="1"/>
  <c r="TD28" i="1"/>
  <c r="TD50" i="1"/>
  <c r="TD29" i="1"/>
  <c r="TD44" i="1"/>
  <c r="TD48" i="1"/>
  <c r="TD39" i="1"/>
  <c r="TD51" i="1"/>
  <c r="TD56" i="1"/>
  <c r="TD42" i="1"/>
  <c r="TD52" i="1"/>
  <c r="TD54" i="1"/>
  <c r="TD46" i="1"/>
  <c r="TD32" i="1"/>
  <c r="TD41" i="1"/>
  <c r="TD43" i="1"/>
  <c r="TD31" i="1"/>
  <c r="TD36" i="1"/>
  <c r="TD55" i="1"/>
  <c r="TD53" i="1"/>
  <c r="TD40" i="1"/>
  <c r="TD57" i="1"/>
  <c r="TD34" i="1"/>
  <c r="TD33" i="1"/>
  <c r="TD45" i="1"/>
  <c r="BI38" i="1"/>
  <c r="BI54" i="1"/>
  <c r="BI53" i="1"/>
  <c r="BI44" i="1"/>
  <c r="BI32" i="1"/>
  <c r="BI34" i="1"/>
  <c r="MU44" i="1"/>
  <c r="H39" i="18"/>
  <c r="ABT31" i="1"/>
  <c r="AAP46" i="1"/>
  <c r="N54" i="18"/>
  <c r="L38" i="18"/>
  <c r="AAJ30" i="1"/>
  <c r="JX35" i="1"/>
  <c r="JZ35" i="1"/>
  <c r="JY35" i="1"/>
  <c r="MS35" i="1"/>
  <c r="JX50" i="1"/>
  <c r="BU31" i="1"/>
  <c r="BU52" i="1"/>
  <c r="BU32" i="1"/>
  <c r="BU57" i="1"/>
  <c r="BU54" i="1"/>
  <c r="BU41" i="1"/>
  <c r="BU42" i="1"/>
  <c r="BU49" i="1"/>
  <c r="BU53" i="1"/>
  <c r="BU29" i="1"/>
  <c r="BU56" i="1"/>
  <c r="BU45" i="1"/>
  <c r="BU30" i="1"/>
  <c r="BU55" i="1"/>
  <c r="BU40" i="1"/>
  <c r="BU36" i="1"/>
  <c r="BU51" i="1"/>
  <c r="BU35" i="1"/>
  <c r="BU46" i="1"/>
  <c r="BU48" i="1"/>
  <c r="BU37" i="1"/>
  <c r="BU28" i="1"/>
  <c r="BU39" i="1"/>
  <c r="BU43" i="1"/>
  <c r="BU38" i="1"/>
  <c r="BU33" i="1"/>
  <c r="BU44" i="1"/>
  <c r="BU50" i="1"/>
  <c r="BU34" i="1"/>
  <c r="BU47" i="1"/>
  <c r="AR52" i="18"/>
  <c r="JY51" i="1"/>
  <c r="MS54" i="1"/>
  <c r="ABZ38" i="1"/>
  <c r="J46" i="18"/>
  <c r="L47" i="18"/>
  <c r="AAJ39" i="1"/>
  <c r="EM54" i="1"/>
  <c r="J53" i="18"/>
  <c r="ABZ45" i="1"/>
  <c r="JX48" i="1"/>
  <c r="JZ48" i="1"/>
  <c r="JY48" i="1"/>
  <c r="MS48" i="1"/>
  <c r="L51" i="18"/>
  <c r="AAJ43" i="1"/>
  <c r="SF53" i="1"/>
  <c r="SF50" i="1"/>
  <c r="SF49" i="1"/>
  <c r="SF34" i="1"/>
  <c r="SF45" i="1"/>
  <c r="SF37" i="1"/>
  <c r="SF36" i="1"/>
  <c r="SF43" i="1"/>
  <c r="SF39" i="1"/>
  <c r="SF29" i="1"/>
  <c r="SF30" i="1"/>
  <c r="SF46" i="1"/>
  <c r="SF56" i="1"/>
  <c r="SF52" i="1"/>
  <c r="SF33" i="1"/>
  <c r="SF54" i="1"/>
  <c r="SF57" i="1"/>
  <c r="SF42" i="1"/>
  <c r="SF55" i="1"/>
  <c r="SF48" i="1"/>
  <c r="SF51" i="1"/>
  <c r="SF41" i="1"/>
  <c r="SF35" i="1"/>
  <c r="SF31" i="1"/>
  <c r="SF44" i="1"/>
  <c r="SF47" i="1"/>
  <c r="SF32" i="1"/>
  <c r="SF38" i="1"/>
  <c r="SF40" i="1"/>
  <c r="SF28" i="1"/>
  <c r="J59" i="18"/>
  <c r="ABZ51" i="1"/>
  <c r="AAJ32" i="1"/>
  <c r="L40" i="18"/>
  <c r="MT55" i="1"/>
  <c r="AR45" i="18"/>
  <c r="JY31" i="1"/>
  <c r="MU31" i="1"/>
  <c r="MT41" i="1"/>
  <c r="ABT56" i="1"/>
  <c r="H64" i="18"/>
  <c r="AR41" i="18"/>
  <c r="J62" i="18"/>
  <c r="ABZ54" i="1"/>
  <c r="ABT54" i="1"/>
  <c r="H62" i="18"/>
  <c r="DR41" i="1"/>
  <c r="H53" i="18"/>
  <c r="ABT45" i="1"/>
  <c r="AAC47" i="1"/>
  <c r="AAC52" i="1"/>
  <c r="ABJ39" i="1"/>
  <c r="ABJ44" i="1"/>
  <c r="ABJ50" i="1"/>
  <c r="ABJ45" i="1"/>
  <c r="ABJ48" i="1"/>
  <c r="ABJ51" i="1"/>
  <c r="ABJ29" i="1"/>
  <c r="ABJ56" i="1"/>
  <c r="ABJ42" i="1"/>
  <c r="ABJ54" i="1"/>
  <c r="ABJ38" i="1"/>
  <c r="ABJ57" i="1"/>
  <c r="ABJ55" i="1"/>
  <c r="ABJ53" i="1"/>
  <c r="ABJ52" i="1"/>
  <c r="ABJ37" i="1"/>
  <c r="ABJ30" i="1"/>
  <c r="ABJ36" i="1"/>
  <c r="ABJ43" i="1"/>
  <c r="ABJ40" i="1"/>
  <c r="ABJ41" i="1"/>
  <c r="ABJ28" i="1"/>
  <c r="ABJ33" i="1"/>
  <c r="ABJ31" i="1"/>
  <c r="ABJ35" i="1"/>
  <c r="ABJ46" i="1"/>
  <c r="ABJ47" i="1"/>
  <c r="ABJ49" i="1"/>
  <c r="ABJ32" i="1"/>
  <c r="ABJ34" i="1"/>
  <c r="EM37" i="1"/>
  <c r="JX40" i="1"/>
  <c r="MU43" i="1"/>
  <c r="CJ52" i="1"/>
  <c r="CJ47" i="1"/>
  <c r="CJ45" i="1"/>
  <c r="CJ29" i="1"/>
  <c r="CJ28" i="1"/>
  <c r="CJ57" i="1"/>
  <c r="MU41" i="1"/>
  <c r="ABZ57" i="1"/>
  <c r="J65" i="18"/>
  <c r="J51" i="18"/>
  <c r="ABZ43" i="1"/>
  <c r="AAX36" i="1"/>
  <c r="AAX29" i="1"/>
  <c r="AAX46" i="1"/>
  <c r="AAX35" i="1"/>
  <c r="AAX33" i="1"/>
  <c r="AAX42" i="1"/>
  <c r="AAX57" i="1"/>
  <c r="AAX48" i="1"/>
  <c r="AAX32" i="1"/>
  <c r="AAX56" i="1"/>
  <c r="AAX49" i="1"/>
  <c r="AAX50" i="1"/>
  <c r="AAX54" i="1"/>
  <c r="AAX34" i="1"/>
  <c r="AAX47" i="1"/>
  <c r="AAX30" i="1"/>
  <c r="AAX53" i="1"/>
  <c r="AAX40" i="1"/>
  <c r="AAX28" i="1"/>
  <c r="AAX38" i="1"/>
  <c r="AAX31" i="1"/>
  <c r="AAX45" i="1"/>
  <c r="AAX43" i="1"/>
  <c r="AAX55" i="1"/>
  <c r="AAX51" i="1"/>
  <c r="AAX41" i="1"/>
  <c r="AAX44" i="1"/>
  <c r="AAX37" i="1"/>
  <c r="AAX52" i="1"/>
  <c r="AAX39" i="1"/>
  <c r="DR46" i="1"/>
  <c r="AAP42" i="1"/>
  <c r="ABZ35" i="1"/>
  <c r="J43" i="18"/>
  <c r="AAP41" i="1"/>
  <c r="N49" i="18"/>
  <c r="JY33" i="1"/>
  <c r="L36" i="18"/>
  <c r="N44" i="18"/>
  <c r="AAP36" i="1"/>
  <c r="J41" i="18"/>
  <c r="ABZ33" i="1"/>
  <c r="ACL57" i="1"/>
  <c r="ACL52" i="1"/>
  <c r="ACL31" i="1"/>
  <c r="ACL47" i="1"/>
  <c r="ACL55" i="1"/>
  <c r="ACL41" i="1"/>
  <c r="ACL37" i="1"/>
  <c r="ACL33" i="1"/>
  <c r="ACL53" i="1"/>
  <c r="ACL46" i="1"/>
  <c r="ACL49" i="1"/>
  <c r="ACL34" i="1"/>
  <c r="ACL50" i="1"/>
  <c r="ACL45" i="1"/>
  <c r="ACL35" i="1"/>
  <c r="ACL39" i="1"/>
  <c r="ACL30" i="1"/>
  <c r="ACL48" i="1"/>
  <c r="ACL54" i="1"/>
  <c r="ACL28" i="1"/>
  <c r="ACL32" i="1"/>
  <c r="ACL40" i="1"/>
  <c r="ACL51" i="1"/>
  <c r="ACL42" i="1"/>
  <c r="ACL38" i="1"/>
  <c r="ACL29" i="1"/>
  <c r="ACL56" i="1"/>
  <c r="ACL44" i="1"/>
  <c r="ACL36" i="1"/>
  <c r="ACL43" i="1"/>
  <c r="AR49" i="18"/>
  <c r="N52" i="18"/>
  <c r="AAP44" i="1"/>
  <c r="J42" i="18"/>
  <c r="ABZ34" i="1"/>
  <c r="EM57" i="1"/>
  <c r="H36" i="18"/>
  <c r="ABT28" i="1"/>
  <c r="AAJ56" i="1"/>
  <c r="AAP51" i="1"/>
  <c r="N59" i="18"/>
  <c r="MT54" i="1"/>
  <c r="JX55" i="1"/>
  <c r="ABA57" i="1"/>
  <c r="ABA56" i="1"/>
  <c r="ABA34" i="1"/>
  <c r="ABA44" i="1"/>
  <c r="ABA37" i="1"/>
  <c r="ABA48" i="1"/>
  <c r="ABA42" i="1"/>
  <c r="ABA53" i="1"/>
  <c r="EM39" i="1"/>
  <c r="AAJ46" i="1"/>
  <c r="L54" i="18"/>
  <c r="AAJ33" i="1"/>
  <c r="L41" i="18"/>
  <c r="J45" i="18"/>
  <c r="AAJ55" i="1"/>
  <c r="L63" i="18"/>
  <c r="H57" i="18"/>
  <c r="ABZ46" i="1"/>
  <c r="J54" i="18"/>
  <c r="AR46" i="18"/>
  <c r="ZX2" i="1"/>
  <c r="F25" i="21"/>
  <c r="E25" i="21"/>
  <c r="E33" i="21"/>
  <c r="G53" i="21"/>
  <c r="F54" i="21"/>
  <c r="G42" i="21"/>
  <c r="G34" i="21"/>
  <c r="E34" i="21"/>
  <c r="F53" i="21"/>
  <c r="MT47" i="1"/>
  <c r="J36" i="18"/>
  <c r="ABZ28" i="1"/>
  <c r="AAP48" i="1"/>
  <c r="N56" i="18"/>
  <c r="MU45" i="1"/>
  <c r="JY38" i="1"/>
  <c r="MT32" i="1"/>
  <c r="MS42" i="1"/>
  <c r="JZ42" i="1"/>
  <c r="JY42" i="1"/>
  <c r="JX42" i="1"/>
  <c r="L44" i="18"/>
  <c r="AAJ36" i="1"/>
  <c r="L37" i="18"/>
  <c r="ABT32" i="1"/>
  <c r="H40" i="18"/>
  <c r="AAJ41" i="1"/>
  <c r="L49" i="18"/>
  <c r="SI38" i="1"/>
  <c r="SI40" i="1"/>
  <c r="SI28" i="1"/>
  <c r="SI39" i="1"/>
  <c r="SI45" i="1"/>
  <c r="SI41" i="1"/>
  <c r="SI50" i="1"/>
  <c r="SI33" i="1"/>
  <c r="SI35" i="1"/>
  <c r="SI57" i="1"/>
  <c r="SI56" i="1"/>
  <c r="SI51" i="1"/>
  <c r="SI47" i="1"/>
  <c r="SI55" i="1"/>
  <c r="SI34" i="1"/>
  <c r="SI29" i="1"/>
  <c r="SI49" i="1"/>
  <c r="SI37" i="1"/>
  <c r="SI42" i="1"/>
  <c r="SI54" i="1"/>
  <c r="SI43" i="1"/>
  <c r="SI53" i="1"/>
  <c r="SI48" i="1"/>
  <c r="SI32" i="1"/>
  <c r="SI30" i="1"/>
  <c r="SI52" i="1"/>
  <c r="SI44" i="1"/>
  <c r="SI31" i="1"/>
  <c r="SI46" i="1"/>
  <c r="SI36" i="1"/>
  <c r="JY57" i="1"/>
  <c r="ABZ49" i="1"/>
  <c r="J57" i="18"/>
  <c r="MT28" i="1"/>
  <c r="DR33" i="1"/>
  <c r="DR47" i="1"/>
  <c r="N60" i="18"/>
  <c r="AAP52" i="1"/>
  <c r="CV43" i="1"/>
  <c r="CV46" i="1"/>
  <c r="CV57" i="1"/>
  <c r="CV49" i="1"/>
  <c r="CV53" i="1"/>
  <c r="CV56" i="1"/>
  <c r="CV28" i="1"/>
  <c r="CV39" i="1"/>
  <c r="AAJ34" i="1"/>
  <c r="L42" i="18"/>
  <c r="N40" i="18"/>
  <c r="AAP32" i="1"/>
  <c r="JY41" i="1"/>
  <c r="AAP37" i="1"/>
  <c r="N45" i="18"/>
  <c r="J37" i="18"/>
  <c r="ABZ29" i="1"/>
  <c r="H43" i="18"/>
  <c r="ABT35" i="1"/>
  <c r="JZ52" i="1"/>
  <c r="AR56" i="18"/>
  <c r="ABT29" i="1"/>
  <c r="H37" i="18"/>
  <c r="AAJ44" i="1"/>
  <c r="L52" i="18"/>
  <c r="L46" i="18"/>
  <c r="AAJ38" i="1"/>
  <c r="JX34" i="1"/>
  <c r="J47" i="18"/>
  <c r="ABZ39" i="1"/>
  <c r="H59" i="18"/>
  <c r="ABT51" i="1"/>
  <c r="L43" i="18"/>
  <c r="AAJ35" i="1"/>
  <c r="AR39" i="18"/>
  <c r="JZ49" i="1"/>
  <c r="ABZ36" i="1"/>
  <c r="J44" i="18"/>
  <c r="MU54" i="1"/>
  <c r="L53" i="18"/>
  <c r="AAJ45" i="1"/>
  <c r="AAP49" i="1"/>
  <c r="N57" i="18"/>
  <c r="AR54" i="18"/>
  <c r="TG48" i="1"/>
  <c r="TG36" i="1"/>
  <c r="TG56" i="1"/>
  <c r="TG43" i="1"/>
  <c r="TG32" i="1"/>
  <c r="TG42" i="1"/>
  <c r="TG33" i="1"/>
  <c r="TG52" i="1"/>
  <c r="TG38" i="1"/>
  <c r="TG47" i="1"/>
  <c r="TG49" i="1"/>
  <c r="TG34" i="1"/>
  <c r="TG57" i="1"/>
  <c r="TG51" i="1"/>
  <c r="TG50" i="1"/>
  <c r="ABT39" i="1"/>
  <c r="H47" i="18"/>
  <c r="N48" i="18"/>
  <c r="AAP40" i="1"/>
  <c r="N38" i="18"/>
  <c r="AAP30" i="1"/>
  <c r="AR48" i="18"/>
  <c r="ABT57" i="1"/>
  <c r="H65" i="18"/>
  <c r="H54" i="18"/>
  <c r="ABT46" i="1"/>
  <c r="AR43" i="18"/>
  <c r="H41" i="18"/>
  <c r="ABT33" i="1"/>
  <c r="AAJ48" i="1"/>
  <c r="L56" i="18"/>
  <c r="AAJ47" i="1"/>
  <c r="L55" i="18"/>
  <c r="MU51" i="1"/>
  <c r="AAJ54" i="1"/>
  <c r="L62" i="18"/>
  <c r="ABZ41" i="1"/>
  <c r="J49" i="18"/>
  <c r="MS56" i="1"/>
  <c r="JX56" i="1"/>
  <c r="J40" i="18"/>
  <c r="ABZ32" i="1"/>
  <c r="DR37" i="1"/>
  <c r="N51" i="18"/>
  <c r="AAP55" i="1"/>
  <c r="N63" i="18"/>
  <c r="L48" i="18"/>
  <c r="AAJ40" i="1"/>
  <c r="ACI30" i="1"/>
  <c r="ACI45" i="1"/>
  <c r="ACI37" i="1"/>
  <c r="ACI51" i="1"/>
  <c r="ACI39" i="1"/>
  <c r="ACI52" i="1"/>
  <c r="ACI49" i="1"/>
  <c r="ACI57" i="1"/>
  <c r="ACI31" i="1"/>
  <c r="ACI41" i="1"/>
  <c r="ACI42" i="1"/>
  <c r="ACI33" i="1"/>
  <c r="ACI38" i="1"/>
  <c r="ACI55" i="1"/>
  <c r="ACI50" i="1"/>
  <c r="ACI47" i="1"/>
  <c r="ACI46" i="1"/>
  <c r="ACI35" i="1"/>
  <c r="ACI43" i="1"/>
  <c r="ACI56" i="1"/>
  <c r="ACI32" i="1"/>
  <c r="ACI54" i="1"/>
  <c r="ACI29" i="1"/>
  <c r="ACI34" i="1"/>
  <c r="ACI40" i="1"/>
  <c r="ACI48" i="1"/>
  <c r="ACI28" i="1"/>
  <c r="ACI53" i="1"/>
  <c r="ACI36" i="1"/>
  <c r="ACI44" i="1"/>
  <c r="MU35" i="1"/>
  <c r="J48" i="18"/>
  <c r="ABZ40" i="1"/>
  <c r="H42" i="18"/>
  <c r="ABT34" i="1"/>
  <c r="AR53" i="18"/>
  <c r="EM41" i="1"/>
  <c r="AR60" i="18"/>
  <c r="AR37" i="18"/>
  <c r="N53" i="18"/>
  <c r="AAP45" i="1"/>
  <c r="DR53" i="1"/>
  <c r="AAJ50" i="1"/>
  <c r="L58" i="18"/>
  <c r="MT33" i="1"/>
  <c r="DR50" i="1"/>
  <c r="DR49" i="1"/>
  <c r="ABZ42" i="1"/>
  <c r="J50" i="18"/>
  <c r="AR62" i="18"/>
  <c r="JX43" i="1"/>
  <c r="JY43" i="1"/>
  <c r="RT44" i="1"/>
  <c r="RT56" i="1"/>
  <c r="RT39" i="1"/>
  <c r="RT53" i="1"/>
  <c r="RT42" i="1"/>
  <c r="RT29" i="1"/>
  <c r="RT31" i="1"/>
  <c r="RT49" i="1"/>
  <c r="RT41" i="1"/>
  <c r="RT52" i="1"/>
  <c r="RT38" i="1"/>
  <c r="RT48" i="1"/>
  <c r="RT33" i="1"/>
  <c r="RT34" i="1"/>
  <c r="RT47" i="1"/>
  <c r="CS46" i="1"/>
  <c r="CS56" i="1"/>
  <c r="CS28" i="1"/>
  <c r="CS45" i="1"/>
  <c r="CS57" i="1"/>
  <c r="CS48" i="1"/>
  <c r="CS32" i="1"/>
  <c r="CS30" i="1"/>
  <c r="CS52" i="1"/>
  <c r="CS54" i="1"/>
  <c r="CS55" i="1"/>
  <c r="CS42" i="1"/>
  <c r="CS50" i="1"/>
  <c r="CS38" i="1"/>
  <c r="CS34" i="1"/>
  <c r="JY36" i="1"/>
  <c r="JX36" i="1"/>
  <c r="MS36" i="1"/>
  <c r="DH35" i="1"/>
  <c r="DH50" i="1"/>
  <c r="DH45" i="1"/>
  <c r="DH52" i="1"/>
  <c r="DH32" i="1"/>
  <c r="DH29" i="1"/>
  <c r="DH43" i="1"/>
  <c r="DH38" i="1"/>
  <c r="DH46" i="1"/>
  <c r="DH34" i="1"/>
  <c r="DH57" i="1"/>
  <c r="DH37" i="1"/>
  <c r="DH33" i="1"/>
  <c r="DH31" i="1"/>
  <c r="DH28" i="1"/>
  <c r="DH44" i="1"/>
  <c r="DH56" i="1"/>
  <c r="DH47" i="1"/>
  <c r="DH49" i="1"/>
  <c r="DH51" i="1"/>
  <c r="DH42" i="1"/>
  <c r="DH40" i="1"/>
  <c r="DH41" i="1"/>
  <c r="DH54" i="1"/>
  <c r="DH30" i="1"/>
  <c r="DH48" i="1"/>
  <c r="DH55" i="1"/>
  <c r="DH53" i="1"/>
  <c r="DH39" i="1"/>
  <c r="DH36" i="1"/>
  <c r="N65" i="18"/>
  <c r="N58" i="18"/>
  <c r="AAP50" i="1"/>
  <c r="AAP31" i="1"/>
  <c r="N39" i="18"/>
  <c r="MU57" i="1"/>
  <c r="AAJ42" i="1"/>
  <c r="L50" i="18"/>
  <c r="AR36" i="18"/>
  <c r="J55" i="18"/>
  <c r="ABZ47" i="1"/>
  <c r="EM43" i="1"/>
  <c r="SU45" i="1"/>
  <c r="SU49" i="1"/>
  <c r="SU56" i="1"/>
  <c r="SU48" i="1"/>
  <c r="SU57" i="1"/>
  <c r="SU53" i="1"/>
  <c r="SU30" i="1"/>
  <c r="SU28" i="1"/>
  <c r="SU43" i="1"/>
  <c r="SU50" i="1"/>
  <c r="SU29" i="1"/>
  <c r="SU35" i="1"/>
  <c r="SU32" i="1"/>
  <c r="SU54" i="1"/>
  <c r="SU52" i="1"/>
  <c r="SU47" i="1"/>
  <c r="SU46" i="1"/>
  <c r="SU36" i="1"/>
  <c r="SU34" i="1"/>
  <c r="SU33" i="1"/>
  <c r="SU51" i="1"/>
  <c r="SU55" i="1"/>
  <c r="SU41" i="1"/>
  <c r="MS45" i="1"/>
  <c r="JY45" i="1"/>
  <c r="JZ45" i="1"/>
  <c r="JX45" i="1"/>
  <c r="N64" i="18"/>
  <c r="AAP56" i="1"/>
  <c r="J58" i="18"/>
  <c r="ABZ50" i="1"/>
  <c r="ABT36" i="1"/>
  <c r="H44" i="18"/>
  <c r="JX32" i="1"/>
  <c r="MS32" i="1"/>
  <c r="JZ32" i="1"/>
  <c r="JY32" i="1"/>
  <c r="H60" i="18"/>
  <c r="ABT52" i="1"/>
  <c r="JX44" i="1"/>
  <c r="JY44" i="1"/>
  <c r="MS44" i="1"/>
  <c r="MV44" i="1" s="1"/>
  <c r="MW44" i="1" s="1"/>
  <c r="J60" i="18"/>
  <c r="ABZ52" i="1"/>
  <c r="H55" i="18"/>
  <c r="ABT47" i="1"/>
  <c r="ZX45" i="1"/>
  <c r="ZY45" i="1" s="1"/>
  <c r="ZX37" i="1"/>
  <c r="ZY37" i="1" s="1"/>
  <c r="ZX49" i="1"/>
  <c r="ZY49" i="1" s="1"/>
  <c r="ZX43" i="1"/>
  <c r="ZY43" i="1" s="1"/>
  <c r="ZX32" i="1"/>
  <c r="ZY32" i="1" s="1"/>
  <c r="ZX38" i="1"/>
  <c r="ZY38" i="1" s="1"/>
  <c r="ZX28" i="1"/>
  <c r="ZY28" i="1" s="1"/>
  <c r="ZX55" i="1"/>
  <c r="ZY55" i="1" s="1"/>
  <c r="ZX33" i="1"/>
  <c r="ZY33" i="1" s="1"/>
  <c r="ZX31" i="1"/>
  <c r="ZY31" i="1" s="1"/>
  <c r="ZX47" i="1"/>
  <c r="ZY47" i="1" s="1"/>
  <c r="ZX51" i="1"/>
  <c r="ZY51" i="1" s="1"/>
  <c r="ZX34" i="1"/>
  <c r="ZY34" i="1" s="1"/>
  <c r="ZX29" i="1"/>
  <c r="ZY29" i="1" s="1"/>
  <c r="ZX52" i="1"/>
  <c r="ZY52" i="1" s="1"/>
  <c r="ZX54" i="1"/>
  <c r="ZY54" i="1" s="1"/>
  <c r="ZX48" i="1"/>
  <c r="ZY48" i="1" s="1"/>
  <c r="ZX44" i="1"/>
  <c r="ZY44" i="1" s="1"/>
  <c r="ZX40" i="1"/>
  <c r="ZY40" i="1" s="1"/>
  <c r="ZX57" i="1"/>
  <c r="ZY57" i="1" s="1"/>
  <c r="ZX30" i="1"/>
  <c r="ZY30" i="1" s="1"/>
  <c r="ZX35" i="1"/>
  <c r="ZY35" i="1" s="1"/>
  <c r="ZX39" i="1"/>
  <c r="ZY39" i="1" s="1"/>
  <c r="ZX50" i="1"/>
  <c r="ZY50" i="1" s="1"/>
  <c r="ZX41" i="1"/>
  <c r="ZY41" i="1" s="1"/>
  <c r="AAP28" i="1"/>
  <c r="N36" i="18"/>
  <c r="MT36" i="1"/>
  <c r="AR59" i="18"/>
  <c r="MT50" i="1"/>
  <c r="N37" i="18"/>
  <c r="AAP29" i="1"/>
  <c r="ABT38" i="1"/>
  <c r="H46" i="18"/>
  <c r="MU42" i="1"/>
  <c r="ABT30" i="1"/>
  <c r="H38" i="18"/>
  <c r="AAJ31" i="1"/>
  <c r="L39" i="18"/>
  <c r="JZ53" i="1"/>
  <c r="JX53" i="1"/>
  <c r="MS53" i="1"/>
  <c r="JY53" i="1"/>
  <c r="AR51" i="18"/>
  <c r="DE51" i="1"/>
  <c r="DE38" i="1"/>
  <c r="DE41" i="1"/>
  <c r="DE39" i="1"/>
  <c r="DE32" i="1"/>
  <c r="DE40" i="1"/>
  <c r="DE57" i="1"/>
  <c r="DE45" i="1"/>
  <c r="DE49" i="1"/>
  <c r="DE47" i="1"/>
  <c r="DE30" i="1"/>
  <c r="DE46" i="1"/>
  <c r="DE35" i="1"/>
  <c r="DE48" i="1"/>
  <c r="DE33" i="1"/>
  <c r="DE55" i="1"/>
  <c r="DE43" i="1"/>
  <c r="DE50" i="1"/>
  <c r="DE44" i="1"/>
  <c r="DE42" i="1"/>
  <c r="DE54" i="1"/>
  <c r="DE36" i="1"/>
  <c r="DE28" i="1"/>
  <c r="DE31" i="1"/>
  <c r="DE34" i="1"/>
  <c r="DE37" i="1"/>
  <c r="DE29" i="1"/>
  <c r="DE52" i="1"/>
  <c r="DE56" i="1"/>
  <c r="DE53" i="1"/>
  <c r="ABZ44" i="1"/>
  <c r="J52" i="18"/>
  <c r="EM36" i="1"/>
  <c r="EM51" i="1"/>
  <c r="AAP53" i="1"/>
  <c r="N61" i="18"/>
  <c r="AAJ37" i="1"/>
  <c r="L45" i="18"/>
  <c r="J38" i="18"/>
  <c r="ABZ30" i="1"/>
  <c r="MU30" i="1"/>
  <c r="CG38" i="1"/>
  <c r="CG30" i="1"/>
  <c r="CG47" i="1"/>
  <c r="CG46" i="1"/>
  <c r="CG56" i="1"/>
  <c r="CG36" i="1"/>
  <c r="CG45" i="1"/>
  <c r="CG48" i="1"/>
  <c r="CG37" i="1"/>
  <c r="CG40" i="1"/>
  <c r="CG32" i="1"/>
  <c r="CG50" i="1"/>
  <c r="CG49" i="1"/>
  <c r="CG57" i="1"/>
  <c r="CG41" i="1"/>
  <c r="CG35" i="1"/>
  <c r="CG52" i="1"/>
  <c r="CG31" i="1"/>
  <c r="CG54" i="1"/>
  <c r="CG43" i="1"/>
  <c r="CG55" i="1"/>
  <c r="CG28" i="1"/>
  <c r="CG42" i="1"/>
  <c r="CG39" i="1"/>
  <c r="CG29" i="1"/>
  <c r="CG33" i="1"/>
  <c r="CG51" i="1"/>
  <c r="CG44" i="1"/>
  <c r="CG53" i="1"/>
  <c r="CG34" i="1"/>
  <c r="N41" i="18"/>
  <c r="AAP33" i="1"/>
  <c r="N55" i="18"/>
  <c r="AAP47" i="1"/>
  <c r="EM46" i="1"/>
  <c r="SR33" i="1"/>
  <c r="SR44" i="1"/>
  <c r="SR28" i="1"/>
  <c r="SR42" i="1"/>
  <c r="SR30" i="1"/>
  <c r="SR49" i="1"/>
  <c r="SR43" i="1"/>
  <c r="SR36" i="1"/>
  <c r="SR51" i="1"/>
  <c r="SR47" i="1"/>
  <c r="SR56" i="1"/>
  <c r="SR57" i="1"/>
  <c r="SR50" i="1"/>
  <c r="SR54" i="1"/>
  <c r="SR29" i="1"/>
  <c r="SR48" i="1"/>
  <c r="SR46" i="1"/>
  <c r="SR34" i="1"/>
  <c r="SR37" i="1"/>
  <c r="SR45" i="1"/>
  <c r="SR40" i="1"/>
  <c r="SR53" i="1"/>
  <c r="SR55" i="1"/>
  <c r="SR35" i="1"/>
  <c r="SR52" i="1"/>
  <c r="SR38" i="1"/>
  <c r="SR32" i="1"/>
  <c r="SR41" i="1"/>
  <c r="SR31" i="1"/>
  <c r="SR39" i="1"/>
  <c r="JX28" i="1"/>
  <c r="JY28" i="1"/>
  <c r="MS28" i="1"/>
  <c r="JZ28" i="1"/>
  <c r="MT43" i="1"/>
  <c r="BL53" i="1"/>
  <c r="BL47" i="1"/>
  <c r="BL46" i="1"/>
  <c r="BL42" i="1"/>
  <c r="BL35" i="1"/>
  <c r="BL34" i="1"/>
  <c r="BL55" i="1"/>
  <c r="BL45" i="1"/>
  <c r="BL52" i="1"/>
  <c r="BL36" i="1"/>
  <c r="BL30" i="1"/>
  <c r="BL33" i="1"/>
  <c r="BL39" i="1"/>
  <c r="BL29" i="1"/>
  <c r="BL38" i="1"/>
  <c r="BL50" i="1"/>
  <c r="BL31" i="1"/>
  <c r="BL37" i="1"/>
  <c r="BL40" i="1"/>
  <c r="BL28" i="1"/>
  <c r="BL54" i="1"/>
  <c r="BL43" i="1"/>
  <c r="BL41" i="1"/>
  <c r="BL44" i="1"/>
  <c r="BL51" i="1"/>
  <c r="BL48" i="1"/>
  <c r="BL56" i="1"/>
  <c r="BL32" i="1"/>
  <c r="BL49" i="1"/>
  <c r="BL57" i="1"/>
  <c r="EM47" i="1"/>
  <c r="AR63" i="18"/>
  <c r="MU46" i="1"/>
  <c r="MU55" i="1"/>
  <c r="H50" i="18"/>
  <c r="ABT42" i="1"/>
  <c r="ABT50" i="1"/>
  <c r="H58" i="18"/>
  <c r="N42" i="18"/>
  <c r="AAP34" i="1"/>
  <c r="AR44" i="18"/>
  <c r="EM49" i="1"/>
  <c r="H49" i="18"/>
  <c r="ABT41" i="1"/>
  <c r="H56" i="18"/>
  <c r="ABT48" i="1"/>
  <c r="DR34" i="1"/>
  <c r="EM40" i="1"/>
  <c r="J63" i="18"/>
  <c r="ABZ55" i="1"/>
  <c r="AR38" i="18"/>
  <c r="TP32" i="1"/>
  <c r="TQ32" i="1" s="1"/>
  <c r="TP33" i="1"/>
  <c r="TP50" i="1"/>
  <c r="TT50" i="1" s="1"/>
  <c r="TP43" i="1"/>
  <c r="TQ43" i="1" s="1"/>
  <c r="TP28" i="1"/>
  <c r="TQ28" i="1" s="1"/>
  <c r="TP49" i="1"/>
  <c r="TP34" i="1"/>
  <c r="TT34" i="1" s="1"/>
  <c r="TP55" i="1"/>
  <c r="TT55" i="1" s="1"/>
  <c r="TP44" i="1"/>
  <c r="TT44" i="1" s="1"/>
  <c r="TU5" i="1"/>
  <c r="TP37" i="1"/>
  <c r="TT37" i="1" s="1"/>
  <c r="TP53" i="1"/>
  <c r="TQ53" i="1" s="1"/>
  <c r="TP38" i="1"/>
  <c r="TT38" i="1" s="1"/>
  <c r="TP54" i="1"/>
  <c r="TP51" i="1"/>
  <c r="TT51" i="1" s="1"/>
  <c r="TP31" i="1"/>
  <c r="TQ31" i="1" s="1"/>
  <c r="TP56" i="1"/>
  <c r="TQ56" i="1" s="1"/>
  <c r="TP40" i="1"/>
  <c r="TP39" i="1"/>
  <c r="TQ39" i="1" s="1"/>
  <c r="TP48" i="1"/>
  <c r="TT48" i="1" s="1"/>
  <c r="TP41" i="1"/>
  <c r="TQ41" i="1" s="1"/>
  <c r="TP57" i="1"/>
  <c r="TP47" i="1"/>
  <c r="TT47" i="1" s="1"/>
  <c r="TP36" i="1"/>
  <c r="TQ36" i="1" s="1"/>
  <c r="TP52" i="1"/>
  <c r="TT52" i="1" s="1"/>
  <c r="TP29" i="1"/>
  <c r="TP45" i="1"/>
  <c r="TQ45" i="1" s="1"/>
  <c r="TP30" i="1"/>
  <c r="TQ30" i="1" s="1"/>
  <c r="TP46" i="1"/>
  <c r="TQ46" i="1" s="1"/>
  <c r="TP35" i="1"/>
  <c r="TP42" i="1"/>
  <c r="TQ42" i="1" s="1"/>
  <c r="AR50" i="18"/>
  <c r="AR42" i="18"/>
  <c r="AAP54" i="1"/>
  <c r="N62" i="18"/>
  <c r="MT35" i="1"/>
  <c r="MT42" i="1"/>
  <c r="MU53" i="1"/>
  <c r="EM50" i="1"/>
  <c r="L60" i="18"/>
  <c r="AAJ52" i="1"/>
  <c r="MU34" i="1"/>
  <c r="ABZ48" i="1"/>
  <c r="J56" i="18"/>
  <c r="L61" i="18"/>
  <c r="AAJ53" i="1"/>
  <c r="L57" i="18"/>
  <c r="AAJ49" i="1"/>
  <c r="MU40" i="1"/>
  <c r="AU21" i="4"/>
  <c r="AU31" i="4"/>
  <c r="AU12" i="4"/>
  <c r="AU13" i="4"/>
  <c r="AU23" i="4"/>
  <c r="AU24" i="4"/>
  <c r="AU29" i="4"/>
  <c r="AU33" i="4"/>
  <c r="AU35" i="4"/>
  <c r="AU28" i="4"/>
  <c r="AU11" i="4"/>
  <c r="AU17" i="4"/>
  <c r="AU19" i="4"/>
  <c r="AU26" i="4"/>
  <c r="AU14" i="4"/>
  <c r="AU25" i="4"/>
  <c r="AU16" i="4"/>
  <c r="AU22" i="4"/>
  <c r="AU30" i="4"/>
  <c r="AU15" i="4"/>
  <c r="AU18" i="4"/>
  <c r="AU27" i="4"/>
  <c r="AU32" i="4"/>
  <c r="AU34" i="4"/>
  <c r="AU20" i="4"/>
  <c r="DR30" i="1"/>
  <c r="ABM53" i="1"/>
  <c r="ABM56" i="1"/>
  <c r="ABM46" i="1"/>
  <c r="ABM45" i="1"/>
  <c r="ABM38" i="1"/>
  <c r="ABM37" i="1"/>
  <c r="ABM48" i="1"/>
  <c r="ABM51" i="1"/>
  <c r="ABM32" i="1"/>
  <c r="ABM43" i="1"/>
  <c r="ABM29" i="1"/>
  <c r="ABM40" i="1"/>
  <c r="ABM41" i="1"/>
  <c r="ABM52" i="1"/>
  <c r="ABM57" i="1"/>
  <c r="ABM42" i="1"/>
  <c r="ABM49" i="1"/>
  <c r="ABM36" i="1"/>
  <c r="ABM50" i="1"/>
  <c r="ABM35" i="1"/>
  <c r="ABM33" i="1"/>
  <c r="ABM28" i="1"/>
  <c r="ABM39" i="1"/>
  <c r="ABM54" i="1"/>
  <c r="ABM31" i="1"/>
  <c r="ABM55" i="1"/>
  <c r="ABM44" i="1"/>
  <c r="ABM30" i="1"/>
  <c r="ABM47" i="1"/>
  <c r="ABM34" i="1"/>
  <c r="MT48" i="1"/>
  <c r="AR40" i="18"/>
  <c r="AR65" i="18"/>
  <c r="H48" i="18"/>
  <c r="ABT40" i="1"/>
  <c r="BX40" i="1"/>
  <c r="BX33" i="1"/>
  <c r="BX52" i="1"/>
  <c r="BX44" i="1"/>
  <c r="BX35" i="1"/>
  <c r="BX45" i="1"/>
  <c r="BX29" i="1"/>
  <c r="BX47" i="1"/>
  <c r="BX28" i="1"/>
  <c r="BX57" i="1"/>
  <c r="BX34" i="1"/>
  <c r="BX48" i="1"/>
  <c r="BX41" i="1"/>
  <c r="BX56" i="1"/>
  <c r="BX31" i="1"/>
  <c r="BX53" i="1"/>
  <c r="BX49" i="1"/>
  <c r="BX46" i="1"/>
  <c r="BX43" i="1"/>
  <c r="BX32" i="1"/>
  <c r="BX42" i="1"/>
  <c r="BX50" i="1"/>
  <c r="BX54" i="1"/>
  <c r="BX36" i="1"/>
  <c r="BX38" i="1"/>
  <c r="BX55" i="1"/>
  <c r="BX37" i="1"/>
  <c r="BX39" i="1"/>
  <c r="BX30" i="1"/>
  <c r="BX51" i="1"/>
  <c r="EM38" i="1"/>
  <c r="YP57" i="1"/>
  <c r="YO34" i="1"/>
  <c r="YP35" i="1"/>
  <c r="YP34" i="1"/>
  <c r="YP31" i="1"/>
  <c r="YP29" i="1"/>
  <c r="YP30" i="1"/>
  <c r="MV32" i="1" l="1"/>
  <c r="MW32" i="1" s="1"/>
  <c r="NB32" i="1" s="1" a="1"/>
  <c r="NB32" i="1" s="1"/>
  <c r="MV45" i="1"/>
  <c r="MW45" i="1" s="1"/>
  <c r="NB45" i="1" s="1" a="1"/>
  <c r="NB45" i="1" s="1"/>
  <c r="MV28" i="1"/>
  <c r="MW28" i="1" s="1"/>
  <c r="AL4" i="18" s="1"/>
  <c r="TT35" i="1"/>
  <c r="TQ35" i="1"/>
  <c r="TQ29" i="1"/>
  <c r="TT29" i="1"/>
  <c r="TT57" i="1"/>
  <c r="TQ57" i="1"/>
  <c r="TQ40" i="1"/>
  <c r="TT40" i="1"/>
  <c r="TQ54" i="1"/>
  <c r="TT54" i="1"/>
  <c r="TQ49" i="1"/>
  <c r="TT49" i="1"/>
  <c r="TQ33" i="1"/>
  <c r="TT33" i="1"/>
  <c r="KA44" i="1"/>
  <c r="MR44" i="1"/>
  <c r="TT31" i="1"/>
  <c r="TT36" i="1"/>
  <c r="TT45" i="1"/>
  <c r="TT46" i="1"/>
  <c r="TT53" i="1"/>
  <c r="KA42" i="1"/>
  <c r="MR42" i="1"/>
  <c r="TQ55" i="1"/>
  <c r="TQ38" i="1"/>
  <c r="TQ48" i="1"/>
  <c r="TQ50" i="1"/>
  <c r="TQ52" i="1"/>
  <c r="TQ44" i="1"/>
  <c r="TQ47" i="1"/>
  <c r="MV48" i="1"/>
  <c r="MW48" i="1" s="1"/>
  <c r="MV54" i="1"/>
  <c r="MW54" i="1" s="1"/>
  <c r="MV35" i="1"/>
  <c r="MW35" i="1" s="1"/>
  <c r="MV53" i="1"/>
  <c r="MW53" i="1" s="1"/>
  <c r="TT43" i="1"/>
  <c r="TT42" i="1"/>
  <c r="TT39" i="1"/>
  <c r="TT32" i="1"/>
  <c r="TT56" i="1"/>
  <c r="TQ37" i="1"/>
  <c r="TQ51" i="1"/>
  <c r="TQ34" i="1"/>
  <c r="MR28" i="1"/>
  <c r="KA28" i="1"/>
  <c r="KA53" i="1"/>
  <c r="MR53" i="1"/>
  <c r="MY44" i="1"/>
  <c r="NB44" i="1" a="1"/>
  <c r="NB44" i="1" s="1"/>
  <c r="AL20" i="18"/>
  <c r="AL8" i="18"/>
  <c r="KA45" i="1"/>
  <c r="MR45" i="1"/>
  <c r="MR36" i="1"/>
  <c r="KA36" i="1"/>
  <c r="TT30" i="1"/>
  <c r="TT28" i="1"/>
  <c r="TT41" i="1"/>
  <c r="MR32" i="1"/>
  <c r="KA32" i="1"/>
  <c r="MV42" i="1"/>
  <c r="MW42" i="1" s="1"/>
  <c r="KA48" i="1"/>
  <c r="MR48" i="1"/>
  <c r="MR35" i="1"/>
  <c r="KA35" i="1"/>
  <c r="YP28" i="1"/>
  <c r="EH47" i="1" a="1"/>
  <c r="QR35" i="1" a="1"/>
  <c r="EI30" i="1" a="1"/>
  <c r="EH40" i="1" a="1"/>
  <c r="EI45" i="1" a="1"/>
  <c r="EI52" i="1" a="1"/>
  <c r="QR45" i="1" a="1"/>
  <c r="EI47" i="1" a="1"/>
  <c r="EH30" i="1" a="1"/>
  <c r="QR34" i="1" a="1"/>
  <c r="EH54" i="1" a="1"/>
  <c r="QR37" i="1" a="1"/>
  <c r="EH33" i="1" a="1"/>
  <c r="EH32" i="1" a="1"/>
  <c r="EH48" i="1" a="1"/>
  <c r="QR55" i="1" a="1"/>
  <c r="EH55" i="1" a="1"/>
  <c r="EH39" i="1" a="1"/>
  <c r="EI44" i="1" a="1"/>
  <c r="QR52" i="1" a="1"/>
  <c r="EH52" i="1" a="1"/>
  <c r="EI34" i="1" a="1"/>
  <c r="QR41" i="1" a="1"/>
  <c r="EH44" i="1" a="1"/>
  <c r="QR50" i="1" a="1"/>
  <c r="EH31" i="1" a="1"/>
  <c r="QR56" i="1" a="1"/>
  <c r="EI38" i="1" a="1"/>
  <c r="EH45" i="1" a="1"/>
  <c r="EI29" i="1" a="1"/>
  <c r="EI36" i="1" a="1"/>
  <c r="EI41" i="1" a="1"/>
  <c r="QR54" i="1" a="1"/>
  <c r="QR32" i="1" a="1"/>
  <c r="EI32" i="1" a="1"/>
  <c r="NG23" i="1" a="1"/>
  <c r="EH53" i="1" a="1"/>
  <c r="QR33" i="1" a="1"/>
  <c r="EI54" i="1" a="1"/>
  <c r="NR4" i="1" a="1"/>
  <c r="EH43" i="1" a="1"/>
  <c r="QR30" i="1" a="1"/>
  <c r="EH46" i="1" a="1"/>
  <c r="EH37" i="1" a="1"/>
  <c r="EI53" i="1" a="1"/>
  <c r="EI55" i="1" a="1"/>
  <c r="QR36" i="1" a="1"/>
  <c r="PC23" i="1" a="1"/>
  <c r="EI46" i="1" a="1"/>
  <c r="QR29" i="1" a="1"/>
  <c r="EH41" i="1" a="1"/>
  <c r="QR44" i="1" a="1"/>
  <c r="QR51" i="1" a="1"/>
  <c r="QR31" i="1" a="1"/>
  <c r="EI56" i="1" a="1"/>
  <c r="QR43" i="1" a="1"/>
  <c r="EI31" i="1" a="1"/>
  <c r="TJ23" i="1" a="1"/>
  <c r="EH34" i="1" a="1"/>
  <c r="EH50" i="1" a="1"/>
  <c r="QR57" i="1" a="1"/>
  <c r="EH36" i="1" a="1"/>
  <c r="QR40" i="1" a="1"/>
  <c r="EI33" i="1" a="1"/>
  <c r="QR42" i="1" a="1"/>
  <c r="EI48" i="1" a="1"/>
  <c r="QR38" i="1" a="1"/>
  <c r="EI51" i="1" a="1"/>
  <c r="EI40" i="1" a="1"/>
  <c r="QR46" i="1" a="1"/>
  <c r="EI49" i="1" a="1"/>
  <c r="QR53" i="1" a="1"/>
  <c r="EH42" i="1" a="1"/>
  <c r="EI37" i="1" a="1"/>
  <c r="EI28" i="1" a="1"/>
  <c r="EH38" i="1" a="1"/>
  <c r="EH35" i="1" a="1"/>
  <c r="EI50" i="1" a="1"/>
  <c r="PM4" i="1" a="1"/>
  <c r="QR47" i="1" a="1"/>
  <c r="QL4" i="1" a="1"/>
  <c r="EI39" i="1" a="1"/>
  <c r="EI43" i="1" a="1"/>
  <c r="EI35" i="1" a="1"/>
  <c r="EH57" i="1" a="1"/>
  <c r="EH56" i="1" a="1"/>
  <c r="EH49" i="1" a="1"/>
  <c r="EH29" i="1" a="1"/>
  <c r="QR39" i="1" a="1"/>
  <c r="EI42" i="1" a="1"/>
  <c r="QR28" i="1" a="1"/>
  <c r="EH51" i="1" a="1"/>
  <c r="EH28" i="1" a="1"/>
  <c r="QB23" i="1" a="1"/>
  <c r="QR49" i="1" a="1"/>
  <c r="EI57" i="1" a="1"/>
  <c r="QR48" i="1" a="1"/>
  <c r="NL48" i="1" a="1"/>
  <c r="NL53" i="1" a="1"/>
  <c r="NO50" i="1" a="1"/>
  <c r="NO39" i="1" a="1"/>
  <c r="UV30" i="1" a="1"/>
  <c r="UV48" i="1" a="1"/>
  <c r="RU54" i="1" a="1"/>
  <c r="CE40" i="1" a="1"/>
  <c r="CE30" i="1" a="1"/>
  <c r="PJ52" i="1" a="1"/>
  <c r="PJ40" i="1" a="1"/>
  <c r="PG34" i="1" a="1"/>
  <c r="PG54" i="1" a="1"/>
  <c r="SS52" i="1" a="1"/>
  <c r="RR32" i="1" a="1"/>
  <c r="RR48" i="1" a="1"/>
  <c r="AAW56" i="1" a="1"/>
  <c r="AAW34" i="1" a="1"/>
  <c r="SP45" i="1" a="1"/>
  <c r="SP32" i="1" a="1"/>
  <c r="DN34" i="1" a="1"/>
  <c r="DN47" i="1" a="1"/>
  <c r="TO54" i="1" a="1"/>
  <c r="TO36" i="1" a="1"/>
  <c r="UZ37" i="1" a="1"/>
  <c r="UZ32" i="1" a="1"/>
  <c r="ACG54" i="1" a="1"/>
  <c r="ACG33" i="1" a="1"/>
  <c r="ZW44" i="1" a="1"/>
  <c r="ZW50" i="1" a="1"/>
  <c r="VA36" i="1" a="1"/>
  <c r="VA39" i="1" a="1"/>
  <c r="VB50" i="1" a="1"/>
  <c r="VB33" i="1" a="1"/>
  <c r="DM36" i="1" a="1"/>
  <c r="SD44" i="1" a="1"/>
  <c r="SD56" i="1" a="1"/>
  <c r="DC29" i="1" a="1"/>
  <c r="DC57" i="1" a="1"/>
  <c r="ABK50" i="1" a="1"/>
  <c r="ABK39" i="1" a="1"/>
  <c r="TU23" i="1" a="1"/>
  <c r="NL34" i="1" a="1"/>
  <c r="NL33" i="1" a="1"/>
  <c r="NO29" i="1" a="1"/>
  <c r="NO33" i="1" a="1"/>
  <c r="UV57" i="1" a="1"/>
  <c r="RU50" i="1" a="1"/>
  <c r="RU41" i="1" a="1"/>
  <c r="CE33" i="1" a="1"/>
  <c r="CE51" i="1" a="1"/>
  <c r="PJ34" i="1" a="1"/>
  <c r="PJ38" i="1" a="1"/>
  <c r="PG45" i="1" a="1"/>
  <c r="SS30" i="1" a="1"/>
  <c r="SS53" i="1" a="1"/>
  <c r="RR49" i="1" a="1"/>
  <c r="RR51" i="1" a="1"/>
  <c r="AAW41" i="1" a="1"/>
  <c r="AAW50" i="1" a="1"/>
  <c r="SP33" i="1" a="1"/>
  <c r="SP51" i="1" a="1"/>
  <c r="DN51" i="1" a="1"/>
  <c r="DN29" i="1" a="1"/>
  <c r="TO40" i="1" a="1"/>
  <c r="TO30" i="1" a="1"/>
  <c r="UZ50" i="1" a="1"/>
  <c r="UZ28" i="1" a="1"/>
  <c r="ACG43" i="1" a="1"/>
  <c r="ACG50" i="1" a="1"/>
  <c r="ZW28" i="1" a="1"/>
  <c r="ZW53" i="1" a="1"/>
  <c r="VA34" i="1" a="1"/>
  <c r="VA45" i="1" a="1"/>
  <c r="VB31" i="1" a="1"/>
  <c r="DM57" i="1" a="1"/>
  <c r="DM34" i="1" a="1"/>
  <c r="SD28" i="1" a="1"/>
  <c r="SD53" i="1" a="1"/>
  <c r="DC42" i="1" a="1"/>
  <c r="DC45" i="1" a="1"/>
  <c r="ABK46" i="1" a="1"/>
  <c r="TR30" i="1" a="1"/>
  <c r="TR54" i="1" a="1"/>
  <c r="BG35" i="1" a="1"/>
  <c r="BG29" i="1" a="1"/>
  <c r="ACJ48" i="1" a="1"/>
  <c r="ACJ56" i="1" a="1"/>
  <c r="UY43" i="1" a="1"/>
  <c r="UY46" i="1" a="1"/>
  <c r="TE35" i="1" a="1"/>
  <c r="TE42" i="1" a="1"/>
  <c r="CQ47" i="1" a="1"/>
  <c r="CQ48" i="1" a="1"/>
  <c r="UT55" i="1" a="1"/>
  <c r="UT36" i="1" a="1"/>
  <c r="BJ32" i="1" a="1"/>
  <c r="BJ35" i="1" a="1"/>
  <c r="CH43" i="1" a="1"/>
  <c r="CH37" i="1" a="1"/>
  <c r="UU55" i="1" a="1"/>
  <c r="AAZ51" i="1" a="1"/>
  <c r="AAY52" i="1" a="1"/>
  <c r="AAY48" i="1" a="1"/>
  <c r="AAY30" i="1" a="1"/>
  <c r="BS39" i="1" a="1"/>
  <c r="BS40" i="1" a="1"/>
  <c r="VC47" i="1" a="1"/>
  <c r="VC39" i="1" a="1"/>
  <c r="DF44" i="1" a="1"/>
  <c r="QF32" i="1" a="1"/>
  <c r="QF46" i="1" a="1"/>
  <c r="QI55" i="1" a="1"/>
  <c r="QI35" i="1" a="1"/>
  <c r="UX48" i="1" a="1"/>
  <c r="UX42" i="1" a="1"/>
  <c r="BV41" i="1" a="1"/>
  <c r="BV48" i="1" a="1"/>
  <c r="CT29" i="1" a="1"/>
  <c r="CT48" i="1" a="1"/>
  <c r="NL49" i="1" a="1"/>
  <c r="NL54" i="1" a="1"/>
  <c r="NO28" i="1" a="1"/>
  <c r="UV28" i="1" a="1"/>
  <c r="UV39" i="1" a="1"/>
  <c r="RU32" i="1" a="1"/>
  <c r="RU52" i="1" a="1"/>
  <c r="CE32" i="1" a="1"/>
  <c r="CE41" i="1" a="1"/>
  <c r="PJ33" i="1" a="1"/>
  <c r="PJ31" i="1" a="1"/>
  <c r="PG29" i="1" a="1"/>
  <c r="PG52" i="1" a="1"/>
  <c r="SS51" i="1" a="1"/>
  <c r="SS29" i="1" a="1"/>
  <c r="RR50" i="1" a="1"/>
  <c r="RR35" i="1" a="1"/>
  <c r="AAW30" i="1" a="1"/>
  <c r="AAW40" i="1" a="1"/>
  <c r="SP53" i="1" a="1"/>
  <c r="SP29" i="1" a="1"/>
  <c r="DN46" i="1" a="1"/>
  <c r="TO33" i="1" a="1"/>
  <c r="TO42" i="1" a="1"/>
  <c r="UZ48" i="1" a="1"/>
  <c r="UZ38" i="1" a="1"/>
  <c r="ACG34" i="1" a="1"/>
  <c r="ACG45" i="1" a="1"/>
  <c r="ZW54" i="1" a="1"/>
  <c r="ZW29" i="1" a="1"/>
  <c r="VA43" i="1" a="1"/>
  <c r="VA44" i="1" a="1"/>
  <c r="VB54" i="1" a="1"/>
  <c r="VB57" i="1" a="1"/>
  <c r="DM32" i="1" a="1"/>
  <c r="DM45" i="1" a="1"/>
  <c r="SD50" i="1" a="1"/>
  <c r="SD31" i="1" a="1"/>
  <c r="DC30" i="1" a="1"/>
  <c r="DC36" i="1" a="1"/>
  <c r="ABK53" i="1" a="1"/>
  <c r="ABK54" i="1" a="1"/>
  <c r="TR40" i="1" a="1"/>
  <c r="TR48" i="1" a="1"/>
  <c r="BG51" i="1" a="1"/>
  <c r="BG37" i="1" a="1"/>
  <c r="ACJ38" i="1" a="1"/>
  <c r="ACJ32" i="1" a="1"/>
  <c r="UY52" i="1" a="1"/>
  <c r="TE57" i="1" a="1"/>
  <c r="TE32" i="1" a="1"/>
  <c r="CQ31" i="1" a="1"/>
  <c r="CQ33" i="1" a="1"/>
  <c r="UT44" i="1" a="1"/>
  <c r="UT47" i="1" a="1"/>
  <c r="BJ52" i="1" a="1"/>
  <c r="BJ41" i="1" a="1"/>
  <c r="CH42" i="1" a="1"/>
  <c r="CH47" i="1" a="1"/>
  <c r="UU48" i="1" a="1"/>
  <c r="AAZ57" i="1" a="1"/>
  <c r="AAY49" i="1" a="1"/>
  <c r="AAZ49" i="1" a="1"/>
  <c r="AAZ30" i="1" a="1"/>
  <c r="BS50" i="1" a="1"/>
  <c r="BS28" i="1" a="1"/>
  <c r="VC37" i="1" a="1"/>
  <c r="VC40" i="1" a="1"/>
  <c r="DF40" i="1" a="1"/>
  <c r="DF33" i="1" a="1"/>
  <c r="QF31" i="1" a="1"/>
  <c r="QI47" i="1" a="1"/>
  <c r="QI38" i="1" a="1"/>
  <c r="UX45" i="1" a="1"/>
  <c r="UX54" i="1" a="1"/>
  <c r="BV34" i="1" a="1"/>
  <c r="BV32" i="1" a="1"/>
  <c r="CT39" i="1" a="1"/>
  <c r="CT41" i="1" a="1"/>
  <c r="TB37" i="1" a="1"/>
  <c r="TB48" i="1" a="1"/>
  <c r="ABI42" i="1" a="1"/>
  <c r="UW50" i="1" a="1"/>
  <c r="UW28" i="1" a="1"/>
  <c r="SG55" i="1" a="1"/>
  <c r="SG44" i="1" a="1"/>
  <c r="NL46" i="1" a="1"/>
  <c r="NL57" i="1" a="1"/>
  <c r="NO44" i="1" a="1"/>
  <c r="NO35" i="1" a="1"/>
  <c r="UV51" i="1" a="1"/>
  <c r="UV38" i="1" a="1"/>
  <c r="RU42" i="1" a="1"/>
  <c r="RU30" i="1" a="1"/>
  <c r="CE50" i="1" a="1"/>
  <c r="CE38" i="1" a="1"/>
  <c r="PJ47" i="1" a="1"/>
  <c r="PJ45" i="1" a="1"/>
  <c r="PG43" i="1" a="1"/>
  <c r="PG39" i="1" a="1"/>
  <c r="SS43" i="1" a="1"/>
  <c r="SS28" i="1" a="1"/>
  <c r="RR39" i="1" a="1"/>
  <c r="AAW44" i="1" a="1"/>
  <c r="AAW42" i="1" a="1"/>
  <c r="SP50" i="1" a="1"/>
  <c r="SP35" i="1" a="1"/>
  <c r="DN42" i="1" a="1"/>
  <c r="DN30" i="1" a="1"/>
  <c r="TO52" i="1" a="1"/>
  <c r="UZ35" i="1" a="1"/>
  <c r="UZ55" i="1" a="1"/>
  <c r="ACG53" i="1" a="1"/>
  <c r="ACG32" i="1" a="1"/>
  <c r="ZW47" i="1" a="1"/>
  <c r="ZW55" i="1" a="1"/>
  <c r="VA35" i="1" a="1"/>
  <c r="VA32" i="1" a="1"/>
  <c r="VB55" i="1" a="1"/>
  <c r="VB46" i="1" a="1"/>
  <c r="DM33" i="1" a="1"/>
  <c r="DM28" i="1" a="1"/>
  <c r="SD49" i="1" a="1"/>
  <c r="SD40" i="1" a="1"/>
  <c r="DC31" i="1" a="1"/>
  <c r="DC43" i="1" a="1"/>
  <c r="ABK32" i="1" a="1"/>
  <c r="ABK37" i="1" a="1"/>
  <c r="TR32" i="1" a="1"/>
  <c r="TR50" i="1" a="1"/>
  <c r="BG33" i="1" a="1"/>
  <c r="ACJ53" i="1" a="1"/>
  <c r="ACJ37" i="1" a="1"/>
  <c r="UY39" i="1" a="1"/>
  <c r="UY44" i="1" a="1"/>
  <c r="TE54" i="1" a="1"/>
  <c r="TE45" i="1" a="1"/>
  <c r="CQ41" i="1" a="1"/>
  <c r="CQ49" i="1" a="1"/>
  <c r="UT34" i="1" a="1"/>
  <c r="UT30" i="1" a="1"/>
  <c r="BJ53" i="1" a="1"/>
  <c r="BJ57" i="1" a="1"/>
  <c r="CH28" i="1" a="1"/>
  <c r="UU54" i="1" a="1"/>
  <c r="UU32" i="1" a="1"/>
  <c r="AAY40" i="1" a="1"/>
  <c r="AAY44" i="1" a="1"/>
  <c r="AAZ55" i="1" a="1"/>
  <c r="AAZ34" i="1" a="1"/>
  <c r="BS45" i="1" a="1"/>
  <c r="BS52" i="1" a="1"/>
  <c r="VC31" i="1" a="1"/>
  <c r="VC53" i="1" a="1"/>
  <c r="DF30" i="1" a="1"/>
  <c r="DF32" i="1" a="1"/>
  <c r="QF34" i="1" a="1"/>
  <c r="QF48" i="1" a="1"/>
  <c r="QI41" i="1" a="1"/>
  <c r="QI32" i="1" a="1"/>
  <c r="UX46" i="1" a="1"/>
  <c r="UX36" i="1" a="1"/>
  <c r="BV54" i="1" a="1"/>
  <c r="CT45" i="1" a="1"/>
  <c r="CT56" i="1" a="1"/>
  <c r="TB29" i="1" a="1"/>
  <c r="TB50" i="1" a="1"/>
  <c r="ABI41" i="1" a="1"/>
  <c r="ABI50" i="1" a="1"/>
  <c r="UW39" i="1" a="1"/>
  <c r="UW38" i="1" a="1"/>
  <c r="SG39" i="1" a="1"/>
  <c r="SG43" i="1" a="1"/>
  <c r="NL40" i="1" a="1"/>
  <c r="NL41" i="1" a="1"/>
  <c r="NO30" i="1" a="1"/>
  <c r="NO41" i="1" a="1"/>
  <c r="UV43" i="1" a="1"/>
  <c r="UV55" i="1" a="1"/>
  <c r="RU31" i="1" a="1"/>
  <c r="NL36" i="1" a="1"/>
  <c r="NL30" i="1" a="1"/>
  <c r="NO54" i="1" a="1"/>
  <c r="NO42" i="1" a="1"/>
  <c r="UV54" i="1" a="1"/>
  <c r="UV47" i="1" a="1"/>
  <c r="RU34" i="1" a="1"/>
  <c r="RU47" i="1" a="1"/>
  <c r="CE43" i="1" a="1"/>
  <c r="CE47" i="1" a="1"/>
  <c r="PJ41" i="1" a="1"/>
  <c r="PG53" i="1" a="1"/>
  <c r="PG48" i="1" a="1"/>
  <c r="SS38" i="1" a="1"/>
  <c r="SS50" i="1" a="1"/>
  <c r="RR43" i="1" a="1"/>
  <c r="RR46" i="1" a="1"/>
  <c r="AAW46" i="1" a="1"/>
  <c r="AAW36" i="1" a="1"/>
  <c r="SP57" i="1" a="1"/>
  <c r="SP36" i="1" a="1"/>
  <c r="DN37" i="1" a="1"/>
  <c r="DN45" i="1" a="1"/>
  <c r="TO56" i="1" a="1"/>
  <c r="TO49" i="1" a="1"/>
  <c r="UZ33" i="1" a="1"/>
  <c r="UZ42" i="1" a="1"/>
  <c r="ACG47" i="1" a="1"/>
  <c r="ZW38" i="1" a="1"/>
  <c r="ZW31" i="1" a="1"/>
  <c r="VA54" i="1" a="1"/>
  <c r="VA56" i="1" a="1"/>
  <c r="VB41" i="1" a="1"/>
  <c r="VB44" i="1" a="1"/>
  <c r="DM30" i="1" a="1"/>
  <c r="DM38" i="1" a="1"/>
  <c r="SD43" i="1" a="1"/>
  <c r="SD46" i="1" a="1"/>
  <c r="DC41" i="1" a="1"/>
  <c r="ABK44" i="1" a="1"/>
  <c r="ABK35" i="1" a="1"/>
  <c r="TR52" i="1" a="1"/>
  <c r="TR39" i="1" a="1"/>
  <c r="BG43" i="1" a="1"/>
  <c r="BG41" i="1" a="1"/>
  <c r="ACJ54" i="1" a="1"/>
  <c r="ACJ52" i="1" a="1"/>
  <c r="UY48" i="1" a="1"/>
  <c r="UY32" i="1" a="1"/>
  <c r="TE36" i="1" a="1"/>
  <c r="TE48" i="1" a="1"/>
  <c r="CQ30" i="1" a="1"/>
  <c r="UT56" i="1" a="1"/>
  <c r="UT50" i="1" a="1"/>
  <c r="BJ45" i="1" a="1"/>
  <c r="BJ31" i="1" a="1"/>
  <c r="CH45" i="1" a="1"/>
  <c r="CH41" i="1" a="1"/>
  <c r="UU29" i="1" a="1"/>
  <c r="UU37" i="1" a="1"/>
  <c r="AAY47" i="1" a="1"/>
  <c r="AAZ44" i="1" a="1"/>
  <c r="AAZ56" i="1" a="1"/>
  <c r="AAZ29" i="1" a="1"/>
  <c r="BS41" i="1" a="1"/>
  <c r="BS36" i="1" a="1"/>
  <c r="VC50" i="1" a="1"/>
  <c r="DF51" i="1" a="1"/>
  <c r="DF49" i="1" a="1"/>
  <c r="QF37" i="1" a="1"/>
  <c r="QF47" i="1" a="1"/>
  <c r="QI49" i="1" a="1"/>
  <c r="QI48" i="1" a="1"/>
  <c r="UX50" i="1" a="1"/>
  <c r="UX33" i="1" a="1"/>
  <c r="BV42" i="1" a="1"/>
  <c r="BV57" i="1" a="1"/>
  <c r="CT47" i="1" a="1"/>
  <c r="NL43" i="1" a="1"/>
  <c r="NL31" i="1" a="1"/>
  <c r="NO57" i="1" a="1"/>
  <c r="NO31" i="1" a="1"/>
  <c r="UV35" i="1" a="1"/>
  <c r="UV44" i="1" a="1"/>
  <c r="RU29" i="1" a="1"/>
  <c r="RU33" i="1" a="1"/>
  <c r="CE42" i="1" a="1"/>
  <c r="CE37" i="1" a="1"/>
  <c r="PJ36" i="1" a="1"/>
  <c r="PJ55" i="1" a="1"/>
  <c r="PG30" i="1" a="1"/>
  <c r="PG41" i="1" a="1"/>
  <c r="SS44" i="1" a="1"/>
  <c r="SS37" i="1" a="1"/>
  <c r="RR53" i="1" a="1"/>
  <c r="RR42" i="1" a="1"/>
  <c r="AAW48" i="1" a="1"/>
  <c r="SP28" i="1" a="1"/>
  <c r="SP54" i="1" a="1"/>
  <c r="DN52" i="1" a="1"/>
  <c r="DN36" i="1" a="1"/>
  <c r="TO51" i="1" a="1"/>
  <c r="TO48" i="1" a="1"/>
  <c r="UZ47" i="1" a="1"/>
  <c r="UZ31" i="1" a="1"/>
  <c r="ACG37" i="1" a="1"/>
  <c r="ACG51" i="1" a="1"/>
  <c r="ZW43" i="1" a="1"/>
  <c r="ZW36" i="1" a="1"/>
  <c r="VA48" i="1" a="1"/>
  <c r="VA52" i="1" a="1"/>
  <c r="VB30" i="1" a="1"/>
  <c r="VB49" i="1" a="1"/>
  <c r="DM49" i="1" a="1"/>
  <c r="DM44" i="1" a="1"/>
  <c r="SD55" i="1" a="1"/>
  <c r="SD47" i="1" a="1"/>
  <c r="DC48" i="1" a="1"/>
  <c r="DC38" i="1" a="1"/>
  <c r="ABK31" i="1" a="1"/>
  <c r="ABK52" i="1" a="1"/>
  <c r="TR42" i="1" a="1"/>
  <c r="TR43" i="1" a="1"/>
  <c r="BG53" i="1" a="1"/>
  <c r="BG52" i="1" a="1"/>
  <c r="ACJ41" i="1" a="1"/>
  <c r="UY35" i="1" a="1"/>
  <c r="UY55" i="1" a="1"/>
  <c r="TE41" i="1" a="1"/>
  <c r="TE56" i="1" a="1"/>
  <c r="CQ37" i="1" a="1"/>
  <c r="CQ42" i="1" a="1"/>
  <c r="UT51" i="1" a="1"/>
  <c r="UT39" i="1" a="1"/>
  <c r="BJ43" i="1" a="1"/>
  <c r="BJ29" i="1" a="1"/>
  <c r="CH44" i="1" a="1"/>
  <c r="UU36" i="1" a="1"/>
  <c r="UU39" i="1" a="1"/>
  <c r="AAZ48" i="1" a="1"/>
  <c r="AAY45" i="1" a="1"/>
  <c r="AAY39" i="1" a="1"/>
  <c r="AAZ35" i="1" a="1"/>
  <c r="BS44" i="1" a="1"/>
  <c r="BS43" i="1" a="1"/>
  <c r="VC52" i="1" a="1"/>
  <c r="VC38" i="1" a="1"/>
  <c r="DF55" i="1" a="1"/>
  <c r="QF38" i="1" a="1"/>
  <c r="QF29" i="1" a="1"/>
  <c r="QI39" i="1" a="1"/>
  <c r="QI36" i="1" a="1"/>
  <c r="UX56" i="1" a="1"/>
  <c r="UX51" i="1" a="1"/>
  <c r="BV45" i="1" a="1"/>
  <c r="BV50" i="1" a="1"/>
  <c r="CT28" i="1" a="1"/>
  <c r="CT38" i="1" a="1"/>
  <c r="TB40" i="1" a="1"/>
  <c r="ABI47" i="1" a="1"/>
  <c r="ABI40" i="1" a="1"/>
  <c r="UW48" i="1" a="1"/>
  <c r="UW36" i="1" a="1"/>
  <c r="SG37" i="1" a="1"/>
  <c r="SG35" i="1" a="1"/>
  <c r="NL42" i="1" a="1"/>
  <c r="NL37" i="1" a="1"/>
  <c r="NO53" i="1" a="1"/>
  <c r="UV29" i="1" a="1"/>
  <c r="UV37" i="1" a="1"/>
  <c r="RU43" i="1" a="1"/>
  <c r="RU37" i="1" a="1"/>
  <c r="CE49" i="1" a="1"/>
  <c r="CE55" i="1" a="1"/>
  <c r="PJ37" i="1" a="1"/>
  <c r="PJ56" i="1" a="1"/>
  <c r="PG28" i="1" a="1"/>
  <c r="PG33" i="1" a="1"/>
  <c r="SS31" i="1" a="1"/>
  <c r="SS54" i="1" a="1"/>
  <c r="RR28" i="1" a="1"/>
  <c r="RR41" i="1" a="1"/>
  <c r="AAW35" i="1" a="1"/>
  <c r="AAW33" i="1" a="1"/>
  <c r="SP43" i="1" a="1"/>
  <c r="SP31" i="1" a="1"/>
  <c r="DN50" i="1" a="1"/>
  <c r="TO38" i="1" a="1"/>
  <c r="TO44" i="1" a="1"/>
  <c r="UZ52" i="1" a="1"/>
  <c r="UZ53" i="1" a="1"/>
  <c r="ACG39" i="1" a="1"/>
  <c r="ACG56" i="1" a="1"/>
  <c r="ZW57" i="1" a="1"/>
  <c r="ZW34" i="1" a="1"/>
  <c r="VA47" i="1" a="1"/>
  <c r="VA31" i="1" a="1"/>
  <c r="VB51" i="1" a="1"/>
  <c r="VB40" i="1" a="1"/>
  <c r="DM52" i="1" a="1"/>
  <c r="DM35" i="1" a="1"/>
  <c r="SD51" i="1" a="1"/>
  <c r="SD54" i="1" a="1"/>
  <c r="DC56" i="1" a="1"/>
  <c r="DC34" i="1" a="1"/>
  <c r="ABK40" i="1" a="1"/>
  <c r="ABK29" i="1" a="1"/>
  <c r="TR31" i="1" a="1"/>
  <c r="BG28" i="1" a="1"/>
  <c r="BG44" i="1" a="1"/>
  <c r="ACJ44" i="1" a="1"/>
  <c r="ACJ34" i="1" a="1"/>
  <c r="UY47" i="1" a="1"/>
  <c r="UY28" i="1" a="1"/>
  <c r="TE37" i="1" a="1"/>
  <c r="TE44" i="1" a="1"/>
  <c r="CQ35" i="1" a="1"/>
  <c r="CQ56" i="1" a="1"/>
  <c r="UT46" i="1" a="1"/>
  <c r="UT29" i="1" a="1"/>
  <c r="BJ38" i="1" a="1"/>
  <c r="CH33" i="1" a="1"/>
  <c r="CH31" i="1" a="1"/>
  <c r="UU49" i="1" a="1"/>
  <c r="UU42" i="1" a="1"/>
  <c r="AAZ37" i="1" a="1"/>
  <c r="AAZ38" i="1" a="1"/>
  <c r="AAZ53" i="1" a="1"/>
  <c r="AAZ31" i="1" a="1"/>
  <c r="BS55" i="1" a="1"/>
  <c r="BS33" i="1" a="1"/>
  <c r="VC34" i="1" a="1"/>
  <c r="VC36" i="1" a="1"/>
  <c r="DF47" i="1" a="1"/>
  <c r="DF45" i="1" a="1"/>
  <c r="QF43" i="1" a="1"/>
  <c r="NO55" i="1" a="1"/>
  <c r="RU51" i="1" a="1"/>
  <c r="PJ51" i="1" a="1"/>
  <c r="SS36" i="1" a="1"/>
  <c r="AAW37" i="1" a="1"/>
  <c r="DN49" i="1" a="1"/>
  <c r="ACG49" i="1" a="1"/>
  <c r="VA42" i="1" a="1"/>
  <c r="DM51" i="1" a="1"/>
  <c r="DC52" i="1" a="1"/>
  <c r="TR53" i="1" a="1"/>
  <c r="BG56" i="1" a="1"/>
  <c r="ACJ45" i="1" a="1"/>
  <c r="UY34" i="1" a="1"/>
  <c r="TE47" i="1" a="1"/>
  <c r="CQ32" i="1" a="1"/>
  <c r="UT45" i="1" a="1"/>
  <c r="BJ33" i="1" a="1"/>
  <c r="CH30" i="1" a="1"/>
  <c r="UU28" i="1" a="1"/>
  <c r="AAZ36" i="1" a="1"/>
  <c r="BS53" i="1" a="1"/>
  <c r="VC33" i="1" a="1"/>
  <c r="DF57" i="1" a="1"/>
  <c r="QF42" i="1" a="1"/>
  <c r="QI54" i="1" a="1"/>
  <c r="UX34" i="1" a="1"/>
  <c r="BV43" i="1" a="1"/>
  <c r="CT34" i="1" a="1"/>
  <c r="NL39" i="1" a="1"/>
  <c r="NO56" i="1" a="1"/>
  <c r="UV46" i="1" a="1"/>
  <c r="CE34" i="1" a="1"/>
  <c r="PJ53" i="1" a="1"/>
  <c r="PG38" i="1" a="1"/>
  <c r="SS49" i="1" a="1"/>
  <c r="RR38" i="1" a="1"/>
  <c r="AAW28" i="1" a="1"/>
  <c r="SP47" i="1" a="1"/>
  <c r="DN38" i="1" a="1"/>
  <c r="TO39" i="1" a="1"/>
  <c r="UZ36" i="1" a="1"/>
  <c r="ACG55" i="1" a="1"/>
  <c r="ZW40" i="1" a="1"/>
  <c r="VA57" i="1" a="1"/>
  <c r="VB37" i="1" a="1"/>
  <c r="DM41" i="1" a="1"/>
  <c r="SD35" i="1" a="1"/>
  <c r="DC47" i="1" a="1"/>
  <c r="ABK36" i="1" a="1"/>
  <c r="TR38" i="1" a="1"/>
  <c r="BG30" i="1" a="1"/>
  <c r="ACJ46" i="1" a="1"/>
  <c r="UY30" i="1" a="1"/>
  <c r="CQ52" i="1" a="1"/>
  <c r="UT48" i="1" a="1"/>
  <c r="BJ36" i="1" a="1"/>
  <c r="CH48" i="1" a="1"/>
  <c r="UU31" i="1" a="1"/>
  <c r="AAY55" i="1" a="1"/>
  <c r="AAY32" i="1" a="1"/>
  <c r="BS42" i="1" a="1"/>
  <c r="VC32" i="1" a="1"/>
  <c r="DF48" i="1" a="1"/>
  <c r="QF44" i="1" a="1"/>
  <c r="QI45" i="1" a="1"/>
  <c r="UX35" i="1" a="1"/>
  <c r="CT37" i="1" a="1"/>
  <c r="TB53" i="1" a="1"/>
  <c r="ABI48" i="1" a="1"/>
  <c r="UW40" i="1" a="1"/>
  <c r="SG48" i="1" a="1"/>
  <c r="NL32" i="1" a="1"/>
  <c r="NO38" i="1" a="1"/>
  <c r="UV34" i="1" a="1"/>
  <c r="RU46" i="1" a="1"/>
  <c r="CE57" i="1" a="1"/>
  <c r="PJ49" i="1" a="1"/>
  <c r="PG47" i="1" a="1"/>
  <c r="SS40" i="1" a="1"/>
  <c r="RR40" i="1" a="1"/>
  <c r="SP34" i="1" a="1"/>
  <c r="DN35" i="1" a="1"/>
  <c r="TO37" i="1" a="1"/>
  <c r="UZ34" i="1" a="1"/>
  <c r="ACG57" i="1" a="1"/>
  <c r="ZW32" i="1" a="1"/>
  <c r="VA40" i="1" a="1"/>
  <c r="VB28" i="1" a="1"/>
  <c r="DM37" i="1" a="1"/>
  <c r="SD41" i="1" a="1"/>
  <c r="DC49" i="1" a="1"/>
  <c r="ABK42" i="1" a="1"/>
  <c r="TR33" i="1" a="1"/>
  <c r="BG32" i="1" a="1"/>
  <c r="UY41" i="1" a="1"/>
  <c r="TE28" i="1" a="1"/>
  <c r="CQ46" i="1" a="1"/>
  <c r="UT49" i="1" a="1"/>
  <c r="BJ54" i="1" a="1"/>
  <c r="CH39" i="1" a="1"/>
  <c r="UU45" i="1" a="1"/>
  <c r="AAZ46" i="1" a="1"/>
  <c r="AAY34" i="1" a="1"/>
  <c r="BS46" i="1" a="1"/>
  <c r="VC30" i="1" a="1"/>
  <c r="DF34" i="1" a="1"/>
  <c r="QF39" i="1" a="1"/>
  <c r="QI31" i="1" a="1"/>
  <c r="UX55" i="1" a="1"/>
  <c r="UX38" i="1" a="1"/>
  <c r="BV56" i="1" a="1"/>
  <c r="CT53" i="1" a="1"/>
  <c r="CT50" i="1" a="1"/>
  <c r="TB54" i="1" a="1"/>
  <c r="ABI57" i="1" a="1"/>
  <c r="UW42" i="1" a="1"/>
  <c r="UW34" i="1" a="1"/>
  <c r="SG46" i="1" a="1"/>
  <c r="NL52" i="1" a="1"/>
  <c r="NL29" i="1" a="1"/>
  <c r="NO47" i="1" a="1"/>
  <c r="UV49" i="1" a="1"/>
  <c r="RU48" i="1" a="1"/>
  <c r="RU53" i="1" a="1"/>
  <c r="CE28" i="1" a="1"/>
  <c r="CE52" i="1" a="1"/>
  <c r="PJ30" i="1" a="1"/>
  <c r="PJ50" i="1" a="1"/>
  <c r="PG36" i="1" a="1"/>
  <c r="SS56" i="1" a="1"/>
  <c r="SS57" i="1" a="1"/>
  <c r="RR36" i="1" a="1"/>
  <c r="RR52" i="1" a="1"/>
  <c r="AAW52" i="1" a="1"/>
  <c r="AAW45" i="1" a="1"/>
  <c r="SP49" i="1" a="1"/>
  <c r="SP55" i="1" a="1"/>
  <c r="DN55" i="1" a="1"/>
  <c r="DN41" i="1" a="1"/>
  <c r="TO29" i="1" a="1"/>
  <c r="TO32" i="1" a="1"/>
  <c r="UZ51" i="1" a="1"/>
  <c r="UZ56" i="1" a="1"/>
  <c r="ACG36" i="1" a="1"/>
  <c r="ZW52" i="1" a="1"/>
  <c r="ZW49" i="1" a="1"/>
  <c r="VA50" i="1" a="1"/>
  <c r="VA41" i="1" a="1"/>
  <c r="VB42" i="1" a="1"/>
  <c r="NO36" i="1" a="1"/>
  <c r="RU35" i="1" a="1"/>
  <c r="PG40" i="1" a="1"/>
  <c r="RR31" i="1" a="1"/>
  <c r="SP37" i="1" a="1"/>
  <c r="TO47" i="1" a="1"/>
  <c r="ACG41" i="1" a="1"/>
  <c r="VA28" i="1" a="1"/>
  <c r="DM55" i="1" a="1"/>
  <c r="ABK30" i="1" a="1"/>
  <c r="TR47" i="1" a="1"/>
  <c r="BG46" i="1" a="1"/>
  <c r="ACJ28" i="1" a="1"/>
  <c r="UY49" i="1" a="1"/>
  <c r="CQ40" i="1" a="1"/>
  <c r="UT28" i="1" a="1"/>
  <c r="BJ46" i="1" a="1"/>
  <c r="CH40" i="1" a="1"/>
  <c r="UU56" i="1" a="1"/>
  <c r="AAZ54" i="1" a="1"/>
  <c r="AAZ50" i="1" a="1"/>
  <c r="BS34" i="1" a="1"/>
  <c r="VC57" i="1" a="1"/>
  <c r="DF35" i="1" a="1"/>
  <c r="QF41" i="1" a="1"/>
  <c r="UX39" i="1" a="1"/>
  <c r="BV51" i="1" a="1"/>
  <c r="CT32" i="1" a="1"/>
  <c r="NL55" i="1" a="1"/>
  <c r="NO37" i="1" a="1"/>
  <c r="UV33" i="1" a="1"/>
  <c r="RU36" i="1" a="1"/>
  <c r="CE39" i="1" a="1"/>
  <c r="PJ48" i="1" a="1"/>
  <c r="PG50" i="1" a="1"/>
  <c r="SS33" i="1" a="1"/>
  <c r="RR37" i="1" a="1"/>
  <c r="AAW49" i="1" a="1"/>
  <c r="SP39" i="1" a="1"/>
  <c r="DN48" i="1" a="1"/>
  <c r="TO43" i="1" a="1"/>
  <c r="UZ40" i="1" a="1"/>
  <c r="ACG38" i="1" a="1"/>
  <c r="ZW41" i="1" a="1"/>
  <c r="VA46" i="1" a="1"/>
  <c r="VB38" i="1" a="1"/>
  <c r="DM42" i="1" a="1"/>
  <c r="SD37" i="1" a="1"/>
  <c r="DC33" i="1" a="1"/>
  <c r="TR45" i="1" a="1"/>
  <c r="BG47" i="1" a="1"/>
  <c r="ACJ42" i="1" a="1"/>
  <c r="UY42" i="1" a="1"/>
  <c r="TE40" i="1" a="1"/>
  <c r="CQ45" i="1" a="1"/>
  <c r="UT52" i="1" a="1"/>
  <c r="BJ48" i="1" a="1"/>
  <c r="CH49" i="1" a="1"/>
  <c r="UU34" i="1" a="1"/>
  <c r="AAY54" i="1" a="1"/>
  <c r="BS32" i="1" a="1"/>
  <c r="VC29" i="1" a="1"/>
  <c r="DF56" i="1" a="1"/>
  <c r="QF57" i="1" a="1"/>
  <c r="QI40" i="1" a="1"/>
  <c r="UX44" i="1" a="1"/>
  <c r="BV55" i="1" a="1"/>
  <c r="CT42" i="1" a="1"/>
  <c r="TB46" i="1" a="1"/>
  <c r="ABI32" i="1" a="1"/>
  <c r="UW57" i="1" a="1"/>
  <c r="SG42" i="1" a="1"/>
  <c r="NO51" i="1" a="1"/>
  <c r="UV32" i="1" a="1"/>
  <c r="RU39" i="1" a="1"/>
  <c r="CE54" i="1" a="1"/>
  <c r="PJ46" i="1" a="1"/>
  <c r="PG31" i="1" a="1"/>
  <c r="SS39" i="1" a="1"/>
  <c r="RR29" i="1" a="1"/>
  <c r="AAW54" i="1" a="1"/>
  <c r="SP46" i="1" a="1"/>
  <c r="DN44" i="1" a="1"/>
  <c r="TO46" i="1" a="1"/>
  <c r="UZ49" i="1" a="1"/>
  <c r="ACG35" i="1" a="1"/>
  <c r="ZW42" i="1" a="1"/>
  <c r="VB43" i="1" a="1"/>
  <c r="DM53" i="1" a="1"/>
  <c r="SD48" i="1" a="1"/>
  <c r="DC44" i="1" a="1"/>
  <c r="ABK33" i="1" a="1"/>
  <c r="TR35" i="1" a="1"/>
  <c r="BG36" i="1" a="1"/>
  <c r="ACJ39" i="1" a="1"/>
  <c r="UY31" i="1" a="1"/>
  <c r="TE30" i="1" a="1"/>
  <c r="CQ55" i="1" a="1"/>
  <c r="UT43" i="1" a="1"/>
  <c r="BJ51" i="1" a="1"/>
  <c r="CH50" i="1" a="1"/>
  <c r="UU46" i="1" a="1"/>
  <c r="AAY56" i="1" a="1"/>
  <c r="BS48" i="1" a="1"/>
  <c r="VC55" i="1" a="1"/>
  <c r="DF50" i="1" a="1"/>
  <c r="QF52" i="1" a="1"/>
  <c r="QF35" i="1" a="1"/>
  <c r="QI52" i="1" a="1"/>
  <c r="UX41" i="1" a="1"/>
  <c r="BV46" i="1" a="1"/>
  <c r="BV53" i="1" a="1"/>
  <c r="CT40" i="1" a="1"/>
  <c r="TB57" i="1" a="1"/>
  <c r="TB51" i="1" a="1"/>
  <c r="ABI43" i="1" a="1"/>
  <c r="UW55" i="1" a="1"/>
  <c r="UW29" i="1" a="1"/>
  <c r="SG54" i="1" a="1"/>
  <c r="NL56" i="1" a="1"/>
  <c r="NO32" i="1" a="1"/>
  <c r="NO46" i="1" a="1"/>
  <c r="UV56" i="1" a="1"/>
  <c r="RU57" i="1" a="1"/>
  <c r="RU40" i="1" a="1"/>
  <c r="CE29" i="1" a="1"/>
  <c r="CE44" i="1" a="1"/>
  <c r="PJ42" i="1" a="1"/>
  <c r="PG32" i="1" a="1"/>
  <c r="PG56" i="1" a="1"/>
  <c r="SS34" i="1" a="1"/>
  <c r="SS42" i="1" a="1"/>
  <c r="RR57" i="1" a="1"/>
  <c r="RR33" i="1" a="1"/>
  <c r="AAW38" i="1" a="1"/>
  <c r="AAW31" i="1" a="1"/>
  <c r="SP30" i="1" a="1"/>
  <c r="SP38" i="1" a="1"/>
  <c r="DN39" i="1" a="1"/>
  <c r="DN28" i="1" a="1"/>
  <c r="TO28" i="1" a="1"/>
  <c r="UZ46" i="1" a="1"/>
  <c r="UZ41" i="1" a="1"/>
  <c r="ACG29" i="1" a="1"/>
  <c r="ACG46" i="1" a="1"/>
  <c r="ZW33" i="1" a="1"/>
  <c r="ZW39" i="1" a="1"/>
  <c r="VA55" i="1" a="1"/>
  <c r="VA37" i="1" a="1"/>
  <c r="VB52" i="1" a="1"/>
  <c r="DM39" i="1" a="1"/>
  <c r="DM40" i="1" a="1"/>
  <c r="SD34" i="1" a="1"/>
  <c r="SD32" i="1" a="1"/>
  <c r="DC40" i="1" a="1"/>
  <c r="DC46" i="1" a="1"/>
  <c r="ABK57" i="1" a="1"/>
  <c r="ABK28" i="1" a="1"/>
  <c r="TR37" i="1" a="1"/>
  <c r="BG55" i="1" a="1"/>
  <c r="BG38" i="1" a="1"/>
  <c r="ACJ55" i="1" a="1"/>
  <c r="ACJ43" i="1" a="1"/>
  <c r="UY40" i="1" a="1"/>
  <c r="UY56" i="1" a="1"/>
  <c r="TE50" i="1" a="1"/>
  <c r="TE52" i="1" a="1"/>
  <c r="CQ43" i="1" a="1"/>
  <c r="CQ34" i="1" a="1"/>
  <c r="UT31" i="1" a="1"/>
  <c r="UT40" i="1" a="1"/>
  <c r="BJ47" i="1" a="1"/>
  <c r="BJ42" i="1" a="1"/>
  <c r="CH38" i="1" a="1"/>
  <c r="CH55" i="1" a="1"/>
  <c r="UU47" i="1" a="1"/>
  <c r="UU40" i="1" a="1"/>
  <c r="AAY38" i="1" a="1"/>
  <c r="AAZ52" i="1" a="1"/>
  <c r="AAY35" i="1" a="1"/>
  <c r="BS37" i="1" a="1"/>
  <c r="BS49" i="1" a="1"/>
  <c r="VC49" i="1" a="1"/>
  <c r="VC41" i="1" a="1"/>
  <c r="DF31" i="1" a="1"/>
  <c r="DF39" i="1" a="1"/>
  <c r="QF49" i="1" a="1"/>
  <c r="QF51" i="1" a="1"/>
  <c r="QI44" i="1" a="1"/>
  <c r="QI56" i="1" a="1"/>
  <c r="UX43" i="1" a="1"/>
  <c r="BV29" i="1" a="1"/>
  <c r="BV33" i="1" a="1"/>
  <c r="CT55" i="1" a="1"/>
  <c r="CT35" i="1" a="1"/>
  <c r="TB36" i="1" a="1"/>
  <c r="TB42" i="1" a="1"/>
  <c r="ABI46" i="1" a="1"/>
  <c r="ABI51" i="1" a="1"/>
  <c r="UW46" i="1" a="1"/>
  <c r="UW37" i="1" a="1"/>
  <c r="SG31" i="1" a="1"/>
  <c r="SG57" i="1" a="1"/>
  <c r="TB38" i="1" a="1"/>
  <c r="HW8" i="1"/>
  <c r="AX8" i="1"/>
  <c r="HZ8" i="1"/>
  <c r="ACE8" i="1"/>
  <c r="AAB8" i="1"/>
  <c r="KU8" i="1"/>
  <c r="IC8" i="1"/>
  <c r="AT8" i="1"/>
  <c r="UU8" i="1"/>
  <c r="LJ8" i="1"/>
  <c r="JG8" i="1"/>
  <c r="XS8" i="1"/>
  <c r="LU8" i="1"/>
  <c r="RX8" i="1"/>
  <c r="QO8" i="1"/>
  <c r="WY8" i="1"/>
  <c r="TC8" i="1"/>
  <c r="RQ8" i="1"/>
  <c r="UT8" i="1"/>
  <c r="UV8" i="1"/>
  <c r="AAL8" i="1"/>
  <c r="ND8" i="1"/>
  <c r="GJ8" i="1"/>
  <c r="UK8" i="1"/>
  <c r="XQ8" i="1"/>
  <c r="NJ8" i="1"/>
  <c r="AB8" i="1"/>
  <c r="FY8" i="1"/>
  <c r="ABR8" i="1"/>
  <c r="DA8" i="1"/>
  <c r="ACG8" i="1"/>
  <c r="ST8" i="1"/>
  <c r="BT8" i="1"/>
  <c r="IK8" i="1"/>
  <c r="KW8" i="1"/>
  <c r="ABX8" i="1"/>
  <c r="DT8" i="1"/>
  <c r="ZA8" i="1"/>
  <c r="TV8" i="1"/>
  <c r="ACC8" i="1"/>
  <c r="RY8" i="1"/>
  <c r="XL8" i="1"/>
  <c r="PP8" i="1"/>
  <c r="SM8" i="1"/>
  <c r="DJ8" i="1"/>
  <c r="OZ8" i="1"/>
  <c r="SH8" i="1"/>
  <c r="OD8" i="1"/>
  <c r="QY8" i="1"/>
  <c r="VY8" i="1"/>
  <c r="LM8" i="1"/>
  <c r="NL28" i="1" a="1"/>
  <c r="UV52" i="1" a="1"/>
  <c r="CE46" i="1" a="1"/>
  <c r="PG51" i="1" a="1"/>
  <c r="RR47" i="1" a="1"/>
  <c r="SP56" i="1" a="1"/>
  <c r="TO31" i="1" a="1"/>
  <c r="ZW45" i="1" a="1"/>
  <c r="VB48" i="1" a="1"/>
  <c r="SD45" i="1" a="1"/>
  <c r="ABK55" i="1" a="1"/>
  <c r="TR51" i="1" a="1"/>
  <c r="BG31" i="1" a="1"/>
  <c r="ACJ29" i="1" a="1"/>
  <c r="TE43" i="1" a="1"/>
  <c r="CQ57" i="1" a="1"/>
  <c r="UT37" i="1" a="1"/>
  <c r="BJ37" i="1" a="1"/>
  <c r="CH51" i="1" a="1"/>
  <c r="UU52" i="1" a="1"/>
  <c r="AAZ43" i="1" a="1"/>
  <c r="AAY31" i="1" a="1"/>
  <c r="BS57" i="1" a="1"/>
  <c r="VC56" i="1" a="1"/>
  <c r="DF36" i="1" a="1"/>
  <c r="QI42" i="1" a="1"/>
  <c r="UX37" i="1" a="1"/>
  <c r="BV52" i="1" a="1"/>
  <c r="CT36" i="1" a="1"/>
  <c r="NL50" i="1" a="1"/>
  <c r="NO48" i="1" a="1"/>
  <c r="UV41" i="1" a="1"/>
  <c r="RU28" i="1" a="1"/>
  <c r="CE36" i="1" a="1"/>
  <c r="PJ39" i="1" a="1"/>
  <c r="PG49" i="1" a="1"/>
  <c r="SS41" i="1" a="1"/>
  <c r="RR44" i="1" a="1"/>
  <c r="AAW47" i="1" a="1"/>
  <c r="SP41" i="1" a="1"/>
  <c r="DN40" i="1" a="1"/>
  <c r="TO55" i="1" a="1"/>
  <c r="ACG42" i="1" a="1"/>
  <c r="ZW46" i="1" a="1"/>
  <c r="VA49" i="1" a="1"/>
  <c r="VB36" i="1" a="1"/>
  <c r="DM47" i="1" a="1"/>
  <c r="SD42" i="1" a="1"/>
  <c r="DC54" i="1" a="1"/>
  <c r="ABK51" i="1" a="1"/>
  <c r="TR56" i="1" a="1"/>
  <c r="BG42" i="1" a="1"/>
  <c r="ACJ47" i="1" a="1"/>
  <c r="UY29" i="1" a="1"/>
  <c r="TE51" i="1" a="1"/>
  <c r="CQ38" i="1" a="1"/>
  <c r="UT42" i="1" a="1"/>
  <c r="BJ55" i="1" a="1"/>
  <c r="CH54" i="1" a="1"/>
  <c r="UU30" i="1" a="1"/>
  <c r="AAY57" i="1" a="1"/>
  <c r="BS29" i="1" a="1"/>
  <c r="VC48" i="1" a="1"/>
  <c r="DF52" i="1" a="1"/>
  <c r="QF33" i="1" a="1"/>
  <c r="QI29" i="1" a="1"/>
  <c r="UX57" i="1" a="1"/>
  <c r="BV38" i="1" a="1"/>
  <c r="CT33" i="1" a="1"/>
  <c r="TB33" i="1" a="1"/>
  <c r="ABI53" i="1" a="1"/>
  <c r="SG36" i="1" a="1"/>
  <c r="NL44" i="1" a="1"/>
  <c r="NO43" i="1" a="1"/>
  <c r="UV40" i="1" a="1"/>
  <c r="RU45" i="1" a="1"/>
  <c r="CE56" i="1" a="1"/>
  <c r="PJ44" i="1" a="1"/>
  <c r="PG37" i="1" a="1"/>
  <c r="SS45" i="1" a="1"/>
  <c r="RR56" i="1" a="1"/>
  <c r="AAW51" i="1" a="1"/>
  <c r="SP48" i="1" a="1"/>
  <c r="DN54" i="1" a="1"/>
  <c r="TO41" i="1" a="1"/>
  <c r="UZ54" i="1" a="1"/>
  <c r="ACG28" i="1" a="1"/>
  <c r="VA51" i="1" a="1"/>
  <c r="VB45" i="1" a="1"/>
  <c r="DM31" i="1" a="1"/>
  <c r="SD29" i="1" a="1"/>
  <c r="DC32" i="1" a="1"/>
  <c r="ABK47" i="1" a="1"/>
  <c r="TR34" i="1" a="1"/>
  <c r="BG45" i="1" a="1"/>
  <c r="ACJ33" i="1" a="1"/>
  <c r="UY36" i="1" a="1"/>
  <c r="TE38" i="1" a="1"/>
  <c r="CQ44" i="1" a="1"/>
  <c r="UT38" i="1" a="1"/>
  <c r="BJ40" i="1" a="1"/>
  <c r="CH56" i="1" a="1"/>
  <c r="UU51" i="1" a="1"/>
  <c r="AAY53" i="1" a="1"/>
  <c r="BS47" i="1" a="1"/>
  <c r="VC35" i="1" a="1"/>
  <c r="DF53" i="1" a="1"/>
  <c r="QF50" i="1" a="1"/>
  <c r="QI34" i="1" a="1"/>
  <c r="QI43" i="1" a="1"/>
  <c r="UX29" i="1" a="1"/>
  <c r="BV31" i="1" a="1"/>
  <c r="BV40" i="1" a="1"/>
  <c r="CT43" i="1" a="1"/>
  <c r="TB56" i="1" a="1"/>
  <c r="TB32" i="1" a="1"/>
  <c r="ABI44" i="1" a="1"/>
  <c r="UW53" i="1" a="1"/>
  <c r="SG32" i="1" a="1"/>
  <c r="SG34" i="1" a="1"/>
  <c r="NL51" i="1" a="1"/>
  <c r="NO52" i="1" a="1"/>
  <c r="NO45" i="1" a="1"/>
  <c r="UV50" i="1" a="1"/>
  <c r="RU49" i="1" a="1"/>
  <c r="RU44" i="1" a="1"/>
  <c r="CE53" i="1" a="1"/>
  <c r="PJ35" i="1" a="1"/>
  <c r="PJ57" i="1" a="1"/>
  <c r="PG46" i="1" a="1"/>
  <c r="PG35" i="1" a="1"/>
  <c r="SS46" i="1" a="1"/>
  <c r="SS55" i="1" a="1"/>
  <c r="RR30" i="1" a="1"/>
  <c r="RR55" i="1" a="1"/>
  <c r="AAW29" i="1" a="1"/>
  <c r="AAW53" i="1" a="1"/>
  <c r="SP42" i="1" a="1"/>
  <c r="DN53" i="1" a="1"/>
  <c r="DN33" i="1" a="1"/>
  <c r="TO34" i="1" a="1"/>
  <c r="TO45" i="1" a="1"/>
  <c r="UZ43" i="1" a="1"/>
  <c r="UZ44" i="1" a="1"/>
  <c r="ACG44" i="1" a="1"/>
  <c r="ACG52" i="1" a="1"/>
  <c r="ZW35" i="1" a="1"/>
  <c r="ZW56" i="1" a="1"/>
  <c r="VA53" i="1" a="1"/>
  <c r="VB56" i="1" a="1"/>
  <c r="VB47" i="1" a="1"/>
  <c r="DM54" i="1" a="1"/>
  <c r="DM56" i="1" a="1"/>
  <c r="SD38" i="1" a="1"/>
  <c r="SD57" i="1" a="1"/>
  <c r="DC37" i="1" a="1"/>
  <c r="ABK45" i="1" a="1"/>
  <c r="ABK38" i="1" a="1"/>
  <c r="TR29" i="1" a="1"/>
  <c r="TR55" i="1" a="1"/>
  <c r="BG48" i="1" a="1"/>
  <c r="BG49" i="1" a="1"/>
  <c r="ACJ51" i="1" a="1"/>
  <c r="ACJ57" i="1" a="1"/>
  <c r="UY37" i="1" a="1"/>
  <c r="UY50" i="1" a="1"/>
  <c r="TE31" i="1" a="1"/>
  <c r="TE55" i="1" a="1"/>
  <c r="CQ51" i="1" a="1"/>
  <c r="CQ54" i="1" a="1"/>
  <c r="UT54" i="1" a="1"/>
  <c r="UT53" i="1" a="1"/>
  <c r="BJ44" i="1" a="1"/>
  <c r="CH34" i="1" a="1"/>
  <c r="CH57" i="1" a="1"/>
  <c r="UU33" i="1" a="1"/>
  <c r="UU50" i="1" a="1"/>
  <c r="AAY50" i="1" a="1"/>
  <c r="AAY37" i="1" a="1"/>
  <c r="AAZ47" i="1" a="1"/>
  <c r="AAY29" i="1" a="1"/>
  <c r="BS35" i="1" a="1"/>
  <c r="BS31" i="1" a="1"/>
  <c r="VC51" i="1" a="1"/>
  <c r="VC28" i="1" a="1"/>
  <c r="DF46" i="1" a="1"/>
  <c r="DF43" i="1" a="1"/>
  <c r="QF28" i="1" a="1"/>
  <c r="QF36" i="1" a="1"/>
  <c r="QI46" i="1" a="1"/>
  <c r="UX52" i="1" a="1"/>
  <c r="UX53" i="1" a="1"/>
  <c r="BV49" i="1" a="1"/>
  <c r="BV39" i="1" a="1"/>
  <c r="CT54" i="1" a="1"/>
  <c r="CT57" i="1" a="1"/>
  <c r="TB28" i="1" a="1"/>
  <c r="TB35" i="1" a="1"/>
  <c r="ABI56" i="1" a="1"/>
  <c r="ABI45" i="1" a="1"/>
  <c r="UW56" i="1" a="1"/>
  <c r="UW51" i="1" a="1"/>
  <c r="SG29" i="1" a="1"/>
  <c r="SG40" i="1" a="1"/>
  <c r="ABI52" i="1" a="1"/>
  <c r="ACM8" i="1"/>
  <c r="XM8" i="1"/>
  <c r="YO8" i="1"/>
  <c r="NZ8" i="1"/>
  <c r="VE8" i="1"/>
  <c r="IZ8" i="1"/>
  <c r="AAW8" i="1"/>
  <c r="YF8" i="1"/>
  <c r="IQ8" i="1"/>
  <c r="AP8" i="1"/>
  <c r="OK8" i="1"/>
  <c r="JI8" i="1"/>
  <c r="FK8" i="1"/>
  <c r="AH8" i="1"/>
  <c r="NL47" i="1" a="1"/>
  <c r="UV42" i="1" a="1"/>
  <c r="PJ28" i="1" a="1"/>
  <c r="SS35" i="1" a="1"/>
  <c r="AAW57" i="1" a="1"/>
  <c r="DN32" i="1" a="1"/>
  <c r="UZ39" i="1" a="1"/>
  <c r="ZW30" i="1" a="1"/>
  <c r="VB29" i="1" a="1"/>
  <c r="DC28" i="1" a="1"/>
  <c r="TR57" i="1" a="1"/>
  <c r="BG50" i="1" a="1"/>
  <c r="ACJ50" i="1" a="1"/>
  <c r="UY38" i="1" a="1"/>
  <c r="TE34" i="1" a="1"/>
  <c r="CQ53" i="1" a="1"/>
  <c r="UT32" i="1" a="1"/>
  <c r="BJ50" i="1" a="1"/>
  <c r="CH52" i="1" a="1"/>
  <c r="UU43" i="1" a="1"/>
  <c r="AAZ39" i="1" a="1"/>
  <c r="AAZ32" i="1" a="1"/>
  <c r="VC54" i="1" a="1"/>
  <c r="DF41" i="1" a="1"/>
  <c r="QF40" i="1" a="1"/>
  <c r="QI51" i="1" a="1"/>
  <c r="UX47" i="1" a="1"/>
  <c r="BV44" i="1" a="1"/>
  <c r="CT49" i="1" a="1"/>
  <c r="NL38" i="1" a="1"/>
  <c r="NO34" i="1" a="1"/>
  <c r="UV31" i="1" a="1"/>
  <c r="RU56" i="1" a="1"/>
  <c r="CE35" i="1" a="1"/>
  <c r="PJ54" i="1" a="1"/>
  <c r="PG42" i="1" a="1"/>
  <c r="SS32" i="1" a="1"/>
  <c r="AAW32" i="1" a="1"/>
  <c r="SP44" i="1" a="1"/>
  <c r="DN57" i="1" a="1"/>
  <c r="TO53" i="1" a="1"/>
  <c r="UZ45" i="1" a="1"/>
  <c r="ACG31" i="1" a="1"/>
  <c r="ZW51" i="1" a="1"/>
  <c r="VA38" i="1" a="1"/>
  <c r="VB34" i="1" a="1"/>
  <c r="DM50" i="1" a="1"/>
  <c r="SD39" i="1" a="1"/>
  <c r="DC51" i="1" a="1"/>
  <c r="ABK48" i="1" a="1"/>
  <c r="TR28" i="1" a="1"/>
  <c r="BG39" i="1" a="1"/>
  <c r="ACJ40" i="1" a="1"/>
  <c r="UY54" i="1" a="1"/>
  <c r="TE46" i="1" a="1"/>
  <c r="UT41" i="1" a="1"/>
  <c r="BJ30" i="1" a="1"/>
  <c r="CH32" i="1" a="1"/>
  <c r="UU38" i="1" a="1"/>
  <c r="AAZ45" i="1" a="1"/>
  <c r="AAY33" i="1" a="1"/>
  <c r="BS30" i="1" a="1"/>
  <c r="VC45" i="1" a="1"/>
  <c r="DF28" i="1" a="1"/>
  <c r="QF55" i="1" a="1"/>
  <c r="QI57" i="1" a="1"/>
  <c r="UX30" i="1" a="1"/>
  <c r="BV28" i="1" a="1"/>
  <c r="TB43" i="1" a="1"/>
  <c r="ABI55" i="1" a="1"/>
  <c r="UW52" i="1" a="1"/>
  <c r="SG49" i="1" a="1"/>
  <c r="NL45" i="1" a="1"/>
  <c r="NO40" i="1" a="1"/>
  <c r="UV36" i="1" a="1"/>
  <c r="RU55" i="1" a="1"/>
  <c r="CE45" i="1" a="1"/>
  <c r="PJ29" i="1" a="1"/>
  <c r="PG57" i="1" a="1"/>
  <c r="SS48" i="1" a="1"/>
  <c r="RR34" i="1" a="1"/>
  <c r="AAW39" i="1" a="1"/>
  <c r="DN31" i="1" a="1"/>
  <c r="TO35" i="1" a="1"/>
  <c r="UZ29" i="1" a="1"/>
  <c r="ACG30" i="1" a="1"/>
  <c r="ZW48" i="1" a="1"/>
  <c r="VA30" i="1" a="1"/>
  <c r="VB39" i="1" a="1"/>
  <c r="DM46" i="1" a="1"/>
  <c r="SD36" i="1" a="1"/>
  <c r="DC35" i="1" a="1"/>
  <c r="ABK56" i="1" a="1"/>
  <c r="TR49" i="1" a="1"/>
  <c r="BG57" i="1" a="1"/>
  <c r="ACJ31" i="1" a="1"/>
  <c r="UY45" i="1" a="1"/>
  <c r="TE33" i="1" a="1"/>
  <c r="CQ28" i="1" a="1"/>
  <c r="BJ34" i="1" a="1"/>
  <c r="CH53" i="1" a="1"/>
  <c r="UU41" i="1" a="1"/>
  <c r="AAY46" i="1" a="1"/>
  <c r="AAY28" i="1" a="1"/>
  <c r="BS51" i="1" a="1"/>
  <c r="VC46" i="1" a="1"/>
  <c r="DF54" i="1" a="1"/>
  <c r="QF45" i="1" a="1"/>
  <c r="QI30" i="1" a="1"/>
  <c r="QI28" i="1" a="1"/>
  <c r="UX31" i="1" a="1"/>
  <c r="BV35" i="1" a="1"/>
  <c r="CT44" i="1" a="1"/>
  <c r="CT46" i="1" a="1"/>
  <c r="TB31" i="1" a="1"/>
  <c r="ABI30" i="1" a="1"/>
  <c r="ABI54" i="1" a="1"/>
  <c r="UW45" i="1" a="1"/>
  <c r="SG30" i="1" a="1"/>
  <c r="SG28" i="1" a="1"/>
  <c r="NL35" i="1" a="1"/>
  <c r="NO49" i="1" a="1"/>
  <c r="UV53" i="1" a="1"/>
  <c r="UV45" i="1" a="1"/>
  <c r="RU38" i="1" a="1"/>
  <c r="CE48" i="1" a="1"/>
  <c r="CE31" i="1" a="1"/>
  <c r="PJ32" i="1" a="1"/>
  <c r="PJ43" i="1" a="1"/>
  <c r="PG44" i="1" a="1"/>
  <c r="PG55" i="1" a="1"/>
  <c r="SS47" i="1" a="1"/>
  <c r="RR54" i="1" a="1"/>
  <c r="RR45" i="1" a="1"/>
  <c r="AAW43" i="1" a="1"/>
  <c r="AAW55" i="1" a="1"/>
  <c r="SP40" i="1" a="1"/>
  <c r="SP52" i="1" a="1"/>
  <c r="DN56" i="1" a="1"/>
  <c r="DN43" i="1" a="1"/>
  <c r="TO57" i="1" a="1"/>
  <c r="TO50" i="1" a="1"/>
  <c r="UZ30" i="1" a="1"/>
  <c r="UZ57" i="1" a="1"/>
  <c r="ACG40" i="1" a="1"/>
  <c r="ACG48" i="1" a="1"/>
  <c r="ZW37" i="1" a="1"/>
  <c r="VA33" i="1" a="1"/>
  <c r="VA29" i="1" a="1"/>
  <c r="VB35" i="1" a="1"/>
  <c r="VB53" i="1" a="1"/>
  <c r="DM29" i="1" a="1"/>
  <c r="DM48" i="1" a="1"/>
  <c r="SD33" i="1" a="1"/>
  <c r="DC39" i="1" a="1"/>
  <c r="DC50" i="1" a="1"/>
  <c r="ABK49" i="1" a="1"/>
  <c r="ABK43" i="1" a="1"/>
  <c r="TR46" i="1" a="1"/>
  <c r="TR41" i="1" a="1"/>
  <c r="BG40" i="1" a="1"/>
  <c r="BG34" i="1" a="1"/>
  <c r="ACJ36" i="1" a="1"/>
  <c r="ACJ30" i="1" a="1"/>
  <c r="UY51" i="1" a="1"/>
  <c r="UY33" i="1" a="1"/>
  <c r="TE39" i="1" a="1"/>
  <c r="TE53" i="1" a="1"/>
  <c r="CQ29" i="1" a="1"/>
  <c r="CQ39" i="1" a="1"/>
  <c r="UT57" i="1" a="1"/>
  <c r="BJ39" i="1" a="1"/>
  <c r="BJ28" i="1" a="1"/>
  <c r="CH46" i="1" a="1"/>
  <c r="CH36" i="1" a="1"/>
  <c r="UU35" i="1" a="1"/>
  <c r="UU53" i="1" a="1"/>
  <c r="AAY41" i="1" a="1"/>
  <c r="AAZ40" i="1" a="1"/>
  <c r="AAY43" i="1" a="1"/>
  <c r="AAZ28" i="1" a="1"/>
  <c r="BS38" i="1" a="1"/>
  <c r="BS54" i="1" a="1"/>
  <c r="VC42" i="1" a="1"/>
  <c r="DF29" i="1" a="1"/>
  <c r="DF42" i="1" a="1"/>
  <c r="QF53" i="1" a="1"/>
  <c r="QF54" i="1" a="1"/>
  <c r="QI37" i="1" a="1"/>
  <c r="QI50" i="1" a="1"/>
  <c r="UX40" i="1" a="1"/>
  <c r="UX32" i="1" a="1"/>
  <c r="BV36" i="1" a="1"/>
  <c r="BV37" i="1" a="1"/>
  <c r="CT52" i="1" a="1"/>
  <c r="CT30" i="1" a="1"/>
  <c r="TB30" i="1" a="1"/>
  <c r="TB44" i="1" a="1"/>
  <c r="ABI39" i="1" a="1"/>
  <c r="ABI34" i="1" a="1"/>
  <c r="UW49" i="1" a="1"/>
  <c r="UW41" i="1" a="1"/>
  <c r="SG47" i="1" a="1"/>
  <c r="SG41" i="1" a="1"/>
  <c r="ABI36" i="1" a="1"/>
  <c r="EO8" i="1"/>
  <c r="HR8" i="1"/>
  <c r="VS8" i="1"/>
  <c r="FM8" i="1"/>
  <c r="PC8" i="1"/>
  <c r="MO8" i="1"/>
  <c r="LN8" i="1"/>
  <c r="TN8" i="1"/>
  <c r="UR8" i="1"/>
  <c r="ABP8" i="1"/>
  <c r="OR8" i="1"/>
  <c r="OG8" i="1"/>
  <c r="EG8" i="1"/>
  <c r="AAI8" i="1"/>
  <c r="VB32" i="1" a="1"/>
  <c r="DC53" i="1" a="1"/>
  <c r="TR44" i="1" a="1"/>
  <c r="ACJ35" i="1" a="1"/>
  <c r="TE29" i="1" a="1"/>
  <c r="UT35" i="1" a="1"/>
  <c r="CH29" i="1" a="1"/>
  <c r="AAZ41" i="1" a="1"/>
  <c r="VC43" i="1" a="1"/>
  <c r="QF56" i="1" a="1"/>
  <c r="UX28" i="1" a="1"/>
  <c r="CT31" i="1" a="1"/>
  <c r="ABI33" i="1" a="1"/>
  <c r="SG51" i="1" a="1"/>
  <c r="EH8" i="1"/>
  <c r="GD8" i="1"/>
  <c r="KD8" i="1"/>
  <c r="TM8" i="1"/>
  <c r="UW8" i="1"/>
  <c r="PE8" i="1"/>
  <c r="PH8" i="1"/>
  <c r="AR8" i="1"/>
  <c r="QV8" i="1"/>
  <c r="BS8" i="1"/>
  <c r="OH8" i="1"/>
  <c r="NH8" i="1"/>
  <c r="YT8" i="1"/>
  <c r="YA8" i="1"/>
  <c r="ZB8" i="1"/>
  <c r="KK8" i="1"/>
  <c r="HE8" i="1"/>
  <c r="ES8" i="1"/>
  <c r="KG8" i="1"/>
  <c r="DV8" i="1"/>
  <c r="JL8" i="1"/>
  <c r="GU8" i="1"/>
  <c r="ZE8" i="1"/>
  <c r="ZP8" i="1"/>
  <c r="WS8" i="1"/>
  <c r="AAA8" i="1"/>
  <c r="MQ8" i="1"/>
  <c r="LE8" i="1"/>
  <c r="TR8" i="1"/>
  <c r="DN8" i="1"/>
  <c r="WF8" i="1"/>
  <c r="FE8" i="1"/>
  <c r="FX8" i="1"/>
  <c r="FR8" i="1"/>
  <c r="FD8" i="1"/>
  <c r="GQ8" i="1"/>
  <c r="ABQ8" i="1"/>
  <c r="JS8" i="1"/>
  <c r="NQ8" i="1"/>
  <c r="WJ8" i="1"/>
  <c r="AAT8" i="1"/>
  <c r="TK8" i="1"/>
  <c r="GS8" i="1"/>
  <c r="CI8" i="1"/>
  <c r="HX8" i="1"/>
  <c r="EQ8" i="1"/>
  <c r="SL8" i="1"/>
  <c r="LQ8" i="1"/>
  <c r="BU8" i="1"/>
  <c r="QN8" i="1"/>
  <c r="RM8" i="1"/>
  <c r="XY8" i="1"/>
  <c r="AAP8" i="1"/>
  <c r="VJ8" i="1"/>
  <c r="PV8" i="1"/>
  <c r="EW8" i="1"/>
  <c r="V8" i="1"/>
  <c r="FU8" i="1"/>
  <c r="YU8" i="1"/>
  <c r="OI8" i="1"/>
  <c r="YW8" i="1"/>
  <c r="AC8" i="1"/>
  <c r="DR8" i="1"/>
  <c r="MU8" i="1"/>
  <c r="KC8" i="1"/>
  <c r="KB8" i="1"/>
  <c r="CJ8" i="1"/>
  <c r="PQ8" i="1"/>
  <c r="JH8" i="1"/>
  <c r="EU8" i="1"/>
  <c r="YV8" i="1"/>
  <c r="UL8" i="1"/>
  <c r="NK8" i="1"/>
  <c r="YL8" i="1"/>
  <c r="DU8" i="1"/>
  <c r="VU8" i="1"/>
  <c r="IF8" i="1"/>
  <c r="LT8" i="1"/>
  <c r="LK8" i="1"/>
  <c r="NM8" i="1"/>
  <c r="GY8" i="1"/>
  <c r="ER8" i="1"/>
  <c r="RD8" i="1"/>
  <c r="FZ8" i="1"/>
  <c r="DI8" i="1"/>
  <c r="KJ8" i="1"/>
  <c r="ACA8" i="1"/>
  <c r="XA8" i="1"/>
  <c r="TZ8" i="1"/>
  <c r="ABF8" i="1"/>
  <c r="SE8" i="1"/>
  <c r="KH8" i="1"/>
  <c r="MF8" i="1"/>
  <c r="NF8" i="1"/>
  <c r="DG8" i="1"/>
  <c r="WN8" i="1"/>
  <c r="NP8" i="1"/>
  <c r="RU8" i="1"/>
  <c r="BZ8" i="1"/>
  <c r="RI8" i="1"/>
  <c r="JZ8" i="1"/>
  <c r="PW8" i="1"/>
  <c r="NX8" i="1"/>
  <c r="ACD8" i="1"/>
  <c r="QJ8" i="1"/>
  <c r="IL8" i="1"/>
  <c r="W8" i="1"/>
  <c r="YM8" i="1"/>
  <c r="FJ8" i="1"/>
  <c r="DC8" i="1"/>
  <c r="SR8" i="1"/>
  <c r="NT8" i="1"/>
  <c r="ML8" i="1"/>
  <c r="WX8" i="1"/>
  <c r="WV8" i="1"/>
  <c r="NA8" i="1"/>
  <c r="NS8" i="1"/>
  <c r="AY8" i="1"/>
  <c r="TF8" i="1"/>
  <c r="KP8" i="1"/>
  <c r="JJ8" i="1"/>
  <c r="GK8" i="1"/>
  <c r="EZ8" i="1"/>
  <c r="XU8" i="1"/>
  <c r="KM8" i="1"/>
  <c r="WB8" i="1"/>
  <c r="GA8" i="1"/>
  <c r="ZJ8" i="1"/>
  <c r="NV8" i="1"/>
  <c r="ON8" i="1"/>
  <c r="SQ8" i="1"/>
  <c r="PL8" i="1"/>
  <c r="QR8" i="1"/>
  <c r="AAH8" i="1"/>
  <c r="WC8" i="1"/>
  <c r="ABV8" i="1"/>
  <c r="WH8" i="1"/>
  <c r="RC8" i="1"/>
  <c r="BN8" i="1"/>
  <c r="XZ8" i="1"/>
  <c r="BR8" i="1"/>
  <c r="MT8" i="1"/>
  <c r="QF8" i="1"/>
  <c r="QX8" i="1"/>
  <c r="CR8" i="1"/>
  <c r="BW8" i="1"/>
  <c r="ZR8" i="1"/>
  <c r="QQ8" i="1"/>
  <c r="WL8" i="1"/>
  <c r="AQ8" i="1"/>
  <c r="OT8" i="1"/>
  <c r="DE8" i="1"/>
  <c r="OB8" i="1"/>
  <c r="UN8" i="1"/>
  <c r="ACL8" i="1"/>
  <c r="IR8" i="1"/>
  <c r="IJ8" i="1"/>
  <c r="KL8" i="1"/>
  <c r="UC8" i="1"/>
  <c r="MA8" i="1"/>
  <c r="PR8" i="1"/>
  <c r="CH8" i="1"/>
  <c r="CV8" i="1"/>
  <c r="FF8" i="1"/>
  <c r="O8" i="1"/>
  <c r="ZL8" i="1"/>
  <c r="CF8" i="1"/>
  <c r="AAS8" i="1"/>
  <c r="WI8" i="1"/>
  <c r="EJ8" i="1"/>
  <c r="UB8" i="1"/>
  <c r="TB39" i="1" a="1"/>
  <c r="UW44" i="1" a="1"/>
  <c r="TB47" i="1" a="1"/>
  <c r="UW47" i="1" a="1"/>
  <c r="ABI28" i="1" a="1"/>
  <c r="SG52" i="1" a="1"/>
  <c r="ACK8" i="1"/>
  <c r="VD8" i="1"/>
  <c r="SU8" i="1"/>
  <c r="AA8" i="1"/>
  <c r="UO8" i="1"/>
  <c r="VG8" i="1"/>
  <c r="UP8" i="1"/>
  <c r="IS8" i="1"/>
  <c r="AE8" i="1"/>
  <c r="MP8" i="1"/>
  <c r="XI8" i="1"/>
  <c r="VF8" i="1"/>
  <c r="KV8" i="1"/>
  <c r="QS8" i="1"/>
  <c r="UQ8" i="1"/>
  <c r="SP8" i="1"/>
  <c r="XT8" i="1"/>
  <c r="MC8" i="1"/>
  <c r="OY8" i="1"/>
  <c r="OF8" i="1"/>
  <c r="DQ8" i="1"/>
  <c r="YD8" i="1"/>
  <c r="TY8" i="1"/>
  <c r="AL8" i="1"/>
  <c r="CU8" i="1"/>
  <c r="N8" i="1"/>
  <c r="QP8" i="1"/>
  <c r="ABI35" i="1" a="1"/>
  <c r="DM43" i="1" a="1"/>
  <c r="DC55" i="1" a="1"/>
  <c r="TR36" i="1" a="1"/>
  <c r="UY53" i="1" a="1"/>
  <c r="CQ50" i="1" a="1"/>
  <c r="BJ56" i="1" a="1"/>
  <c r="UU57" i="1" a="1"/>
  <c r="AAY36" i="1" a="1"/>
  <c r="VC44" i="1" a="1"/>
  <c r="QF30" i="1" a="1"/>
  <c r="UX49" i="1" a="1"/>
  <c r="CT51" i="1" a="1"/>
  <c r="ABI29" i="1" a="1"/>
  <c r="TB41" i="1" a="1"/>
  <c r="ABO8" i="1"/>
  <c r="ZH8" i="1"/>
  <c r="CP8" i="1"/>
  <c r="IW8" i="1"/>
  <c r="ABI8" i="1"/>
  <c r="LW8" i="1"/>
  <c r="UD8" i="1"/>
  <c r="SV8" i="1"/>
  <c r="CQ8" i="1"/>
  <c r="EC8" i="1"/>
  <c r="TP8" i="1"/>
  <c r="GE8" i="1"/>
  <c r="HJ8" i="1"/>
  <c r="BL8" i="1"/>
  <c r="AV8" i="1"/>
  <c r="BI8" i="1"/>
  <c r="US8" i="1"/>
  <c r="YX8" i="1"/>
  <c r="IG8" i="1"/>
  <c r="AU8" i="1"/>
  <c r="ZG8" i="1"/>
  <c r="XP8" i="1"/>
  <c r="ABY8" i="1"/>
  <c r="BE8" i="1"/>
  <c r="HD8" i="1"/>
  <c r="QE8" i="1"/>
  <c r="OS8" i="1"/>
  <c r="BJ8" i="1"/>
  <c r="YJ8" i="1"/>
  <c r="RE8" i="1"/>
  <c r="JU8" i="1"/>
  <c r="ZY8" i="1"/>
  <c r="NW8" i="1"/>
  <c r="OA8" i="1"/>
  <c r="AAK8" i="1"/>
  <c r="YK8" i="1"/>
  <c r="QH8" i="1"/>
  <c r="SJ8" i="1"/>
  <c r="EM8" i="1"/>
  <c r="LV8" i="1"/>
  <c r="ZK8" i="1"/>
  <c r="GR8" i="1"/>
  <c r="XF8" i="1"/>
  <c r="QD8" i="1"/>
  <c r="WR8" i="1"/>
  <c r="AF8" i="1"/>
  <c r="PY8" i="1"/>
  <c r="ABJ8" i="1"/>
  <c r="AAX8" i="1"/>
  <c r="IO8" i="1"/>
  <c r="GX8" i="1"/>
  <c r="GZ8" i="1"/>
  <c r="IX8" i="1"/>
  <c r="ABH8" i="1"/>
  <c r="JV8" i="1"/>
  <c r="XD8" i="1"/>
  <c r="PM8" i="1"/>
  <c r="PA8" i="1"/>
  <c r="VM8" i="1"/>
  <c r="OP8" i="1"/>
  <c r="BK8" i="1"/>
  <c r="OJ8" i="1"/>
  <c r="VX8" i="1"/>
  <c r="EF8" i="1"/>
  <c r="MZ8" i="1"/>
  <c r="EA8" i="1"/>
  <c r="AO8" i="1"/>
  <c r="TI8" i="1"/>
  <c r="QK8" i="1"/>
  <c r="Q8" i="1"/>
  <c r="RH8" i="1"/>
  <c r="ACJ8" i="1"/>
  <c r="WO8" i="1"/>
  <c r="XB8" i="1"/>
  <c r="XH8" i="1"/>
  <c r="EL8" i="1"/>
  <c r="TT8" i="1"/>
  <c r="LR8" i="1"/>
  <c r="VC8" i="1"/>
  <c r="I8" i="1"/>
  <c r="GO8" i="1"/>
  <c r="OQ8" i="1"/>
  <c r="WM8" i="1"/>
  <c r="NI8" i="1"/>
  <c r="XJ8" i="1"/>
  <c r="VP8" i="1"/>
  <c r="RW8" i="1"/>
  <c r="VK8" i="1"/>
  <c r="II8" i="1"/>
  <c r="MY8" i="1"/>
  <c r="JW8" i="1"/>
  <c r="KZ8" i="1"/>
  <c r="JT8" i="1"/>
  <c r="ZV8" i="1"/>
  <c r="PO8" i="1"/>
  <c r="LP8" i="1"/>
  <c r="NL8" i="1"/>
  <c r="ACB8" i="1"/>
  <c r="MG8" i="1"/>
  <c r="ABN8" i="1"/>
  <c r="ZX8" i="1"/>
  <c r="ZD8" i="1"/>
  <c r="AAC8" i="1"/>
  <c r="MJ8" i="1"/>
  <c r="JC8" i="1"/>
  <c r="LH8" i="1"/>
  <c r="LO8" i="1"/>
  <c r="HS8" i="1"/>
  <c r="TJ8" i="1"/>
  <c r="FG8" i="1"/>
  <c r="KX8" i="1"/>
  <c r="WU8" i="1"/>
  <c r="SO8" i="1"/>
  <c r="ID8" i="1"/>
  <c r="DX8" i="1"/>
  <c r="BC8" i="1"/>
  <c r="PK8" i="1"/>
  <c r="WT8" i="1"/>
  <c r="GC8" i="1"/>
  <c r="MW8" i="1"/>
  <c r="WW8" i="1"/>
  <c r="LI8" i="1"/>
  <c r="AAZ8" i="1"/>
  <c r="OU8" i="1"/>
  <c r="MN8" i="1"/>
  <c r="VR8" i="1"/>
  <c r="XN8" i="1"/>
  <c r="ABL8" i="1"/>
  <c r="R8" i="1"/>
  <c r="JP8" i="1"/>
  <c r="PS8" i="1"/>
  <c r="QA8" i="1"/>
  <c r="FQ8" i="1"/>
  <c r="BP8" i="1"/>
  <c r="GF8" i="1"/>
  <c r="SC8" i="1"/>
  <c r="TA8" i="1"/>
  <c r="AAE8" i="1"/>
  <c r="TL8" i="1"/>
  <c r="BX8" i="1"/>
  <c r="QU8" i="1"/>
  <c r="AAV8" i="1"/>
  <c r="MK8" i="1"/>
  <c r="EE8" i="1"/>
  <c r="CE8" i="1"/>
  <c r="TB8" i="1"/>
  <c r="GG8" i="1"/>
  <c r="GB8" i="1"/>
  <c r="XW8" i="1"/>
  <c r="BH8" i="1"/>
  <c r="QW8" i="1"/>
  <c r="XX8" i="1"/>
  <c r="CY8" i="1"/>
  <c r="EP8" i="1"/>
  <c r="NR8" i="1"/>
  <c r="WZ8" i="1"/>
  <c r="OX8" i="1"/>
  <c r="LY8" i="1"/>
  <c r="ABD8" i="1"/>
  <c r="AN8" i="1"/>
  <c r="SS8" i="1"/>
  <c r="M8" i="1"/>
  <c r="YB8" i="1"/>
  <c r="CX8" i="1"/>
  <c r="MX8" i="1"/>
  <c r="BQ8" i="1"/>
  <c r="CC8" i="1"/>
  <c r="FH8" i="1"/>
  <c r="S8" i="1"/>
  <c r="RJ8" i="1"/>
  <c r="SG45" i="1" a="1"/>
  <c r="ABI38" i="1" a="1"/>
  <c r="SG33" i="1" a="1"/>
  <c r="ABI37" i="1" a="1"/>
  <c r="SG50" i="1" a="1"/>
  <c r="UW30" i="1" a="1"/>
  <c r="DM8" i="1"/>
  <c r="XV8" i="1"/>
  <c r="AAN8" i="1"/>
  <c r="LF8" i="1"/>
  <c r="PI8" i="1"/>
  <c r="FL8" i="1"/>
  <c r="FN8" i="1"/>
  <c r="GI8" i="1"/>
  <c r="NU8" i="1"/>
  <c r="VT8" i="1"/>
  <c r="UZ8" i="1"/>
  <c r="T8" i="1"/>
  <c r="IV8" i="1"/>
  <c r="JM8" i="1"/>
  <c r="G8" i="1"/>
  <c r="TW8" i="1"/>
  <c r="GL8" i="1"/>
  <c r="KR8" i="1"/>
  <c r="KN8" i="1"/>
  <c r="SB8" i="1"/>
  <c r="DS8" i="1"/>
  <c r="RO8" i="1"/>
  <c r="XE8" i="1"/>
  <c r="AAD8" i="1"/>
  <c r="LG8" i="1"/>
  <c r="FS8" i="1"/>
  <c r="TB34" i="1" a="1"/>
  <c r="SD52" i="1" a="1"/>
  <c r="ABK34" i="1" a="1"/>
  <c r="BG54" i="1" a="1"/>
  <c r="UY57" i="1" a="1"/>
  <c r="CQ36" i="1" a="1"/>
  <c r="BJ49" i="1" a="1"/>
  <c r="UU44" i="1" a="1"/>
  <c r="AAZ33" i="1" a="1"/>
  <c r="DF38" i="1" a="1"/>
  <c r="QI33" i="1" a="1"/>
  <c r="BV30" i="1" a="1"/>
  <c r="TB52" i="1" a="1"/>
  <c r="UW43" i="1" a="1"/>
  <c r="UW35" i="1" a="1"/>
  <c r="PD8" i="1"/>
  <c r="KT8" i="1"/>
  <c r="UY8" i="1"/>
  <c r="BF8" i="1"/>
  <c r="L8" i="1"/>
  <c r="RL8" i="1"/>
  <c r="CN8" i="1"/>
  <c r="RF8" i="1"/>
  <c r="X8" i="1"/>
  <c r="K8" i="1"/>
  <c r="DK8" i="1"/>
  <c r="NB8" i="1"/>
  <c r="PG8" i="1"/>
  <c r="ABC8" i="1"/>
  <c r="QM8" i="1"/>
  <c r="EI8" i="1"/>
  <c r="AAR8" i="1"/>
  <c r="OC8" i="1"/>
  <c r="QG8" i="1"/>
  <c r="CZ8" i="1"/>
  <c r="MM8" i="1"/>
  <c r="RZ8" i="1"/>
  <c r="VB8" i="1"/>
  <c r="TO8" i="1"/>
  <c r="FB8" i="1"/>
  <c r="HY8" i="1"/>
  <c r="VW8" i="1"/>
  <c r="LL8" i="1"/>
  <c r="VZ8" i="1"/>
  <c r="PT8" i="1"/>
  <c r="RK8" i="1"/>
  <c r="WK8" i="1"/>
  <c r="ZN8" i="1"/>
  <c r="WQ8" i="1"/>
  <c r="ZO8" i="1"/>
  <c r="FV8" i="1"/>
  <c r="EV8" i="1"/>
  <c r="VI8" i="1"/>
  <c r="AG8" i="1"/>
  <c r="DP8" i="1"/>
  <c r="ABA8" i="1"/>
  <c r="HQ8" i="1"/>
  <c r="IN8" i="1"/>
  <c r="LX8" i="1"/>
  <c r="AJ8" i="1"/>
  <c r="YQ8" i="1"/>
  <c r="XK8" i="1"/>
  <c r="IM8" i="1"/>
  <c r="CM8" i="1"/>
  <c r="JY8" i="1"/>
  <c r="Y8" i="1"/>
  <c r="YE8" i="1"/>
  <c r="PJ8" i="1"/>
  <c r="BG8" i="1"/>
  <c r="BY8" i="1"/>
  <c r="ABG8" i="1"/>
  <c r="AAF8" i="1"/>
  <c r="JR8" i="1"/>
  <c r="DL8" i="1"/>
  <c r="DF8" i="1"/>
  <c r="HN8" i="1"/>
  <c r="JE8" i="1"/>
  <c r="AAQ8" i="1"/>
  <c r="SX8" i="1"/>
  <c r="MB8" i="1"/>
  <c r="HO8" i="1"/>
  <c r="LB8" i="1"/>
  <c r="LA8" i="1"/>
  <c r="VQ8" i="1"/>
  <c r="GM8" i="1"/>
  <c r="CD8" i="1"/>
  <c r="GT8" i="1"/>
  <c r="FP8" i="1"/>
  <c r="ZF8" i="1"/>
  <c r="HF8" i="1"/>
  <c r="DB8" i="1"/>
  <c r="FA8" i="1"/>
  <c r="YR8" i="1"/>
  <c r="VN8" i="1"/>
  <c r="AS8" i="1"/>
  <c r="EY8" i="1"/>
  <c r="QI8" i="1"/>
  <c r="ABB8" i="1"/>
  <c r="QT8" i="1"/>
  <c r="AK8" i="1"/>
  <c r="YP8" i="1"/>
  <c r="KF8" i="1"/>
  <c r="HB8" i="1"/>
  <c r="AD8" i="1"/>
  <c r="BB8" i="1"/>
  <c r="MD8" i="1"/>
  <c r="MS8" i="1"/>
  <c r="YY8" i="1"/>
  <c r="UH8" i="1"/>
  <c r="DD8" i="1"/>
  <c r="FT8" i="1"/>
  <c r="XC8" i="1"/>
  <c r="TD8" i="1"/>
  <c r="AAY8" i="1"/>
  <c r="AAG8" i="1"/>
  <c r="YI8" i="1"/>
  <c r="OM8" i="1"/>
  <c r="GH8" i="1"/>
  <c r="HP8" i="1"/>
  <c r="HC8" i="1"/>
  <c r="YC8" i="1"/>
  <c r="SG53" i="1" a="1"/>
  <c r="SD30" i="1" a="1"/>
  <c r="ABK41" i="1" a="1"/>
  <c r="ACJ49" i="1" a="1"/>
  <c r="TE49" i="1" a="1"/>
  <c r="UT33" i="1" a="1"/>
  <c r="CH35" i="1" a="1"/>
  <c r="AAY51" i="1" a="1"/>
  <c r="BS56" i="1" a="1"/>
  <c r="DF37" i="1" a="1"/>
  <c r="QI53" i="1" a="1"/>
  <c r="BV47" i="1" a="1"/>
  <c r="TB55" i="1" a="1"/>
  <c r="UW32" i="1" a="1"/>
  <c r="YH8" i="1"/>
  <c r="JA8" i="1"/>
  <c r="TU8" i="1"/>
  <c r="GP8" i="1"/>
  <c r="FW8" i="1"/>
  <c r="FO8" i="1"/>
  <c r="Z8" i="1"/>
  <c r="FC8" i="1"/>
  <c r="OW8" i="1"/>
  <c r="ABM8" i="1"/>
  <c r="HL8" i="1"/>
  <c r="TG8" i="1"/>
  <c r="AW8" i="1"/>
  <c r="TQ8" i="1"/>
  <c r="VL8" i="1"/>
  <c r="RA8" i="1"/>
  <c r="UE8" i="1"/>
  <c r="MH8" i="1"/>
  <c r="QL8" i="1"/>
  <c r="ZU8" i="1"/>
  <c r="J8" i="1"/>
  <c r="SG8" i="1"/>
  <c r="CW8" i="1"/>
  <c r="CO8" i="1"/>
  <c r="ZS8" i="1"/>
  <c r="RN8" i="1"/>
  <c r="ET8" i="1"/>
  <c r="XG8" i="1"/>
  <c r="CG8" i="1"/>
  <c r="MV8" i="1"/>
  <c r="ABW8" i="1"/>
  <c r="UM8" i="1"/>
  <c r="KA8" i="1"/>
  <c r="BM8" i="1"/>
  <c r="YZ8" i="1"/>
  <c r="SK8" i="1"/>
  <c r="PX8" i="1"/>
  <c r="NO8" i="1"/>
  <c r="GW8" i="1"/>
  <c r="RP8" i="1"/>
  <c r="CA8" i="1"/>
  <c r="ACF8" i="1"/>
  <c r="ABT8" i="1"/>
  <c r="RT8" i="1"/>
  <c r="CS8" i="1"/>
  <c r="AAU8" i="1"/>
  <c r="SI8" i="1"/>
  <c r="AAO8" i="1"/>
  <c r="U8" i="1"/>
  <c r="YG8" i="1"/>
  <c r="ZM8" i="1"/>
  <c r="LS8" i="1"/>
  <c r="ZI8" i="1"/>
  <c r="TE8" i="1"/>
  <c r="ABS8" i="1"/>
  <c r="QC8" i="1"/>
  <c r="KO8" i="1"/>
  <c r="NC8" i="1"/>
  <c r="CB8" i="1"/>
  <c r="WD8" i="1"/>
  <c r="AI8" i="1"/>
  <c r="QB8" i="1"/>
  <c r="OL8" i="1"/>
  <c r="HK8" i="1"/>
  <c r="OO8" i="1"/>
  <c r="BA8" i="1"/>
  <c r="RV8" i="1"/>
  <c r="JN8" i="1"/>
  <c r="SD8" i="1"/>
  <c r="H8" i="1"/>
  <c r="DW8" i="1"/>
  <c r="FI8" i="1"/>
  <c r="VH8" i="1"/>
  <c r="PB8" i="1"/>
  <c r="UI8" i="1"/>
  <c r="SZ8" i="1"/>
  <c r="MI8" i="1"/>
  <c r="CL8" i="1"/>
  <c r="BV8" i="1"/>
  <c r="OV8" i="1"/>
  <c r="IA8" i="1"/>
  <c r="SN8" i="1"/>
  <c r="KE8" i="1"/>
  <c r="ZT8" i="1"/>
  <c r="CK8" i="1"/>
  <c r="IB8" i="1"/>
  <c r="NY8" i="1"/>
  <c r="JQ8" i="1"/>
  <c r="ME8" i="1"/>
  <c r="JK8" i="1"/>
  <c r="HM8" i="1"/>
  <c r="PF8" i="1"/>
  <c r="ZW8" i="1"/>
  <c r="HG8" i="1"/>
  <c r="SW8" i="1"/>
  <c r="EB8" i="1"/>
  <c r="BD8" i="1"/>
  <c r="UJ8" i="1"/>
  <c r="OE8" i="1"/>
  <c r="LD8" i="1"/>
  <c r="KY8" i="1"/>
  <c r="NE8" i="1"/>
  <c r="IP8" i="1"/>
  <c r="AAJ8" i="1"/>
  <c r="SY8" i="1"/>
  <c r="UX8" i="1"/>
  <c r="AM8" i="1"/>
  <c r="NN8" i="1"/>
  <c r="RS8" i="1"/>
  <c r="ABE8" i="1"/>
  <c r="UF8" i="1"/>
  <c r="IE8" i="1"/>
  <c r="UG8" i="1"/>
  <c r="JO8" i="1"/>
  <c r="EN8" i="1"/>
  <c r="AZ8" i="1"/>
  <c r="SF8" i="1"/>
  <c r="ACI8" i="1"/>
  <c r="WA8" i="1"/>
  <c r="LZ8" i="1"/>
  <c r="DZ8" i="1"/>
  <c r="IY8" i="1"/>
  <c r="CT8" i="1"/>
  <c r="LC8" i="1"/>
  <c r="YN8" i="1"/>
  <c r="HT8" i="1"/>
  <c r="DY8" i="1"/>
  <c r="EX8" i="1"/>
  <c r="VV8" i="1"/>
  <c r="XR8" i="1"/>
  <c r="P8" i="1"/>
  <c r="GV8" i="1"/>
  <c r="ZC8" i="1"/>
  <c r="DH8" i="1"/>
  <c r="EK8" i="1"/>
  <c r="RR8" i="1"/>
  <c r="XO8" i="1"/>
  <c r="VO8" i="1"/>
  <c r="BO8" i="1"/>
  <c r="TX8" i="1"/>
  <c r="HH8" i="1"/>
  <c r="HA8" i="1"/>
  <c r="MR8" i="1"/>
  <c r="QZ8" i="1"/>
  <c r="WG8" i="1"/>
  <c r="GN8" i="1"/>
  <c r="YS8" i="1"/>
  <c r="ZQ8" i="1"/>
  <c r="JX8" i="1"/>
  <c r="IU8" i="1"/>
  <c r="TS8" i="1"/>
  <c r="RB8" i="1"/>
  <c r="ZZ8" i="1"/>
  <c r="PU8" i="1"/>
  <c r="DO8" i="1"/>
  <c r="JD8" i="1"/>
  <c r="AAM8" i="1"/>
  <c r="KS8" i="1"/>
  <c r="ABU8" i="1"/>
  <c r="ABK8" i="1"/>
  <c r="UA8" i="1"/>
  <c r="PZ8" i="1"/>
  <c r="JF8" i="1"/>
  <c r="WE8" i="1"/>
  <c r="ACH8" i="1"/>
  <c r="HI8" i="1"/>
  <c r="HV8" i="1"/>
  <c r="SA8" i="1"/>
  <c r="ED8" i="1"/>
  <c r="RG8" i="1"/>
  <c r="KI8" i="1"/>
  <c r="TB49" i="1" a="1"/>
  <c r="UW33" i="1" a="1"/>
  <c r="TB45" i="1" a="1"/>
  <c r="UW31" i="1" a="1"/>
  <c r="ABI31" i="1" a="1"/>
  <c r="SG38" i="1" a="1"/>
  <c r="WP8" i="1"/>
  <c r="PN8" i="1"/>
  <c r="HU8" i="1"/>
  <c r="KQ8" i="1"/>
  <c r="IH8" i="1"/>
  <c r="TH8" i="1"/>
  <c r="NG8" i="1"/>
  <c r="IT8" i="1"/>
  <c r="ABZ8" i="1"/>
  <c r="VA8" i="1"/>
  <c r="JB8" i="1"/>
  <c r="SG56" i="1" a="1"/>
  <c r="ABI49" i="1" a="1"/>
  <c r="UW54" i="1" a="1"/>
  <c r="NE44" i="1" a="1"/>
  <c r="NT45" i="1" a="1"/>
  <c r="NT44" i="1" a="1"/>
  <c r="AAY42" i="1" a="1"/>
  <c r="NE45" i="1" a="1"/>
  <c r="NE32" i="1" a="1"/>
  <c r="NT32" i="1" a="1"/>
  <c r="UW54" i="1" l="1"/>
  <c r="ABI49" i="1"/>
  <c r="SG56" i="1"/>
  <c r="JB10" i="1"/>
  <c r="VA10" i="1"/>
  <c r="IT10" i="1"/>
  <c r="NG10" i="1"/>
  <c r="TH10" i="1"/>
  <c r="IH10" i="1"/>
  <c r="KQ10" i="1"/>
  <c r="HU10" i="1"/>
  <c r="PN10" i="1"/>
  <c r="WP10" i="1"/>
  <c r="SG38" i="1"/>
  <c r="ABI31" i="1"/>
  <c r="UW31" i="1"/>
  <c r="TB45" i="1"/>
  <c r="UW33" i="1"/>
  <c r="TB49" i="1"/>
  <c r="KI10" i="1"/>
  <c r="RG10" i="1"/>
  <c r="ED10" i="1"/>
  <c r="SA10" i="1"/>
  <c r="HV10" i="1"/>
  <c r="HI10" i="1"/>
  <c r="ACH10" i="1"/>
  <c r="WE10" i="1"/>
  <c r="JF10" i="1"/>
  <c r="PZ10" i="1"/>
  <c r="ABK10" i="1"/>
  <c r="ABU10" i="1"/>
  <c r="KS10" i="1"/>
  <c r="AAM10" i="1"/>
  <c r="JD10" i="1"/>
  <c r="DO10" i="1"/>
  <c r="PU10" i="1"/>
  <c r="ZZ10" i="1"/>
  <c r="RB10" i="1"/>
  <c r="TS10" i="1"/>
  <c r="IU10" i="1"/>
  <c r="JX10" i="1"/>
  <c r="ZQ10" i="1"/>
  <c r="YS10" i="1"/>
  <c r="GN10" i="1"/>
  <c r="WG10" i="1"/>
  <c r="QZ10" i="1"/>
  <c r="MR10" i="1"/>
  <c r="HH10" i="1"/>
  <c r="BO10" i="1"/>
  <c r="VO10" i="1"/>
  <c r="RR10" i="1"/>
  <c r="EK10" i="1"/>
  <c r="DH10" i="1"/>
  <c r="ZC10" i="1"/>
  <c r="GV10" i="1"/>
  <c r="P10" i="1"/>
  <c r="XR10" i="1"/>
  <c r="VV10" i="1"/>
  <c r="EX10" i="1"/>
  <c r="DY10" i="1"/>
  <c r="HT10" i="1"/>
  <c r="YN10" i="1"/>
  <c r="LC10" i="1"/>
  <c r="CT10" i="1"/>
  <c r="IY10" i="1"/>
  <c r="DZ10" i="1"/>
  <c r="LZ10" i="1"/>
  <c r="WA10" i="1"/>
  <c r="ACI10" i="1"/>
  <c r="SF10" i="1"/>
  <c r="AZ10" i="1"/>
  <c r="EN10" i="1"/>
  <c r="JO10" i="1"/>
  <c r="UG10" i="1"/>
  <c r="IE10" i="1"/>
  <c r="UF10" i="1"/>
  <c r="ABE10" i="1"/>
  <c r="RS10" i="1"/>
  <c r="NN10" i="1"/>
  <c r="AM10" i="1"/>
  <c r="UX10" i="1"/>
  <c r="SY10" i="1"/>
  <c r="IP10" i="1"/>
  <c r="KY10" i="1"/>
  <c r="LD10" i="1"/>
  <c r="OE10" i="1"/>
  <c r="UJ10" i="1"/>
  <c r="BD10" i="1"/>
  <c r="EB10" i="1"/>
  <c r="SW10" i="1"/>
  <c r="HG10" i="1"/>
  <c r="ZW10" i="1"/>
  <c r="PF10" i="1"/>
  <c r="HM10" i="1"/>
  <c r="JK10" i="1"/>
  <c r="ME10" i="1"/>
  <c r="JQ10" i="1"/>
  <c r="NY10" i="1"/>
  <c r="IB10" i="1"/>
  <c r="CK10" i="1"/>
  <c r="ZT10" i="1"/>
  <c r="KE10" i="1"/>
  <c r="SN10" i="1"/>
  <c r="IA10" i="1"/>
  <c r="OV10" i="1"/>
  <c r="BV10" i="1"/>
  <c r="CL10" i="1"/>
  <c r="MI10" i="1"/>
  <c r="SZ10" i="1"/>
  <c r="UI10" i="1"/>
  <c r="PB10" i="1"/>
  <c r="VH10" i="1"/>
  <c r="FI10" i="1"/>
  <c r="DW10" i="1"/>
  <c r="H10" i="1"/>
  <c r="SD10" i="1"/>
  <c r="JN10" i="1"/>
  <c r="RV10" i="1"/>
  <c r="BA10" i="1"/>
  <c r="OO10" i="1"/>
  <c r="HK10" i="1"/>
  <c r="OL10" i="1"/>
  <c r="QB10" i="1"/>
  <c r="AI10" i="1"/>
  <c r="WD10" i="1"/>
  <c r="CB10" i="1"/>
  <c r="NC10" i="1"/>
  <c r="KO10" i="1"/>
  <c r="QC10" i="1"/>
  <c r="ABS10" i="1"/>
  <c r="TE10" i="1"/>
  <c r="ZI10" i="1"/>
  <c r="LS10" i="1"/>
  <c r="ZM10" i="1"/>
  <c r="U10" i="1"/>
  <c r="AAO10" i="1"/>
  <c r="SI10" i="1"/>
  <c r="AAU10" i="1"/>
  <c r="CS10" i="1"/>
  <c r="RT10" i="1"/>
  <c r="ACF10" i="1"/>
  <c r="CA10" i="1"/>
  <c r="RP10" i="1"/>
  <c r="GW10" i="1"/>
  <c r="NO10" i="1"/>
  <c r="PX10" i="1"/>
  <c r="SK10" i="1"/>
  <c r="YZ10" i="1"/>
  <c r="BM10" i="1"/>
  <c r="KA10" i="1"/>
  <c r="UM10" i="1"/>
  <c r="ABW10" i="1"/>
  <c r="MV10" i="1"/>
  <c r="CG10" i="1"/>
  <c r="XG10" i="1"/>
  <c r="ET10" i="1"/>
  <c r="RN10" i="1"/>
  <c r="ZS10" i="1"/>
  <c r="CO10" i="1"/>
  <c r="CW10" i="1"/>
  <c r="SG10" i="1"/>
  <c r="J10" i="1"/>
  <c r="ZU10" i="1"/>
  <c r="QL10" i="1"/>
  <c r="MH10" i="1"/>
  <c r="UE10" i="1"/>
  <c r="RA10" i="1"/>
  <c r="VL10" i="1"/>
  <c r="TQ10" i="1"/>
  <c r="AW10" i="1"/>
  <c r="TG10" i="1"/>
  <c r="HL10" i="1"/>
  <c r="ABM10" i="1"/>
  <c r="OW10" i="1"/>
  <c r="Z10" i="1"/>
  <c r="FO10" i="1"/>
  <c r="GP10" i="1"/>
  <c r="TU10" i="1"/>
  <c r="JA10" i="1"/>
  <c r="UW32" i="1"/>
  <c r="TB55" i="1"/>
  <c r="BV47" i="1"/>
  <c r="QI53" i="1"/>
  <c r="DF37" i="1"/>
  <c r="BS56" i="1"/>
  <c r="AAY51" i="1"/>
  <c r="CH35" i="1"/>
  <c r="UT33" i="1"/>
  <c r="TE49" i="1"/>
  <c r="ACJ49" i="1"/>
  <c r="ABK41" i="1"/>
  <c r="SD30" i="1"/>
  <c r="SG53" i="1"/>
  <c r="YC10" i="1"/>
  <c r="HP10" i="1"/>
  <c r="GH10" i="1"/>
  <c r="OM10" i="1"/>
  <c r="AAG10" i="1"/>
  <c r="AAY10" i="1"/>
  <c r="TD10" i="1"/>
  <c r="FT10" i="1"/>
  <c r="DD10" i="1"/>
  <c r="UH10" i="1"/>
  <c r="YY10" i="1"/>
  <c r="MS10" i="1"/>
  <c r="MD10" i="1"/>
  <c r="BB10" i="1"/>
  <c r="AD10" i="1"/>
  <c r="KF10" i="1"/>
  <c r="YP10" i="1"/>
  <c r="AK10" i="1"/>
  <c r="QT10" i="1"/>
  <c r="ABB10" i="1"/>
  <c r="QI10" i="1"/>
  <c r="EY10" i="1"/>
  <c r="AS10" i="1"/>
  <c r="VN10" i="1"/>
  <c r="YR10" i="1"/>
  <c r="DB10" i="1"/>
  <c r="ZF10" i="1"/>
  <c r="FP10" i="1"/>
  <c r="GT10" i="1"/>
  <c r="CD10" i="1"/>
  <c r="GM10" i="1"/>
  <c r="VQ10" i="1"/>
  <c r="LA10" i="1"/>
  <c r="LB10" i="1"/>
  <c r="HO10" i="1"/>
  <c r="MB10" i="1"/>
  <c r="SX10" i="1"/>
  <c r="AAQ10" i="1"/>
  <c r="JE10" i="1"/>
  <c r="DF10" i="1"/>
  <c r="ABG10" i="1"/>
  <c r="BY10" i="1"/>
  <c r="BG10" i="1"/>
  <c r="PJ10" i="1"/>
  <c r="YE10" i="1"/>
  <c r="Y10" i="1"/>
  <c r="JY10" i="1"/>
  <c r="CM10" i="1"/>
  <c r="IM10" i="1"/>
  <c r="YQ10" i="1"/>
  <c r="AJ10" i="1"/>
  <c r="LX10" i="1"/>
  <c r="IN10" i="1"/>
  <c r="HQ10" i="1"/>
  <c r="ABA10" i="1"/>
  <c r="DP10" i="1"/>
  <c r="AG10" i="1"/>
  <c r="VI10" i="1"/>
  <c r="EV10" i="1"/>
  <c r="ZO10" i="1"/>
  <c r="WQ10" i="1"/>
  <c r="ZN10" i="1"/>
  <c r="WK10" i="1"/>
  <c r="RK10" i="1"/>
  <c r="PT10" i="1"/>
  <c r="VZ10" i="1"/>
  <c r="LL10" i="1"/>
  <c r="VW10" i="1"/>
  <c r="HY10" i="1"/>
  <c r="TO10" i="1"/>
  <c r="VB10" i="1"/>
  <c r="RZ10" i="1"/>
  <c r="MM10" i="1"/>
  <c r="CZ10" i="1"/>
  <c r="QG10" i="1"/>
  <c r="OC10" i="1"/>
  <c r="AAR10" i="1"/>
  <c r="QM10" i="1"/>
  <c r="ABC10" i="1"/>
  <c r="PG10" i="1"/>
  <c r="K10" i="1"/>
  <c r="X10" i="1"/>
  <c r="RF10" i="1"/>
  <c r="CN10" i="1"/>
  <c r="L10" i="1"/>
  <c r="BF10" i="1"/>
  <c r="UY10" i="1"/>
  <c r="KT10" i="1"/>
  <c r="PD10" i="1"/>
  <c r="UW35" i="1"/>
  <c r="UW43" i="1"/>
  <c r="TB52" i="1"/>
  <c r="BV30" i="1"/>
  <c r="QI33" i="1"/>
  <c r="DF38" i="1"/>
  <c r="AAZ33" i="1"/>
  <c r="UU44" i="1"/>
  <c r="BJ49" i="1"/>
  <c r="CQ36" i="1"/>
  <c r="UY57" i="1"/>
  <c r="BG54" i="1"/>
  <c r="ABK34" i="1"/>
  <c r="SD52" i="1"/>
  <c r="TB34" i="1"/>
  <c r="FS10" i="1"/>
  <c r="LG10" i="1"/>
  <c r="AAD10" i="1"/>
  <c r="XE10" i="1"/>
  <c r="RO10" i="1"/>
  <c r="DS10" i="1"/>
  <c r="SB10" i="1"/>
  <c r="KN10" i="1"/>
  <c r="KR10" i="1"/>
  <c r="GL10" i="1"/>
  <c r="G10" i="1"/>
  <c r="JM10" i="1"/>
  <c r="IV10" i="1"/>
  <c r="T10" i="1"/>
  <c r="UZ10" i="1"/>
  <c r="VT10" i="1"/>
  <c r="GI10" i="1"/>
  <c r="FN10" i="1"/>
  <c r="FL10" i="1"/>
  <c r="PI10" i="1"/>
  <c r="LF10" i="1"/>
  <c r="XV10" i="1"/>
  <c r="UW30" i="1"/>
  <c r="SG50" i="1"/>
  <c r="ABI37" i="1"/>
  <c r="SG33" i="1"/>
  <c r="ABI38" i="1"/>
  <c r="SG45" i="1"/>
  <c r="S10" i="1"/>
  <c r="FH10" i="1"/>
  <c r="CC10" i="1"/>
  <c r="BQ10" i="1"/>
  <c r="MX10" i="1"/>
  <c r="CX10" i="1"/>
  <c r="YB10" i="1"/>
  <c r="M10" i="1"/>
  <c r="SS10" i="1"/>
  <c r="AN10" i="1"/>
  <c r="ABD10" i="1"/>
  <c r="LY10" i="1"/>
  <c r="OX10" i="1"/>
  <c r="NR10" i="1"/>
  <c r="EP10" i="1"/>
  <c r="CY10" i="1"/>
  <c r="XX10" i="1"/>
  <c r="QW10" i="1"/>
  <c r="BH10" i="1"/>
  <c r="GB10" i="1"/>
  <c r="GG10" i="1"/>
  <c r="TB10" i="1"/>
  <c r="CE10" i="1"/>
  <c r="EE10" i="1"/>
  <c r="MK10" i="1"/>
  <c r="AAV10" i="1"/>
  <c r="QU10" i="1"/>
  <c r="BX10" i="1"/>
  <c r="TL10" i="1"/>
  <c r="AAE10" i="1"/>
  <c r="TA10" i="1"/>
  <c r="SC10" i="1"/>
  <c r="GF10" i="1"/>
  <c r="BP10" i="1"/>
  <c r="FQ10" i="1"/>
  <c r="QA10" i="1"/>
  <c r="PS10" i="1"/>
  <c r="JP10" i="1"/>
  <c r="R10" i="1"/>
  <c r="ABL10" i="1"/>
  <c r="VR10" i="1"/>
  <c r="MN10" i="1"/>
  <c r="OU10" i="1"/>
  <c r="AAZ10" i="1"/>
  <c r="LI10" i="1"/>
  <c r="MW10" i="1"/>
  <c r="GC10" i="1"/>
  <c r="PK10" i="1"/>
  <c r="BC10" i="1"/>
  <c r="DX10" i="1"/>
  <c r="ID10" i="1"/>
  <c r="SO10" i="1"/>
  <c r="KX10" i="1"/>
  <c r="FG10" i="1"/>
  <c r="TJ10" i="1"/>
  <c r="HS10" i="1"/>
  <c r="LO10" i="1"/>
  <c r="LH10" i="1"/>
  <c r="JC10" i="1"/>
  <c r="MJ10" i="1"/>
  <c r="AAC10" i="1"/>
  <c r="ZD10" i="1"/>
  <c r="ZX10" i="1"/>
  <c r="ABN10" i="1"/>
  <c r="MG10" i="1"/>
  <c r="ACB10" i="1"/>
  <c r="NL10" i="1"/>
  <c r="LP10" i="1"/>
  <c r="PO10" i="1"/>
  <c r="ZV10" i="1"/>
  <c r="KZ10" i="1"/>
  <c r="II10" i="1"/>
  <c r="VK10" i="1"/>
  <c r="RW10" i="1"/>
  <c r="VP10" i="1"/>
  <c r="XJ10" i="1"/>
  <c r="NI10" i="1"/>
  <c r="WM10" i="1"/>
  <c r="GO10" i="1"/>
  <c r="I10" i="1"/>
  <c r="VC10" i="1"/>
  <c r="LR10" i="1"/>
  <c r="TT10" i="1"/>
  <c r="EL10" i="1"/>
  <c r="XH10" i="1"/>
  <c r="WO10" i="1"/>
  <c r="ACJ10" i="1"/>
  <c r="RH10" i="1"/>
  <c r="Q10" i="1"/>
  <c r="QK10" i="1"/>
  <c r="TI10" i="1"/>
  <c r="AO10" i="1"/>
  <c r="EA10" i="1"/>
  <c r="MZ10" i="1"/>
  <c r="VX10" i="1"/>
  <c r="OJ10" i="1"/>
  <c r="BK10" i="1"/>
  <c r="VM10" i="1"/>
  <c r="PM10" i="1"/>
  <c r="XD10" i="1"/>
  <c r="ABH10" i="1"/>
  <c r="IX10" i="1"/>
  <c r="GZ10" i="1"/>
  <c r="GX10" i="1"/>
  <c r="IO10" i="1"/>
  <c r="AAX10" i="1"/>
  <c r="ABJ10" i="1"/>
  <c r="PY10" i="1"/>
  <c r="AF10" i="1"/>
  <c r="WR10" i="1"/>
  <c r="QD10" i="1"/>
  <c r="XF10" i="1"/>
  <c r="GR10" i="1"/>
  <c r="ZK10" i="1"/>
  <c r="LV10" i="1"/>
  <c r="EM10" i="1"/>
  <c r="SJ10" i="1"/>
  <c r="QH10" i="1"/>
  <c r="AAK10" i="1"/>
  <c r="OA10" i="1"/>
  <c r="ZY10" i="1"/>
  <c r="RE10" i="1"/>
  <c r="BJ10" i="1"/>
  <c r="QE10" i="1"/>
  <c r="BE10" i="1"/>
  <c r="ABY10" i="1"/>
  <c r="XP10" i="1"/>
  <c r="ZG10" i="1"/>
  <c r="AU10" i="1"/>
  <c r="IG10" i="1"/>
  <c r="YX10" i="1"/>
  <c r="US10" i="1"/>
  <c r="BI10" i="1"/>
  <c r="AV10" i="1"/>
  <c r="BL10" i="1"/>
  <c r="HJ10" i="1"/>
  <c r="GE10" i="1"/>
  <c r="TP10" i="1"/>
  <c r="EC10" i="1"/>
  <c r="CQ10" i="1"/>
  <c r="SV10" i="1"/>
  <c r="UD10" i="1"/>
  <c r="LW10" i="1"/>
  <c r="ABI10" i="1"/>
  <c r="IW10" i="1"/>
  <c r="CP10" i="1"/>
  <c r="ZH10" i="1"/>
  <c r="ABO10" i="1"/>
  <c r="TB41" i="1"/>
  <c r="ABI29" i="1"/>
  <c r="CT51" i="1"/>
  <c r="UX49" i="1"/>
  <c r="QF30" i="1"/>
  <c r="VC44" i="1"/>
  <c r="AAY36" i="1"/>
  <c r="UU57" i="1"/>
  <c r="BJ56" i="1"/>
  <c r="CQ50" i="1"/>
  <c r="UY53" i="1"/>
  <c r="TR36" i="1"/>
  <c r="DC55" i="1"/>
  <c r="DM43" i="1"/>
  <c r="ABI35" i="1"/>
  <c r="N10" i="1"/>
  <c r="CU10" i="1"/>
  <c r="AL10" i="1"/>
  <c r="YD10" i="1"/>
  <c r="DQ10" i="1"/>
  <c r="OF10" i="1"/>
  <c r="OY10" i="1"/>
  <c r="MC10" i="1"/>
  <c r="XT10" i="1"/>
  <c r="SP10" i="1"/>
  <c r="UQ10" i="1"/>
  <c r="KV10" i="1"/>
  <c r="VF10" i="1"/>
  <c r="XI10" i="1"/>
  <c r="MP10" i="1"/>
  <c r="AE10" i="1"/>
  <c r="IS10" i="1"/>
  <c r="UP10" i="1"/>
  <c r="VG10" i="1"/>
  <c r="UO10" i="1"/>
  <c r="AA10" i="1"/>
  <c r="SU10" i="1"/>
  <c r="VD10" i="1"/>
  <c r="ACK10" i="1"/>
  <c r="SG52" i="1"/>
  <c r="ABI28" i="1"/>
  <c r="UW47" i="1"/>
  <c r="TB47" i="1"/>
  <c r="UW44" i="1"/>
  <c r="TB39" i="1"/>
  <c r="UB10" i="1"/>
  <c r="EJ10" i="1"/>
  <c r="WI10" i="1"/>
  <c r="AAS10" i="1"/>
  <c r="CF10" i="1"/>
  <c r="ZL10" i="1"/>
  <c r="O10" i="1"/>
  <c r="FF10" i="1"/>
  <c r="CV10" i="1"/>
  <c r="CH10" i="1"/>
  <c r="PR10" i="1"/>
  <c r="MA10" i="1"/>
  <c r="UC10" i="1"/>
  <c r="KL10" i="1"/>
  <c r="IJ10" i="1"/>
  <c r="IR10" i="1"/>
  <c r="ACL10" i="1"/>
  <c r="UN10" i="1"/>
  <c r="OB10" i="1"/>
  <c r="DE10" i="1"/>
  <c r="OT10" i="1"/>
  <c r="AQ10" i="1"/>
  <c r="WL10" i="1"/>
  <c r="ZR10" i="1"/>
  <c r="BW10" i="1"/>
  <c r="CR10" i="1"/>
  <c r="QX10" i="1"/>
  <c r="QF10" i="1"/>
  <c r="MT10" i="1"/>
  <c r="BR10" i="1"/>
  <c r="XZ10" i="1"/>
  <c r="BN10" i="1"/>
  <c r="RC10" i="1"/>
  <c r="WH10" i="1"/>
  <c r="WC10" i="1"/>
  <c r="PL10" i="1"/>
  <c r="SQ10" i="1"/>
  <c r="ON10" i="1"/>
  <c r="ZJ10" i="1"/>
  <c r="WB10" i="1"/>
  <c r="KM10" i="1"/>
  <c r="XU10" i="1"/>
  <c r="EZ10" i="1"/>
  <c r="GK10" i="1"/>
  <c r="JJ10" i="1"/>
  <c r="KP10" i="1"/>
  <c r="TF10" i="1"/>
  <c r="AY10" i="1"/>
  <c r="NS10" i="1"/>
  <c r="NA10" i="1"/>
  <c r="ML10" i="1"/>
  <c r="SR10" i="1"/>
  <c r="DC10" i="1"/>
  <c r="FJ10" i="1"/>
  <c r="YM10" i="1"/>
  <c r="W10" i="1"/>
  <c r="IL10" i="1"/>
  <c r="QJ10" i="1"/>
  <c r="ACD10" i="1"/>
  <c r="NX10" i="1"/>
  <c r="PW10" i="1"/>
  <c r="JZ10" i="1"/>
  <c r="RI10" i="1"/>
  <c r="BZ10" i="1"/>
  <c r="RU10" i="1"/>
  <c r="NP10" i="1"/>
  <c r="WN10" i="1"/>
  <c r="DG10" i="1"/>
  <c r="NF10" i="1"/>
  <c r="MF10" i="1"/>
  <c r="KH10" i="1"/>
  <c r="SE10" i="1"/>
  <c r="ABF10" i="1"/>
  <c r="ACA10" i="1"/>
  <c r="KJ10" i="1"/>
  <c r="DI10" i="1"/>
  <c r="RD10" i="1"/>
  <c r="ER10" i="1"/>
  <c r="GY10" i="1"/>
  <c r="NM10" i="1"/>
  <c r="LK10" i="1"/>
  <c r="LT10" i="1"/>
  <c r="IF10" i="1"/>
  <c r="VU10" i="1"/>
  <c r="DU10" i="1"/>
  <c r="YL10" i="1"/>
  <c r="NK10" i="1"/>
  <c r="UL10" i="1"/>
  <c r="YV10" i="1"/>
  <c r="EU10" i="1"/>
  <c r="JH10" i="1"/>
  <c r="PQ10" i="1"/>
  <c r="CJ10" i="1"/>
  <c r="KB10" i="1"/>
  <c r="KC10" i="1"/>
  <c r="MU10" i="1"/>
  <c r="DR10" i="1"/>
  <c r="AC10" i="1"/>
  <c r="YW10" i="1"/>
  <c r="OI10" i="1"/>
  <c r="YU10" i="1"/>
  <c r="FU10" i="1"/>
  <c r="V10" i="1"/>
  <c r="EW10" i="1"/>
  <c r="PV10" i="1"/>
  <c r="VJ10" i="1"/>
  <c r="XY10" i="1"/>
  <c r="RM10" i="1"/>
  <c r="BU10" i="1"/>
  <c r="LQ10" i="1"/>
  <c r="SL10" i="1"/>
  <c r="EQ10" i="1"/>
  <c r="HX10" i="1"/>
  <c r="CI10" i="1"/>
  <c r="GS10" i="1"/>
  <c r="TK10" i="1"/>
  <c r="AAT10" i="1"/>
  <c r="WJ10" i="1"/>
  <c r="NQ10" i="1"/>
  <c r="ABQ10" i="1"/>
  <c r="GQ10" i="1"/>
  <c r="FR10" i="1"/>
  <c r="FE10" i="1"/>
  <c r="WF10" i="1"/>
  <c r="TR10" i="1"/>
  <c r="LE10" i="1"/>
  <c r="MQ10" i="1"/>
  <c r="AAA10" i="1"/>
  <c r="WS10" i="1"/>
  <c r="ZP10" i="1"/>
  <c r="ZE10" i="1"/>
  <c r="GU10" i="1"/>
  <c r="JL10" i="1"/>
  <c r="DV10" i="1"/>
  <c r="KG10" i="1"/>
  <c r="ES10" i="1"/>
  <c r="KK10" i="1"/>
  <c r="ZB10" i="1"/>
  <c r="YA10" i="1"/>
  <c r="YT10" i="1"/>
  <c r="NH10" i="1"/>
  <c r="OH10" i="1"/>
  <c r="BS10" i="1"/>
  <c r="QV10" i="1"/>
  <c r="AR10" i="1"/>
  <c r="PH10" i="1"/>
  <c r="PE10" i="1"/>
  <c r="UW10" i="1"/>
  <c r="TM10" i="1"/>
  <c r="KD10" i="1"/>
  <c r="GD10" i="1"/>
  <c r="SG51" i="1"/>
  <c r="ABI33" i="1"/>
  <c r="CT31" i="1"/>
  <c r="UX28" i="1"/>
  <c r="QF56" i="1"/>
  <c r="VC43" i="1"/>
  <c r="AAZ41" i="1"/>
  <c r="CH29" i="1"/>
  <c r="UT35" i="1"/>
  <c r="TE29" i="1"/>
  <c r="ACJ35" i="1"/>
  <c r="TR44" i="1"/>
  <c r="DC53" i="1"/>
  <c r="VB32" i="1"/>
  <c r="AAI10" i="1"/>
  <c r="OG10" i="1"/>
  <c r="UR10" i="1"/>
  <c r="TN10" i="1"/>
  <c r="LN10" i="1"/>
  <c r="MO10" i="1"/>
  <c r="PC10" i="1"/>
  <c r="FM10" i="1"/>
  <c r="VS10" i="1"/>
  <c r="HR10" i="1"/>
  <c r="EO10" i="1"/>
  <c r="ABI36" i="1"/>
  <c r="SG41" i="1"/>
  <c r="SG47" i="1"/>
  <c r="UW41" i="1"/>
  <c r="UW49" i="1"/>
  <c r="ABI34" i="1"/>
  <c r="ABI39" i="1"/>
  <c r="TB44" i="1"/>
  <c r="TB30" i="1"/>
  <c r="CT30" i="1"/>
  <c r="CT52" i="1"/>
  <c r="BV37" i="1"/>
  <c r="BV36" i="1"/>
  <c r="UX32" i="1"/>
  <c r="UX40" i="1"/>
  <c r="QI50" i="1"/>
  <c r="QI37" i="1"/>
  <c r="QF54" i="1"/>
  <c r="QF53" i="1"/>
  <c r="DF42" i="1"/>
  <c r="DF29" i="1"/>
  <c r="VC42" i="1"/>
  <c r="BS54" i="1"/>
  <c r="BS38" i="1"/>
  <c r="AAZ28" i="1"/>
  <c r="AAY43" i="1"/>
  <c r="AAZ40" i="1"/>
  <c r="AAY41" i="1"/>
  <c r="UU53" i="1"/>
  <c r="UU35" i="1"/>
  <c r="CH36" i="1"/>
  <c r="CH46" i="1"/>
  <c r="BJ28" i="1"/>
  <c r="BJ39" i="1"/>
  <c r="UT57" i="1"/>
  <c r="CQ39" i="1"/>
  <c r="CQ29" i="1"/>
  <c r="TE53" i="1"/>
  <c r="TE39" i="1"/>
  <c r="UY33" i="1"/>
  <c r="UY51" i="1"/>
  <c r="ACJ30" i="1"/>
  <c r="ACJ36" i="1"/>
  <c r="BG34" i="1"/>
  <c r="BG40" i="1"/>
  <c r="TR41" i="1"/>
  <c r="TR46" i="1"/>
  <c r="ABK43" i="1"/>
  <c r="ABK49" i="1"/>
  <c r="DC50" i="1"/>
  <c r="DC39" i="1"/>
  <c r="SD33" i="1"/>
  <c r="DM48" i="1"/>
  <c r="DM29" i="1"/>
  <c r="VB53" i="1"/>
  <c r="VB35" i="1"/>
  <c r="VA29" i="1"/>
  <c r="VA33" i="1"/>
  <c r="ZW37" i="1"/>
  <c r="ACG48" i="1"/>
  <c r="ACG40" i="1"/>
  <c r="UZ57" i="1"/>
  <c r="UZ30" i="1"/>
  <c r="TO50" i="1"/>
  <c r="TO57" i="1"/>
  <c r="DN43" i="1"/>
  <c r="DN56" i="1"/>
  <c r="SP52" i="1"/>
  <c r="SP40" i="1"/>
  <c r="AAW55" i="1"/>
  <c r="AAW43" i="1"/>
  <c r="RR45" i="1"/>
  <c r="RR54" i="1"/>
  <c r="SS47" i="1"/>
  <c r="PG55" i="1"/>
  <c r="PG44" i="1"/>
  <c r="PJ43" i="1"/>
  <c r="PJ32" i="1"/>
  <c r="CE31" i="1"/>
  <c r="CE48" i="1"/>
  <c r="RU38" i="1"/>
  <c r="UV45" i="1"/>
  <c r="UV53" i="1"/>
  <c r="NO49" i="1"/>
  <c r="NL35" i="1"/>
  <c r="SG28" i="1"/>
  <c r="SG30" i="1"/>
  <c r="UW45" i="1"/>
  <c r="ABI54" i="1"/>
  <c r="ABI30" i="1"/>
  <c r="TB31" i="1"/>
  <c r="CT46" i="1"/>
  <c r="CT44" i="1"/>
  <c r="BV35" i="1"/>
  <c r="UX31" i="1"/>
  <c r="QI28" i="1"/>
  <c r="QI30" i="1"/>
  <c r="QF45" i="1"/>
  <c r="DF54" i="1"/>
  <c r="VC46" i="1"/>
  <c r="BS51" i="1"/>
  <c r="AAY28" i="1"/>
  <c r="AAY46" i="1"/>
  <c r="UU41" i="1"/>
  <c r="CH53" i="1"/>
  <c r="BJ34" i="1"/>
  <c r="CQ28" i="1"/>
  <c r="TE33" i="1"/>
  <c r="UY45" i="1"/>
  <c r="ACJ31" i="1"/>
  <c r="BG57" i="1"/>
  <c r="TR49" i="1"/>
  <c r="ABK56" i="1"/>
  <c r="DC35" i="1"/>
  <c r="SD36" i="1"/>
  <c r="DM46" i="1"/>
  <c r="VB39" i="1"/>
  <c r="VA30" i="1"/>
  <c r="ZW48" i="1"/>
  <c r="ACG30" i="1"/>
  <c r="UZ29" i="1"/>
  <c r="TO35" i="1"/>
  <c r="DN31" i="1"/>
  <c r="AAW39" i="1"/>
  <c r="RR34" i="1"/>
  <c r="SS48" i="1"/>
  <c r="PG57" i="1"/>
  <c r="PJ29" i="1"/>
  <c r="CE45" i="1"/>
  <c r="RU55" i="1"/>
  <c r="UV36" i="1"/>
  <c r="NO40" i="1"/>
  <c r="NL45" i="1"/>
  <c r="SG49" i="1"/>
  <c r="UW52" i="1"/>
  <c r="ABI55" i="1"/>
  <c r="TB43" i="1"/>
  <c r="BV28" i="1"/>
  <c r="UX30" i="1"/>
  <c r="QI57" i="1"/>
  <c r="QF55" i="1"/>
  <c r="DF28" i="1"/>
  <c r="VC45" i="1"/>
  <c r="BS30" i="1"/>
  <c r="AAY33" i="1"/>
  <c r="AAZ45" i="1"/>
  <c r="UU38" i="1"/>
  <c r="CH32" i="1"/>
  <c r="BJ30" i="1"/>
  <c r="UT41" i="1"/>
  <c r="TE46" i="1"/>
  <c r="UY54" i="1"/>
  <c r="ACJ40" i="1"/>
  <c r="BG39" i="1"/>
  <c r="TR28" i="1"/>
  <c r="ABK48" i="1"/>
  <c r="DC51" i="1"/>
  <c r="SD39" i="1"/>
  <c r="DM50" i="1"/>
  <c r="VB34" i="1"/>
  <c r="VA38" i="1"/>
  <c r="ZW51" i="1"/>
  <c r="ACG31" i="1"/>
  <c r="UZ45" i="1"/>
  <c r="TO53" i="1"/>
  <c r="DN57" i="1"/>
  <c r="SP44" i="1"/>
  <c r="AAW32" i="1"/>
  <c r="SS32" i="1"/>
  <c r="PG42" i="1"/>
  <c r="PJ54" i="1"/>
  <c r="CE35" i="1"/>
  <c r="RU56" i="1"/>
  <c r="UV31" i="1"/>
  <c r="NO34" i="1"/>
  <c r="NL38" i="1"/>
  <c r="CT49" i="1"/>
  <c r="BV44" i="1"/>
  <c r="UX47" i="1"/>
  <c r="QI51" i="1"/>
  <c r="QF40" i="1"/>
  <c r="DF41" i="1"/>
  <c r="VC54" i="1"/>
  <c r="AAZ32" i="1"/>
  <c r="AAZ39" i="1"/>
  <c r="UU43" i="1"/>
  <c r="CH52" i="1"/>
  <c r="BJ50" i="1"/>
  <c r="UT32" i="1"/>
  <c r="CQ53" i="1"/>
  <c r="TE34" i="1"/>
  <c r="UY38" i="1"/>
  <c r="ACJ50" i="1"/>
  <c r="BG50" i="1"/>
  <c r="TR57" i="1"/>
  <c r="DC28" i="1"/>
  <c r="VB29" i="1"/>
  <c r="ZW30" i="1"/>
  <c r="UZ39" i="1"/>
  <c r="DN32" i="1"/>
  <c r="AAW57" i="1"/>
  <c r="SS35" i="1"/>
  <c r="PJ28" i="1"/>
  <c r="UV42" i="1"/>
  <c r="NL47" i="1"/>
  <c r="AH10" i="1"/>
  <c r="FK10" i="1"/>
  <c r="JI10" i="1"/>
  <c r="OK10" i="1"/>
  <c r="AP10" i="1"/>
  <c r="IQ10" i="1"/>
  <c r="YF10" i="1"/>
  <c r="AAW10" i="1"/>
  <c r="IZ10" i="1"/>
  <c r="VE10" i="1"/>
  <c r="NZ10" i="1"/>
  <c r="YO10" i="1"/>
  <c r="ACM10" i="1"/>
  <c r="ABI52" i="1"/>
  <c r="SG40" i="1"/>
  <c r="SG29" i="1"/>
  <c r="UW51" i="1"/>
  <c r="UW56" i="1"/>
  <c r="ABI45" i="1"/>
  <c r="ABI56" i="1"/>
  <c r="TB35" i="1"/>
  <c r="TB28" i="1"/>
  <c r="CT57" i="1"/>
  <c r="CT54" i="1"/>
  <c r="BV39" i="1"/>
  <c r="BV49" i="1"/>
  <c r="UX53" i="1"/>
  <c r="UX52" i="1"/>
  <c r="QI46" i="1"/>
  <c r="QF36" i="1"/>
  <c r="QF28" i="1"/>
  <c r="DF43" i="1"/>
  <c r="DF46" i="1"/>
  <c r="VC28" i="1"/>
  <c r="VC51" i="1"/>
  <c r="BS31" i="1"/>
  <c r="BS35" i="1"/>
  <c r="AAY29" i="1"/>
  <c r="AAZ47" i="1"/>
  <c r="AAY37" i="1"/>
  <c r="AAY50" i="1"/>
  <c r="UU50" i="1"/>
  <c r="UU33" i="1"/>
  <c r="CH57" i="1"/>
  <c r="CH34" i="1"/>
  <c r="BJ44" i="1"/>
  <c r="UT53" i="1"/>
  <c r="UT54" i="1"/>
  <c r="CQ54" i="1"/>
  <c r="CQ51" i="1"/>
  <c r="TE55" i="1"/>
  <c r="TE31" i="1"/>
  <c r="UY50" i="1"/>
  <c r="UY37" i="1"/>
  <c r="ACJ57" i="1"/>
  <c r="ACJ51" i="1"/>
  <c r="BG49" i="1"/>
  <c r="BG48" i="1"/>
  <c r="TR55" i="1"/>
  <c r="TR29" i="1"/>
  <c r="ABK38" i="1"/>
  <c r="ABK45" i="1"/>
  <c r="DC37" i="1"/>
  <c r="SD57" i="1"/>
  <c r="SD38" i="1"/>
  <c r="DM56" i="1"/>
  <c r="DM54" i="1"/>
  <c r="VB47" i="1"/>
  <c r="VB56" i="1"/>
  <c r="VA53" i="1"/>
  <c r="ZW56" i="1"/>
  <c r="ZW35" i="1"/>
  <c r="ACG52" i="1"/>
  <c r="ACG44" i="1"/>
  <c r="UZ44" i="1"/>
  <c r="UZ43" i="1"/>
  <c r="TO45" i="1"/>
  <c r="TO34" i="1"/>
  <c r="DN33" i="1"/>
  <c r="DN53" i="1"/>
  <c r="SP42" i="1"/>
  <c r="AAW53" i="1"/>
  <c r="AAW29" i="1"/>
  <c r="RR55" i="1"/>
  <c r="RR30" i="1"/>
  <c r="SS55" i="1"/>
  <c r="SS46" i="1"/>
  <c r="PG35" i="1"/>
  <c r="PG46" i="1"/>
  <c r="PJ57" i="1"/>
  <c r="PJ35" i="1"/>
  <c r="CE53" i="1"/>
  <c r="RU44" i="1"/>
  <c r="RU49" i="1"/>
  <c r="UV50" i="1"/>
  <c r="NO45" i="1"/>
  <c r="NO52" i="1"/>
  <c r="NL51" i="1"/>
  <c r="SG34" i="1"/>
  <c r="SG32" i="1"/>
  <c r="UW53" i="1"/>
  <c r="ABI44" i="1"/>
  <c r="TB32" i="1"/>
  <c r="TB56" i="1"/>
  <c r="CT43" i="1"/>
  <c r="BV40" i="1"/>
  <c r="BV31" i="1"/>
  <c r="UX29" i="1"/>
  <c r="QI43" i="1"/>
  <c r="QI34" i="1"/>
  <c r="QF50" i="1"/>
  <c r="DF53" i="1"/>
  <c r="VC35" i="1"/>
  <c r="BS47" i="1"/>
  <c r="AAY53" i="1"/>
  <c r="UU51" i="1"/>
  <c r="CH56" i="1"/>
  <c r="BJ40" i="1"/>
  <c r="UT38" i="1"/>
  <c r="CQ44" i="1"/>
  <c r="TE38" i="1"/>
  <c r="UY36" i="1"/>
  <c r="ACJ33" i="1"/>
  <c r="BG45" i="1"/>
  <c r="TR34" i="1"/>
  <c r="ABK47" i="1"/>
  <c r="DC32" i="1"/>
  <c r="SD29" i="1"/>
  <c r="DM31" i="1"/>
  <c r="VB45" i="1"/>
  <c r="VA51" i="1"/>
  <c r="ACG28" i="1"/>
  <c r="UZ54" i="1"/>
  <c r="TO41" i="1"/>
  <c r="DN54" i="1"/>
  <c r="SP48" i="1"/>
  <c r="AAW51" i="1"/>
  <c r="RR56" i="1"/>
  <c r="SS45" i="1"/>
  <c r="PG37" i="1"/>
  <c r="PJ44" i="1"/>
  <c r="CE56" i="1"/>
  <c r="RU45" i="1"/>
  <c r="UV40" i="1"/>
  <c r="NO43" i="1"/>
  <c r="NL44" i="1"/>
  <c r="SG36" i="1"/>
  <c r="ABI53" i="1"/>
  <c r="TB33" i="1"/>
  <c r="CT33" i="1"/>
  <c r="BV38" i="1"/>
  <c r="UX57" i="1"/>
  <c r="QI29" i="1"/>
  <c r="QF33" i="1"/>
  <c r="DF52" i="1"/>
  <c r="VC48" i="1"/>
  <c r="BS29" i="1"/>
  <c r="AAY57" i="1"/>
  <c r="UU30" i="1"/>
  <c r="CH54" i="1"/>
  <c r="BJ55" i="1"/>
  <c r="UT42" i="1"/>
  <c r="CQ38" i="1"/>
  <c r="TE51" i="1"/>
  <c r="UY29" i="1"/>
  <c r="ACJ47" i="1"/>
  <c r="BG42" i="1"/>
  <c r="TR56" i="1"/>
  <c r="ABK51" i="1"/>
  <c r="DC54" i="1"/>
  <c r="SD42" i="1"/>
  <c r="DM47" i="1"/>
  <c r="VB36" i="1"/>
  <c r="VA49" i="1"/>
  <c r="ZW46" i="1"/>
  <c r="ACG42" i="1"/>
  <c r="TO55" i="1"/>
  <c r="DN40" i="1"/>
  <c r="SP41" i="1"/>
  <c r="AAW47" i="1"/>
  <c r="RR44" i="1"/>
  <c r="SS41" i="1"/>
  <c r="PG49" i="1"/>
  <c r="PJ39" i="1"/>
  <c r="CE36" i="1"/>
  <c r="RU28" i="1"/>
  <c r="UV41" i="1"/>
  <c r="NO48" i="1"/>
  <c r="NL50" i="1"/>
  <c r="CT36" i="1"/>
  <c r="BV52" i="1"/>
  <c r="UX37" i="1"/>
  <c r="QI42" i="1"/>
  <c r="DF36" i="1"/>
  <c r="VC56" i="1"/>
  <c r="BS57" i="1"/>
  <c r="AAY31" i="1"/>
  <c r="AAZ43" i="1"/>
  <c r="UU52" i="1"/>
  <c r="CH51" i="1"/>
  <c r="BJ37" i="1"/>
  <c r="UT37" i="1"/>
  <c r="CQ57" i="1"/>
  <c r="TE43" i="1"/>
  <c r="ACJ29" i="1"/>
  <c r="BG31" i="1"/>
  <c r="TR51" i="1"/>
  <c r="ABK55" i="1"/>
  <c r="SD45" i="1"/>
  <c r="VB48" i="1"/>
  <c r="ZW45" i="1"/>
  <c r="TO31" i="1"/>
  <c r="SP56" i="1"/>
  <c r="RR47" i="1"/>
  <c r="PG51" i="1"/>
  <c r="CE46" i="1"/>
  <c r="UV52" i="1"/>
  <c r="NL28" i="1"/>
  <c r="LM10" i="1"/>
  <c r="VY10" i="1"/>
  <c r="QY10" i="1"/>
  <c r="OD10" i="1"/>
  <c r="SH10" i="1"/>
  <c r="OZ10" i="1"/>
  <c r="DJ10" i="1"/>
  <c r="SM10" i="1"/>
  <c r="PP10" i="1"/>
  <c r="RY10" i="1"/>
  <c r="ACC10" i="1"/>
  <c r="TV10" i="1"/>
  <c r="ZA10" i="1"/>
  <c r="DT10" i="1"/>
  <c r="KW10" i="1"/>
  <c r="IK10" i="1"/>
  <c r="BT10" i="1"/>
  <c r="ST10" i="1"/>
  <c r="ACG10" i="1"/>
  <c r="DA10" i="1"/>
  <c r="AB10" i="1"/>
  <c r="NJ10" i="1"/>
  <c r="XQ10" i="1"/>
  <c r="UK10" i="1"/>
  <c r="GJ10" i="1"/>
  <c r="ND10" i="1"/>
  <c r="UV10" i="1"/>
  <c r="UT10" i="1"/>
  <c r="RQ10" i="1"/>
  <c r="TC10" i="1"/>
  <c r="RX10" i="1"/>
  <c r="LU10" i="1"/>
  <c r="XS10" i="1"/>
  <c r="JG10" i="1"/>
  <c r="LJ10" i="1"/>
  <c r="UU10" i="1"/>
  <c r="AT10" i="1"/>
  <c r="IC10" i="1"/>
  <c r="KU10" i="1"/>
  <c r="AAB10" i="1"/>
  <c r="ACE10" i="1"/>
  <c r="HZ10" i="1"/>
  <c r="AX10" i="1"/>
  <c r="HW10" i="1"/>
  <c r="TB38" i="1"/>
  <c r="SG57" i="1"/>
  <c r="SG31" i="1"/>
  <c r="UW37" i="1"/>
  <c r="UW46" i="1"/>
  <c r="ABI51" i="1"/>
  <c r="ABI46" i="1"/>
  <c r="TB42" i="1"/>
  <c r="TB36" i="1"/>
  <c r="CT35" i="1"/>
  <c r="CT55" i="1"/>
  <c r="BV33" i="1"/>
  <c r="BV29" i="1"/>
  <c r="UX43" i="1"/>
  <c r="QI56" i="1"/>
  <c r="QI44" i="1"/>
  <c r="QF51" i="1"/>
  <c r="QF49" i="1"/>
  <c r="DF39" i="1"/>
  <c r="DF31" i="1"/>
  <c r="VC41" i="1"/>
  <c r="VC49" i="1"/>
  <c r="BS49" i="1"/>
  <c r="BS37" i="1"/>
  <c r="AAY35" i="1"/>
  <c r="AAZ52" i="1"/>
  <c r="AAY38" i="1"/>
  <c r="UU40" i="1"/>
  <c r="UU47" i="1"/>
  <c r="CH55" i="1"/>
  <c r="CH38" i="1"/>
  <c r="BJ42" i="1"/>
  <c r="BJ47" i="1"/>
  <c r="UT40" i="1"/>
  <c r="UT31" i="1"/>
  <c r="CQ34" i="1"/>
  <c r="CQ43" i="1"/>
  <c r="TE52" i="1"/>
  <c r="TE50" i="1"/>
  <c r="UY56" i="1"/>
  <c r="UY40" i="1"/>
  <c r="ACJ43" i="1"/>
  <c r="ACJ55" i="1"/>
  <c r="BG38" i="1"/>
  <c r="BG55" i="1"/>
  <c r="TR37" i="1"/>
  <c r="ABK28" i="1"/>
  <c r="ABK57" i="1"/>
  <c r="DC46" i="1"/>
  <c r="DC40" i="1"/>
  <c r="SD32" i="1"/>
  <c r="SD34" i="1"/>
  <c r="DM40" i="1"/>
  <c r="DM39" i="1"/>
  <c r="VB52" i="1"/>
  <c r="VA37" i="1"/>
  <c r="VA55" i="1"/>
  <c r="ZW39" i="1"/>
  <c r="ZW33" i="1"/>
  <c r="ACG46" i="1"/>
  <c r="ACG29" i="1"/>
  <c r="UZ41" i="1"/>
  <c r="UZ46" i="1"/>
  <c r="TO28" i="1"/>
  <c r="DN28" i="1"/>
  <c r="DN39" i="1"/>
  <c r="SP38" i="1"/>
  <c r="SP30" i="1"/>
  <c r="AAW31" i="1"/>
  <c r="AAW38" i="1"/>
  <c r="RR33" i="1"/>
  <c r="RR57" i="1"/>
  <c r="SS42" i="1"/>
  <c r="SS34" i="1"/>
  <c r="PG56" i="1"/>
  <c r="PG32" i="1"/>
  <c r="PJ42" i="1"/>
  <c r="CE44" i="1"/>
  <c r="CE29" i="1"/>
  <c r="RU40" i="1"/>
  <c r="RU57" i="1"/>
  <c r="UV56" i="1"/>
  <c r="NO46" i="1"/>
  <c r="NO32" i="1"/>
  <c r="NL56" i="1"/>
  <c r="SG54" i="1"/>
  <c r="UW29" i="1"/>
  <c r="UW55" i="1"/>
  <c r="ABI43" i="1"/>
  <c r="TB51" i="1"/>
  <c r="TB57" i="1"/>
  <c r="CT40" i="1"/>
  <c r="BV53" i="1"/>
  <c r="BV46" i="1"/>
  <c r="UX41" i="1"/>
  <c r="QI52" i="1"/>
  <c r="QF35" i="1"/>
  <c r="QF52" i="1"/>
  <c r="DF50" i="1"/>
  <c r="VC55" i="1"/>
  <c r="BS48" i="1"/>
  <c r="AAY56" i="1"/>
  <c r="UU46" i="1"/>
  <c r="CH50" i="1"/>
  <c r="BJ51" i="1"/>
  <c r="UT43" i="1"/>
  <c r="CQ55" i="1"/>
  <c r="TE30" i="1"/>
  <c r="UY31" i="1"/>
  <c r="ACJ39" i="1"/>
  <c r="BG36" i="1"/>
  <c r="TR35" i="1"/>
  <c r="ABK33" i="1"/>
  <c r="DC44" i="1"/>
  <c r="SD48" i="1"/>
  <c r="DM53" i="1"/>
  <c r="VB43" i="1"/>
  <c r="ZW42" i="1"/>
  <c r="ACG35" i="1"/>
  <c r="UZ49" i="1"/>
  <c r="TO46" i="1"/>
  <c r="DN44" i="1"/>
  <c r="SP46" i="1"/>
  <c r="AAW54" i="1"/>
  <c r="RR29" i="1"/>
  <c r="SS39" i="1"/>
  <c r="PG31" i="1"/>
  <c r="PJ46" i="1"/>
  <c r="CE54" i="1"/>
  <c r="RU39" i="1"/>
  <c r="UV32" i="1"/>
  <c r="NO51" i="1"/>
  <c r="SG42" i="1"/>
  <c r="UW57" i="1"/>
  <c r="ABI32" i="1"/>
  <c r="TB46" i="1"/>
  <c r="CT42" i="1"/>
  <c r="BV55" i="1"/>
  <c r="UX44" i="1"/>
  <c r="QI40" i="1"/>
  <c r="QF57" i="1"/>
  <c r="DF56" i="1"/>
  <c r="VC29" i="1"/>
  <c r="BS32" i="1"/>
  <c r="AAY54" i="1"/>
  <c r="UU34" i="1"/>
  <c r="CH49" i="1"/>
  <c r="BJ48" i="1"/>
  <c r="UT52" i="1"/>
  <c r="CQ45" i="1"/>
  <c r="TE40" i="1"/>
  <c r="UY42" i="1"/>
  <c r="ACJ42" i="1"/>
  <c r="BG47" i="1"/>
  <c r="TR45" i="1"/>
  <c r="DC33" i="1"/>
  <c r="SD37" i="1"/>
  <c r="DM42" i="1"/>
  <c r="VB38" i="1"/>
  <c r="VA46" i="1"/>
  <c r="ZW41" i="1"/>
  <c r="ACG38" i="1"/>
  <c r="UZ40" i="1"/>
  <c r="TO43" i="1"/>
  <c r="DN48" i="1"/>
  <c r="SP39" i="1"/>
  <c r="AAW49" i="1"/>
  <c r="RR37" i="1"/>
  <c r="SS33" i="1"/>
  <c r="PG50" i="1"/>
  <c r="PJ48" i="1"/>
  <c r="CE39" i="1"/>
  <c r="RU36" i="1"/>
  <c r="UV33" i="1"/>
  <c r="NO37" i="1"/>
  <c r="NL55" i="1"/>
  <c r="CT32" i="1"/>
  <c r="BV51" i="1"/>
  <c r="UX39" i="1"/>
  <c r="QF41" i="1"/>
  <c r="DF35" i="1"/>
  <c r="VC57" i="1"/>
  <c r="BS34" i="1"/>
  <c r="AAZ50" i="1"/>
  <c r="AAZ54" i="1"/>
  <c r="UU56" i="1"/>
  <c r="CH40" i="1"/>
  <c r="BJ46" i="1"/>
  <c r="UT28" i="1"/>
  <c r="CQ40" i="1"/>
  <c r="UY49" i="1"/>
  <c r="ACJ28" i="1"/>
  <c r="BG46" i="1"/>
  <c r="TR47" i="1"/>
  <c r="ABK30" i="1"/>
  <c r="DM55" i="1"/>
  <c r="VA28" i="1"/>
  <c r="ACG41" i="1"/>
  <c r="TO47" i="1"/>
  <c r="SP37" i="1"/>
  <c r="RR31" i="1"/>
  <c r="PG40" i="1"/>
  <c r="RU35" i="1"/>
  <c r="NO36" i="1"/>
  <c r="VB42" i="1"/>
  <c r="VA41" i="1"/>
  <c r="VA50" i="1"/>
  <c r="ZW49" i="1"/>
  <c r="ZW52" i="1"/>
  <c r="ACG36" i="1"/>
  <c r="UZ56" i="1"/>
  <c r="UZ51" i="1"/>
  <c r="TO32" i="1"/>
  <c r="TO29" i="1"/>
  <c r="DN41" i="1"/>
  <c r="DN55" i="1"/>
  <c r="SP55" i="1"/>
  <c r="SP49" i="1"/>
  <c r="AAW45" i="1"/>
  <c r="AAW52" i="1"/>
  <c r="RR52" i="1"/>
  <c r="RR36" i="1"/>
  <c r="SS57" i="1"/>
  <c r="SS56" i="1"/>
  <c r="PG36" i="1"/>
  <c r="PJ50" i="1"/>
  <c r="PJ30" i="1"/>
  <c r="CE52" i="1"/>
  <c r="CE28" i="1"/>
  <c r="RU53" i="1"/>
  <c r="RU48" i="1"/>
  <c r="UV49" i="1"/>
  <c r="NO47" i="1"/>
  <c r="NL29" i="1"/>
  <c r="NL52" i="1"/>
  <c r="SG46" i="1"/>
  <c r="UW34" i="1"/>
  <c r="UW42" i="1"/>
  <c r="ABI57" i="1"/>
  <c r="TB54" i="1"/>
  <c r="CT50" i="1"/>
  <c r="CT53" i="1"/>
  <c r="BV56" i="1"/>
  <c r="UX38" i="1"/>
  <c r="UX55" i="1"/>
  <c r="QI31" i="1"/>
  <c r="QF39" i="1"/>
  <c r="DF34" i="1"/>
  <c r="VC30" i="1"/>
  <c r="BS46" i="1"/>
  <c r="AAY34" i="1"/>
  <c r="AAZ46" i="1"/>
  <c r="UU45" i="1"/>
  <c r="CH39" i="1"/>
  <c r="BJ54" i="1"/>
  <c r="UT49" i="1"/>
  <c r="CQ46" i="1"/>
  <c r="TE28" i="1"/>
  <c r="UY41" i="1"/>
  <c r="BG32" i="1"/>
  <c r="TR33" i="1"/>
  <c r="ABK42" i="1"/>
  <c r="DC49" i="1"/>
  <c r="SD41" i="1"/>
  <c r="DM37" i="1"/>
  <c r="VB28" i="1"/>
  <c r="VA40" i="1"/>
  <c r="ZW32" i="1"/>
  <c r="ACG57" i="1"/>
  <c r="UZ34" i="1"/>
  <c r="TO37" i="1"/>
  <c r="DN35" i="1"/>
  <c r="SP34" i="1"/>
  <c r="RR40" i="1"/>
  <c r="SS40" i="1"/>
  <c r="PG47" i="1"/>
  <c r="PJ49" i="1"/>
  <c r="CE57" i="1"/>
  <c r="RU46" i="1"/>
  <c r="UV34" i="1"/>
  <c r="NO38" i="1"/>
  <c r="NL32" i="1"/>
  <c r="SG48" i="1"/>
  <c r="UW40" i="1"/>
  <c r="ABI48" i="1"/>
  <c r="TB53" i="1"/>
  <c r="CT37" i="1"/>
  <c r="UX35" i="1"/>
  <c r="QI45" i="1"/>
  <c r="QF44" i="1"/>
  <c r="DF48" i="1"/>
  <c r="VC32" i="1"/>
  <c r="BS42" i="1"/>
  <c r="AAY32" i="1"/>
  <c r="AAY55" i="1"/>
  <c r="UU31" i="1"/>
  <c r="CH48" i="1"/>
  <c r="BJ36" i="1"/>
  <c r="UT48" i="1"/>
  <c r="CQ52" i="1"/>
  <c r="UY30" i="1"/>
  <c r="ACJ46" i="1"/>
  <c r="BG30" i="1"/>
  <c r="TR38" i="1"/>
  <c r="ABK36" i="1"/>
  <c r="DC47" i="1"/>
  <c r="SD35" i="1"/>
  <c r="DM41" i="1"/>
  <c r="VB37" i="1"/>
  <c r="VA57" i="1"/>
  <c r="ZW40" i="1"/>
  <c r="ACG55" i="1"/>
  <c r="UZ36" i="1"/>
  <c r="TO39" i="1"/>
  <c r="DN38" i="1"/>
  <c r="SP47" i="1"/>
  <c r="AAW28" i="1"/>
  <c r="RR38" i="1"/>
  <c r="SS49" i="1"/>
  <c r="PG38" i="1"/>
  <c r="PJ53" i="1"/>
  <c r="CE34" i="1"/>
  <c r="UV46" i="1"/>
  <c r="NO56" i="1"/>
  <c r="NL39" i="1"/>
  <c r="CT34" i="1"/>
  <c r="BV43" i="1"/>
  <c r="UX34" i="1"/>
  <c r="QI54" i="1"/>
  <c r="QF42" i="1"/>
  <c r="DF57" i="1"/>
  <c r="VC33" i="1"/>
  <c r="BS53" i="1"/>
  <c r="AAZ36" i="1"/>
  <c r="UU28" i="1"/>
  <c r="CH30" i="1"/>
  <c r="BJ33" i="1"/>
  <c r="UT45" i="1"/>
  <c r="CQ32" i="1"/>
  <c r="TE47" i="1"/>
  <c r="UY34" i="1"/>
  <c r="ACJ45" i="1"/>
  <c r="BG56" i="1"/>
  <c r="TR53" i="1"/>
  <c r="DC52" i="1"/>
  <c r="DM51" i="1"/>
  <c r="VA42" i="1"/>
  <c r="ACG49" i="1"/>
  <c r="DN49" i="1"/>
  <c r="AAW37" i="1"/>
  <c r="SS36" i="1"/>
  <c r="PJ51" i="1"/>
  <c r="RU51" i="1"/>
  <c r="NO55" i="1"/>
  <c r="QF43" i="1"/>
  <c r="DF45" i="1"/>
  <c r="DF47" i="1"/>
  <c r="VC36" i="1"/>
  <c r="VC34" i="1"/>
  <c r="BS33" i="1"/>
  <c r="BS55" i="1"/>
  <c r="AAZ31" i="1"/>
  <c r="AAZ53" i="1"/>
  <c r="AAZ38" i="1"/>
  <c r="AAZ37" i="1"/>
  <c r="UU42" i="1"/>
  <c r="UU49" i="1"/>
  <c r="CH31" i="1"/>
  <c r="CH33" i="1"/>
  <c r="BJ38" i="1"/>
  <c r="UT29" i="1"/>
  <c r="UT46" i="1"/>
  <c r="CQ56" i="1"/>
  <c r="CQ35" i="1"/>
  <c r="TE44" i="1"/>
  <c r="TE37" i="1"/>
  <c r="UY28" i="1"/>
  <c r="UY47" i="1"/>
  <c r="ACJ34" i="1"/>
  <c r="ACJ44" i="1"/>
  <c r="BG44" i="1"/>
  <c r="BG28" i="1"/>
  <c r="TR31" i="1"/>
  <c r="ABK29" i="1"/>
  <c r="ABK40" i="1"/>
  <c r="DC34" i="1"/>
  <c r="DC56" i="1"/>
  <c r="SD54" i="1"/>
  <c r="SD51" i="1"/>
  <c r="DM35" i="1"/>
  <c r="DM52" i="1"/>
  <c r="VB40" i="1"/>
  <c r="VB51" i="1"/>
  <c r="VA31" i="1"/>
  <c r="VA47" i="1"/>
  <c r="ZW34" i="1"/>
  <c r="ZW57" i="1"/>
  <c r="ACG56" i="1"/>
  <c r="ACG39" i="1"/>
  <c r="UZ53" i="1"/>
  <c r="UZ52" i="1"/>
  <c r="TO44" i="1"/>
  <c r="TO38" i="1"/>
  <c r="DN50" i="1"/>
  <c r="SP31" i="1"/>
  <c r="SP43" i="1"/>
  <c r="AAW33" i="1"/>
  <c r="AAW35" i="1"/>
  <c r="RR41" i="1"/>
  <c r="RR28" i="1"/>
  <c r="SS54" i="1"/>
  <c r="SS31" i="1"/>
  <c r="PG33" i="1"/>
  <c r="PG28" i="1"/>
  <c r="PJ56" i="1"/>
  <c r="PJ37" i="1"/>
  <c r="CE55" i="1"/>
  <c r="CE49" i="1"/>
  <c r="RU37" i="1"/>
  <c r="RU43" i="1"/>
  <c r="UV37" i="1"/>
  <c r="UV29" i="1"/>
  <c r="NO53" i="1"/>
  <c r="NL37" i="1"/>
  <c r="NL42" i="1"/>
  <c r="SG35" i="1"/>
  <c r="SG37" i="1"/>
  <c r="UW36" i="1"/>
  <c r="UW48" i="1"/>
  <c r="ABI40" i="1"/>
  <c r="ABI47" i="1"/>
  <c r="TB40" i="1"/>
  <c r="CT38" i="1"/>
  <c r="CT28" i="1"/>
  <c r="BV50" i="1"/>
  <c r="BV45" i="1"/>
  <c r="UX51" i="1"/>
  <c r="UX56" i="1"/>
  <c r="QI36" i="1"/>
  <c r="QI39" i="1"/>
  <c r="QF29" i="1"/>
  <c r="QF38" i="1"/>
  <c r="DF55" i="1"/>
  <c r="VC38" i="1"/>
  <c r="VC52" i="1"/>
  <c r="BS43" i="1"/>
  <c r="BS44" i="1"/>
  <c r="AAZ35" i="1"/>
  <c r="AAY39" i="1"/>
  <c r="AAY45" i="1"/>
  <c r="AAZ48" i="1"/>
  <c r="UU39" i="1"/>
  <c r="UU36" i="1"/>
  <c r="CH44" i="1"/>
  <c r="BJ29" i="1"/>
  <c r="BJ43" i="1"/>
  <c r="UT39" i="1"/>
  <c r="UT51" i="1"/>
  <c r="CQ42" i="1"/>
  <c r="CQ37" i="1"/>
  <c r="TE56" i="1"/>
  <c r="TE41" i="1"/>
  <c r="UY55" i="1"/>
  <c r="UY35" i="1"/>
  <c r="ACJ41" i="1"/>
  <c r="BG52" i="1"/>
  <c r="BG53" i="1"/>
  <c r="TR43" i="1"/>
  <c r="TR42" i="1"/>
  <c r="ABK52" i="1"/>
  <c r="ABK31" i="1"/>
  <c r="DC38" i="1"/>
  <c r="DC48" i="1"/>
  <c r="SD47" i="1"/>
  <c r="SD55" i="1"/>
  <c r="DM44" i="1"/>
  <c r="DM49" i="1"/>
  <c r="VB49" i="1"/>
  <c r="VB30" i="1"/>
  <c r="VA52" i="1"/>
  <c r="VA48" i="1"/>
  <c r="ZW36" i="1"/>
  <c r="ZW43" i="1"/>
  <c r="ACG51" i="1"/>
  <c r="ACG37" i="1"/>
  <c r="UZ31" i="1"/>
  <c r="UZ47" i="1"/>
  <c r="TO48" i="1"/>
  <c r="TO51" i="1"/>
  <c r="DN36" i="1"/>
  <c r="DN52" i="1"/>
  <c r="SP54" i="1"/>
  <c r="SP28" i="1"/>
  <c r="AAW48" i="1"/>
  <c r="RR42" i="1"/>
  <c r="RR53" i="1"/>
  <c r="SS37" i="1"/>
  <c r="SS44" i="1"/>
  <c r="PG41" i="1"/>
  <c r="PG30" i="1"/>
  <c r="PJ55" i="1"/>
  <c r="PJ36" i="1"/>
  <c r="CE37" i="1"/>
  <c r="CE42" i="1"/>
  <c r="RU33" i="1"/>
  <c r="RU29" i="1"/>
  <c r="UV44" i="1"/>
  <c r="UV35" i="1"/>
  <c r="NO31" i="1"/>
  <c r="NO57" i="1"/>
  <c r="NL31" i="1"/>
  <c r="NL43" i="1"/>
  <c r="CT47" i="1"/>
  <c r="BV57" i="1"/>
  <c r="BV42" i="1"/>
  <c r="UX33" i="1"/>
  <c r="UX50" i="1"/>
  <c r="QI48" i="1"/>
  <c r="QI49" i="1"/>
  <c r="QF47" i="1"/>
  <c r="QF37" i="1"/>
  <c r="DF49" i="1"/>
  <c r="DF51" i="1"/>
  <c r="VC50" i="1"/>
  <c r="BS36" i="1"/>
  <c r="BS41" i="1"/>
  <c r="AAZ29" i="1"/>
  <c r="AAZ56" i="1"/>
  <c r="AAZ44" i="1"/>
  <c r="AAY47" i="1"/>
  <c r="UU37" i="1"/>
  <c r="UU29" i="1"/>
  <c r="CH41" i="1"/>
  <c r="CH45" i="1"/>
  <c r="BJ31" i="1"/>
  <c r="BJ45" i="1"/>
  <c r="UT50" i="1"/>
  <c r="UT56" i="1"/>
  <c r="CQ30" i="1"/>
  <c r="TE48" i="1"/>
  <c r="TE36" i="1"/>
  <c r="UY32" i="1"/>
  <c r="UY48" i="1"/>
  <c r="ACJ52" i="1"/>
  <c r="ACJ54" i="1"/>
  <c r="BG41" i="1"/>
  <c r="BG43" i="1"/>
  <c r="TR39" i="1"/>
  <c r="TR52" i="1"/>
  <c r="ABK35" i="1"/>
  <c r="ABK44" i="1"/>
  <c r="DC41" i="1"/>
  <c r="SD46" i="1"/>
  <c r="SD43" i="1"/>
  <c r="DM38" i="1"/>
  <c r="DM30" i="1"/>
  <c r="VB44" i="1"/>
  <c r="VB41" i="1"/>
  <c r="VA56" i="1"/>
  <c r="VA54" i="1"/>
  <c r="ZW31" i="1"/>
  <c r="ZW38" i="1"/>
  <c r="ACG47" i="1"/>
  <c r="UZ42" i="1"/>
  <c r="UZ33" i="1"/>
  <c r="TO49" i="1"/>
  <c r="TO56" i="1"/>
  <c r="DN45" i="1"/>
  <c r="DN37" i="1"/>
  <c r="SP36" i="1"/>
  <c r="SP57" i="1"/>
  <c r="AAW36" i="1"/>
  <c r="AAW46" i="1"/>
  <c r="RR46" i="1"/>
  <c r="RR43" i="1"/>
  <c r="SS50" i="1"/>
  <c r="SS38" i="1"/>
  <c r="PG48" i="1"/>
  <c r="PG53" i="1"/>
  <c r="PJ41" i="1"/>
  <c r="CE47" i="1"/>
  <c r="CE43" i="1"/>
  <c r="RU47" i="1"/>
  <c r="RU34" i="1"/>
  <c r="UV47" i="1"/>
  <c r="UV54" i="1"/>
  <c r="NO42" i="1"/>
  <c r="NO54" i="1"/>
  <c r="NL30" i="1"/>
  <c r="NL36" i="1"/>
  <c r="RU31" i="1"/>
  <c r="UV55" i="1"/>
  <c r="UV43" i="1"/>
  <c r="NO41" i="1"/>
  <c r="NO30" i="1"/>
  <c r="NL41" i="1"/>
  <c r="NL40" i="1"/>
  <c r="SG43" i="1"/>
  <c r="SG39" i="1"/>
  <c r="UW38" i="1"/>
  <c r="UW39" i="1"/>
  <c r="ABI50" i="1"/>
  <c r="ABI41" i="1"/>
  <c r="TB50" i="1"/>
  <c r="TB29" i="1"/>
  <c r="CT56" i="1"/>
  <c r="CT45" i="1"/>
  <c r="BV54" i="1"/>
  <c r="UX36" i="1"/>
  <c r="UX46" i="1"/>
  <c r="QI32" i="1"/>
  <c r="QI41" i="1"/>
  <c r="QF48" i="1"/>
  <c r="QF34" i="1"/>
  <c r="DF32" i="1"/>
  <c r="DF30" i="1"/>
  <c r="VC53" i="1"/>
  <c r="VC31" i="1"/>
  <c r="BS52" i="1"/>
  <c r="BS45" i="1"/>
  <c r="AAZ34" i="1"/>
  <c r="AAZ55" i="1"/>
  <c r="AAY44" i="1"/>
  <c r="AAY40" i="1"/>
  <c r="UU32" i="1"/>
  <c r="UU54" i="1"/>
  <c r="CH28" i="1"/>
  <c r="BJ57" i="1"/>
  <c r="BJ53" i="1"/>
  <c r="UT30" i="1"/>
  <c r="UT34" i="1"/>
  <c r="CQ49" i="1"/>
  <c r="CQ41" i="1"/>
  <c r="TE45" i="1"/>
  <c r="TE54" i="1"/>
  <c r="UY44" i="1"/>
  <c r="UY39" i="1"/>
  <c r="ACJ37" i="1"/>
  <c r="ACJ53" i="1"/>
  <c r="BG33" i="1"/>
  <c r="TR50" i="1"/>
  <c r="TR32" i="1"/>
  <c r="ABK37" i="1"/>
  <c r="ABK32" i="1"/>
  <c r="DC43" i="1"/>
  <c r="DC31" i="1"/>
  <c r="SD40" i="1"/>
  <c r="SD49" i="1"/>
  <c r="DM28" i="1"/>
  <c r="DM33" i="1"/>
  <c r="VB46" i="1"/>
  <c r="VB55" i="1"/>
  <c r="VA32" i="1"/>
  <c r="VA35" i="1"/>
  <c r="ZW55" i="1"/>
  <c r="ZW47" i="1"/>
  <c r="ACG32" i="1"/>
  <c r="ACG53" i="1"/>
  <c r="UZ55" i="1"/>
  <c r="UZ35" i="1"/>
  <c r="TO52" i="1"/>
  <c r="DN30" i="1"/>
  <c r="DN42" i="1"/>
  <c r="SP35" i="1"/>
  <c r="SP50" i="1"/>
  <c r="AAW42" i="1"/>
  <c r="AAW44" i="1"/>
  <c r="RR39" i="1"/>
  <c r="SS28" i="1"/>
  <c r="SS43" i="1"/>
  <c r="PG39" i="1"/>
  <c r="PG43" i="1"/>
  <c r="PJ45" i="1"/>
  <c r="PJ47" i="1"/>
  <c r="CE38" i="1"/>
  <c r="CE50" i="1"/>
  <c r="RU30" i="1"/>
  <c r="RU42" i="1"/>
  <c r="UV38" i="1"/>
  <c r="UV51" i="1"/>
  <c r="NO35" i="1"/>
  <c r="NO44" i="1"/>
  <c r="NL57" i="1"/>
  <c r="NL46" i="1"/>
  <c r="SG44" i="1"/>
  <c r="SG55" i="1"/>
  <c r="UW28" i="1"/>
  <c r="UW50" i="1"/>
  <c r="ABI42" i="1"/>
  <c r="TB48" i="1"/>
  <c r="TB37" i="1"/>
  <c r="CT41" i="1"/>
  <c r="CT39" i="1"/>
  <c r="BV32" i="1"/>
  <c r="BV34" i="1"/>
  <c r="UX54" i="1"/>
  <c r="UX45" i="1"/>
  <c r="QI38" i="1"/>
  <c r="QI47" i="1"/>
  <c r="QF31" i="1"/>
  <c r="DF33" i="1"/>
  <c r="DF40" i="1"/>
  <c r="VC40" i="1"/>
  <c r="VC37" i="1"/>
  <c r="BS28" i="1"/>
  <c r="BS50" i="1"/>
  <c r="AAZ30" i="1"/>
  <c r="AAZ49" i="1"/>
  <c r="AAY49" i="1"/>
  <c r="AAZ57" i="1"/>
  <c r="UU48" i="1"/>
  <c r="CH47" i="1"/>
  <c r="CH42" i="1"/>
  <c r="BJ41" i="1"/>
  <c r="BJ52" i="1"/>
  <c r="UT47" i="1"/>
  <c r="UT44" i="1"/>
  <c r="CQ33" i="1"/>
  <c r="CQ31" i="1"/>
  <c r="TE32" i="1"/>
  <c r="TE57" i="1"/>
  <c r="UY52" i="1"/>
  <c r="ACJ32" i="1"/>
  <c r="ACJ38" i="1"/>
  <c r="BG37" i="1"/>
  <c r="BG51" i="1"/>
  <c r="TR48" i="1"/>
  <c r="TR40" i="1"/>
  <c r="ABK54" i="1"/>
  <c r="ABK53" i="1"/>
  <c r="DC36" i="1"/>
  <c r="DC30" i="1"/>
  <c r="SD31" i="1"/>
  <c r="SD50" i="1"/>
  <c r="DM45" i="1"/>
  <c r="DM32" i="1"/>
  <c r="VB57" i="1"/>
  <c r="VB54" i="1"/>
  <c r="VA44" i="1"/>
  <c r="VA43" i="1"/>
  <c r="ZW29" i="1"/>
  <c r="ZW54" i="1"/>
  <c r="ACG45" i="1"/>
  <c r="ACG34" i="1"/>
  <c r="UZ38" i="1"/>
  <c r="UZ48" i="1"/>
  <c r="TO42" i="1"/>
  <c r="TO33" i="1"/>
  <c r="DN46" i="1"/>
  <c r="SP29" i="1"/>
  <c r="SP53" i="1"/>
  <c r="AAW40" i="1"/>
  <c r="AAW30" i="1"/>
  <c r="RR35" i="1"/>
  <c r="RR50" i="1"/>
  <c r="SS29" i="1"/>
  <c r="SS51" i="1"/>
  <c r="PG52" i="1"/>
  <c r="PG29" i="1"/>
  <c r="PJ31" i="1"/>
  <c r="PJ33" i="1"/>
  <c r="CE41" i="1"/>
  <c r="CE32" i="1"/>
  <c r="RU52" i="1"/>
  <c r="RU32" i="1"/>
  <c r="UV39" i="1"/>
  <c r="UV28" i="1"/>
  <c r="NO28" i="1"/>
  <c r="NL54" i="1"/>
  <c r="NL49" i="1"/>
  <c r="CT48" i="1"/>
  <c r="CT29" i="1"/>
  <c r="BV48" i="1"/>
  <c r="BV41" i="1"/>
  <c r="UX42" i="1"/>
  <c r="UX48" i="1"/>
  <c r="QI35" i="1"/>
  <c r="QI55" i="1"/>
  <c r="QF46" i="1"/>
  <c r="QF32" i="1"/>
  <c r="DF44" i="1"/>
  <c r="VC39" i="1"/>
  <c r="VC47" i="1"/>
  <c r="BS40" i="1"/>
  <c r="BS39" i="1"/>
  <c r="AAY30" i="1"/>
  <c r="AAY48" i="1"/>
  <c r="AAY52" i="1"/>
  <c r="AAZ51" i="1"/>
  <c r="UU55" i="1"/>
  <c r="CH37" i="1"/>
  <c r="CH43" i="1"/>
  <c r="BJ35" i="1"/>
  <c r="BJ32" i="1"/>
  <c r="UT36" i="1"/>
  <c r="UT55" i="1"/>
  <c r="CQ48" i="1"/>
  <c r="CQ47" i="1"/>
  <c r="TE42" i="1"/>
  <c r="TE35" i="1"/>
  <c r="UY46" i="1"/>
  <c r="UY43" i="1"/>
  <c r="ACJ56" i="1"/>
  <c r="ACJ48" i="1"/>
  <c r="BG29" i="1"/>
  <c r="BG35" i="1"/>
  <c r="TR54" i="1"/>
  <c r="TR30" i="1"/>
  <c r="ABK46" i="1"/>
  <c r="DC45" i="1"/>
  <c r="DC42" i="1"/>
  <c r="SD53" i="1"/>
  <c r="SD28" i="1"/>
  <c r="DM34" i="1"/>
  <c r="DM57" i="1"/>
  <c r="VB31" i="1"/>
  <c r="VA45" i="1"/>
  <c r="VA34" i="1"/>
  <c r="ZW53" i="1"/>
  <c r="ZW28" i="1"/>
  <c r="ACG50" i="1"/>
  <c r="ACG43" i="1"/>
  <c r="UZ28" i="1"/>
  <c r="UZ50" i="1"/>
  <c r="TO30" i="1"/>
  <c r="TO40" i="1"/>
  <c r="DN29" i="1"/>
  <c r="DN51" i="1"/>
  <c r="SP51" i="1"/>
  <c r="SP33" i="1"/>
  <c r="AAW50" i="1"/>
  <c r="AAW41" i="1"/>
  <c r="RR51" i="1"/>
  <c r="RR49" i="1"/>
  <c r="SS53" i="1"/>
  <c r="SS30" i="1"/>
  <c r="PG45" i="1"/>
  <c r="PJ38" i="1"/>
  <c r="PJ34" i="1"/>
  <c r="CE51" i="1"/>
  <c r="CE33" i="1"/>
  <c r="RU41" i="1"/>
  <c r="RU50" i="1"/>
  <c r="UV57" i="1"/>
  <c r="NO33" i="1"/>
  <c r="NO29" i="1"/>
  <c r="NL33" i="1"/>
  <c r="NL34" i="1"/>
  <c r="TU23" i="1"/>
  <c r="ABK39" i="1"/>
  <c r="ABK50" i="1"/>
  <c r="DC57" i="1"/>
  <c r="DC29" i="1"/>
  <c r="SD56" i="1"/>
  <c r="SD44" i="1"/>
  <c r="DM36" i="1"/>
  <c r="VB33" i="1"/>
  <c r="VB50" i="1"/>
  <c r="VA39" i="1"/>
  <c r="VA36" i="1"/>
  <c r="ZW50" i="1"/>
  <c r="ZW44" i="1"/>
  <c r="ACG33" i="1"/>
  <c r="ACG54" i="1"/>
  <c r="UZ32" i="1"/>
  <c r="UZ37" i="1"/>
  <c r="TO36" i="1"/>
  <c r="TO54" i="1"/>
  <c r="DN47" i="1"/>
  <c r="DN34" i="1"/>
  <c r="SP32" i="1"/>
  <c r="SP45" i="1"/>
  <c r="AAW34" i="1"/>
  <c r="AAW56" i="1"/>
  <c r="RR48" i="1"/>
  <c r="RR32" i="1"/>
  <c r="SS52" i="1"/>
  <c r="PG54" i="1"/>
  <c r="PG34" i="1"/>
  <c r="PJ40" i="1"/>
  <c r="PJ52" i="1"/>
  <c r="CE30" i="1"/>
  <c r="CE40" i="1"/>
  <c r="RU54" i="1"/>
  <c r="UV48" i="1"/>
  <c r="UV30" i="1"/>
  <c r="NO39" i="1"/>
  <c r="NO50" i="1"/>
  <c r="NL53" i="1"/>
  <c r="NL48" i="1"/>
  <c r="QR48" i="1"/>
  <c r="EI57" i="1"/>
  <c r="QR49" i="1"/>
  <c r="QB23" i="1"/>
  <c r="EH28" i="1"/>
  <c r="EH51" i="1"/>
  <c r="QR28" i="1"/>
  <c r="EI42" i="1"/>
  <c r="QR39" i="1"/>
  <c r="EH29" i="1"/>
  <c r="EH49" i="1"/>
  <c r="EH56" i="1"/>
  <c r="EH57" i="1"/>
  <c r="EL57" i="1" s="1"/>
  <c r="EN57" i="1" s="1"/>
  <c r="EI35" i="1"/>
  <c r="EI43" i="1"/>
  <c r="EI39" i="1"/>
  <c r="QL4" i="1"/>
  <c r="QR47" i="1"/>
  <c r="PM4" i="1"/>
  <c r="EI50" i="1"/>
  <c r="EH35" i="1"/>
  <c r="EL35" i="1" s="1"/>
  <c r="EN35" i="1" s="1"/>
  <c r="EH38" i="1"/>
  <c r="EI28" i="1"/>
  <c r="EI37" i="1"/>
  <c r="EH42" i="1"/>
  <c r="QR53" i="1"/>
  <c r="EI49" i="1"/>
  <c r="QR46" i="1"/>
  <c r="EI40" i="1"/>
  <c r="EI51" i="1"/>
  <c r="QR38" i="1"/>
  <c r="EI48" i="1"/>
  <c r="QR42" i="1"/>
  <c r="EI33" i="1"/>
  <c r="QR40" i="1"/>
  <c r="EH36" i="1"/>
  <c r="QR57" i="1"/>
  <c r="EH50" i="1"/>
  <c r="EH34" i="1"/>
  <c r="TJ23" i="1"/>
  <c r="EI31" i="1"/>
  <c r="QR43" i="1"/>
  <c r="EI56" i="1"/>
  <c r="QR31" i="1"/>
  <c r="QR51" i="1"/>
  <c r="QR44" i="1"/>
  <c r="EH41" i="1"/>
  <c r="EL41" i="1" s="1"/>
  <c r="EN41" i="1" s="1"/>
  <c r="QR29" i="1"/>
  <c r="EI46" i="1"/>
  <c r="PC23" i="1"/>
  <c r="QR36" i="1"/>
  <c r="EI55" i="1"/>
  <c r="EI53" i="1"/>
  <c r="EH37" i="1"/>
  <c r="EH46" i="1"/>
  <c r="EL46" i="1" s="1"/>
  <c r="EN46" i="1" s="1"/>
  <c r="QR30" i="1"/>
  <c r="EH43" i="1"/>
  <c r="NR4" i="1"/>
  <c r="EI54" i="1"/>
  <c r="QR33" i="1"/>
  <c r="EH53" i="1"/>
  <c r="EL53" i="1" s="1"/>
  <c r="EN53" i="1" s="1"/>
  <c r="NG23" i="1"/>
  <c r="EI32" i="1"/>
  <c r="QR32" i="1"/>
  <c r="QR54" i="1"/>
  <c r="EI41" i="1"/>
  <c r="EI36" i="1"/>
  <c r="EI29" i="1"/>
  <c r="EH45" i="1"/>
  <c r="EI38" i="1"/>
  <c r="QR56" i="1"/>
  <c r="EH31" i="1"/>
  <c r="EL31" i="1" s="1"/>
  <c r="EN31" i="1" s="1"/>
  <c r="QR50" i="1"/>
  <c r="EH44" i="1"/>
  <c r="QR41" i="1"/>
  <c r="EI34" i="1"/>
  <c r="EH52" i="1"/>
  <c r="QR52" i="1"/>
  <c r="EI44" i="1"/>
  <c r="EH39" i="1"/>
  <c r="EL39" i="1" s="1"/>
  <c r="EN39" i="1" s="1"/>
  <c r="EH55" i="1"/>
  <c r="QR55" i="1"/>
  <c r="EH48" i="1"/>
  <c r="EL48" i="1" s="1"/>
  <c r="EN48" i="1" s="1"/>
  <c r="EH32" i="1"/>
  <c r="EL32" i="1" s="1"/>
  <c r="EN32" i="1" s="1"/>
  <c r="EH33" i="1"/>
  <c r="EL33" i="1" s="1"/>
  <c r="QR37" i="1"/>
  <c r="EH54" i="1"/>
  <c r="EL54" i="1" s="1"/>
  <c r="EN54" i="1" s="1"/>
  <c r="QR34" i="1"/>
  <c r="EH30" i="1"/>
  <c r="EI47" i="1"/>
  <c r="QR45" i="1"/>
  <c r="EI52" i="1"/>
  <c r="EI45" i="1"/>
  <c r="EH40" i="1"/>
  <c r="EI30" i="1"/>
  <c r="QR35" i="1"/>
  <c r="EH47" i="1"/>
  <c r="EL47" i="1" s="1"/>
  <c r="EN47" i="1" s="1"/>
  <c r="AAC51" i="1"/>
  <c r="AAC41" i="1"/>
  <c r="ABT53" i="1"/>
  <c r="AAC54" i="1"/>
  <c r="AAC31" i="1"/>
  <c r="MV56" i="1"/>
  <c r="MW56" i="1" s="1"/>
  <c r="CJ39" i="1"/>
  <c r="AAC39" i="1"/>
  <c r="RW56" i="1"/>
  <c r="ABZ31" i="1"/>
  <c r="MS43" i="1"/>
  <c r="MV43" i="1" s="1"/>
  <c r="MW43" i="1" s="1"/>
  <c r="JZ43" i="1"/>
  <c r="RT30" i="1"/>
  <c r="RT28" i="1"/>
  <c r="RT54" i="1"/>
  <c r="RT37" i="1"/>
  <c r="RT40" i="1"/>
  <c r="RT43" i="1"/>
  <c r="RT57" i="1"/>
  <c r="RT55" i="1"/>
  <c r="RT50" i="1"/>
  <c r="RT51" i="1"/>
  <c r="RT35" i="1"/>
  <c r="RT45" i="1"/>
  <c r="RT32" i="1"/>
  <c r="RT46" i="1"/>
  <c r="RT36" i="1"/>
  <c r="JZ34" i="1"/>
  <c r="MS34" i="1"/>
  <c r="MV34" i="1" s="1"/>
  <c r="MW34" i="1" s="1"/>
  <c r="JY34" i="1"/>
  <c r="JX46" i="1"/>
  <c r="JY46" i="1"/>
  <c r="MS46" i="1"/>
  <c r="MV46" i="1" s="1"/>
  <c r="MW46" i="1" s="1"/>
  <c r="AAC45" i="1"/>
  <c r="AAC56" i="1"/>
  <c r="AAC38" i="1"/>
  <c r="AAC57" i="1"/>
  <c r="AAC35" i="1"/>
  <c r="AAC50" i="1"/>
  <c r="AAC36" i="1"/>
  <c r="AAC33" i="1"/>
  <c r="AAC43" i="1"/>
  <c r="AAC37" i="1"/>
  <c r="AAC48" i="1"/>
  <c r="AAC53" i="1"/>
  <c r="AAC49" i="1"/>
  <c r="AAC46" i="1"/>
  <c r="AAC42" i="1"/>
  <c r="AAC30" i="1"/>
  <c r="AAC44" i="1"/>
  <c r="AAC28" i="1"/>
  <c r="AAC34" i="1"/>
  <c r="AAC55" i="1"/>
  <c r="AAC29" i="1"/>
  <c r="AAC40" i="1"/>
  <c r="CV41" i="1"/>
  <c r="CV48" i="1"/>
  <c r="CV45" i="1"/>
  <c r="CV44" i="1"/>
  <c r="CV34" i="1"/>
  <c r="CV38" i="1"/>
  <c r="CV30" i="1"/>
  <c r="CS31" i="1"/>
  <c r="CS43" i="1"/>
  <c r="CS37" i="1"/>
  <c r="CS39" i="1"/>
  <c r="CS49" i="1"/>
  <c r="CS47" i="1"/>
  <c r="CS51" i="1"/>
  <c r="CV50" i="1"/>
  <c r="CV42" i="1"/>
  <c r="CV40" i="1"/>
  <c r="CV51" i="1"/>
  <c r="CV47" i="1"/>
  <c r="CV55" i="1"/>
  <c r="CV54" i="1"/>
  <c r="CS44" i="1"/>
  <c r="CS33" i="1"/>
  <c r="CS35" i="1"/>
  <c r="CS40" i="1"/>
  <c r="CS53" i="1"/>
  <c r="CS36" i="1"/>
  <c r="CS41" i="1"/>
  <c r="CS29" i="1"/>
  <c r="CV33" i="1"/>
  <c r="CV52" i="1"/>
  <c r="CV31" i="1"/>
  <c r="CV29" i="1"/>
  <c r="CV36" i="1"/>
  <c r="CV32" i="1"/>
  <c r="CV37" i="1"/>
  <c r="CV35" i="1"/>
  <c r="MS49" i="1"/>
  <c r="MV49" i="1" s="1"/>
  <c r="MW49" i="1" s="1"/>
  <c r="JY49" i="1"/>
  <c r="JX49" i="1"/>
  <c r="AAP57" i="1"/>
  <c r="MU52" i="1"/>
  <c r="MS52" i="1"/>
  <c r="MV52" i="1" s="1"/>
  <c r="MW52" i="1" s="1"/>
  <c r="JY52" i="1"/>
  <c r="JX52" i="1"/>
  <c r="MS39" i="1"/>
  <c r="MV39" i="1" s="1"/>
  <c r="MW39" i="1" s="1"/>
  <c r="JY39" i="1"/>
  <c r="JX39" i="1"/>
  <c r="ZX53" i="1"/>
  <c r="ZY53" i="1" s="1"/>
  <c r="ZX56" i="1"/>
  <c r="ZY56" i="1" s="1"/>
  <c r="ZX36" i="1"/>
  <c r="ZY36" i="1" s="1"/>
  <c r="ZX42" i="1"/>
  <c r="ZY42" i="1" s="1"/>
  <c r="ZX46" i="1"/>
  <c r="ZY46" i="1" s="1"/>
  <c r="AR57" i="18"/>
  <c r="JY37" i="1"/>
  <c r="JZ37" i="1"/>
  <c r="MS37" i="1"/>
  <c r="MV37" i="1" s="1"/>
  <c r="MW37" i="1" s="1"/>
  <c r="G25" i="21"/>
  <c r="G22" i="21"/>
  <c r="G52" i="21"/>
  <c r="G33" i="21"/>
  <c r="F32" i="21"/>
  <c r="E42" i="21"/>
  <c r="E54" i="21"/>
  <c r="E22" i="21"/>
  <c r="E23" i="21"/>
  <c r="F35" i="21"/>
  <c r="F34" i="21"/>
  <c r="F33" i="21"/>
  <c r="F23" i="21"/>
  <c r="E52" i="21"/>
  <c r="F22" i="21"/>
  <c r="E24" i="21"/>
  <c r="F52" i="21"/>
  <c r="G24" i="21"/>
  <c r="F24" i="21"/>
  <c r="F42" i="21"/>
  <c r="E35" i="21"/>
  <c r="G32" i="21"/>
  <c r="G23" i="21"/>
  <c r="G54" i="21"/>
  <c r="E53" i="21"/>
  <c r="G35" i="21"/>
  <c r="E32" i="21"/>
  <c r="CJ35" i="1"/>
  <c r="CJ31" i="1"/>
  <c r="CJ50" i="1"/>
  <c r="CJ44" i="1"/>
  <c r="CJ49" i="1"/>
  <c r="CJ32" i="1"/>
  <c r="CJ34" i="1"/>
  <c r="CJ56" i="1"/>
  <c r="CJ51" i="1"/>
  <c r="CJ48" i="1"/>
  <c r="CJ46" i="1"/>
  <c r="CJ38" i="1"/>
  <c r="CJ42" i="1"/>
  <c r="CJ30" i="1"/>
  <c r="CJ55" i="1"/>
  <c r="CJ33" i="1"/>
  <c r="CJ36" i="1"/>
  <c r="CJ54" i="1"/>
  <c r="CJ53" i="1"/>
  <c r="CJ37" i="1"/>
  <c r="CJ41" i="1"/>
  <c r="CJ40" i="1"/>
  <c r="SU31" i="1"/>
  <c r="SU38" i="1"/>
  <c r="SU37" i="1"/>
  <c r="SU40" i="1"/>
  <c r="SU39" i="1"/>
  <c r="SU44" i="1"/>
  <c r="SU42" i="1"/>
  <c r="AAJ28" i="1"/>
  <c r="AAJ51" i="1"/>
  <c r="RW46" i="1"/>
  <c r="RW57" i="1"/>
  <c r="RW33" i="1"/>
  <c r="RW45" i="1"/>
  <c r="RW34" i="1"/>
  <c r="RW41" i="1"/>
  <c r="RW49" i="1"/>
  <c r="RW39" i="1"/>
  <c r="RW37" i="1"/>
  <c r="RW43" i="1"/>
  <c r="RW44" i="1"/>
  <c r="RW31" i="1"/>
  <c r="RW50" i="1"/>
  <c r="RW32" i="1"/>
  <c r="RW35" i="1"/>
  <c r="RW54" i="1"/>
  <c r="RW29" i="1"/>
  <c r="RW36" i="1"/>
  <c r="RW40" i="1"/>
  <c r="RW28" i="1"/>
  <c r="RW47" i="1"/>
  <c r="RW52" i="1"/>
  <c r="RW51" i="1"/>
  <c r="JZ40" i="1"/>
  <c r="MS40" i="1"/>
  <c r="MV40" i="1" s="1"/>
  <c r="MW40" i="1" s="1"/>
  <c r="JY40" i="1"/>
  <c r="MS50" i="1"/>
  <c r="MV50" i="1" s="1"/>
  <c r="MW50" i="1" s="1"/>
  <c r="JZ50" i="1"/>
  <c r="JY50" i="1"/>
  <c r="BI28" i="1"/>
  <c r="BI57" i="1"/>
  <c r="BI30" i="1"/>
  <c r="BI40" i="1"/>
  <c r="BI31" i="1"/>
  <c r="BI41" i="1"/>
  <c r="BI36" i="1"/>
  <c r="BI35" i="1"/>
  <c r="BI37" i="1"/>
  <c r="BI33" i="1"/>
  <c r="BI52" i="1"/>
  <c r="BI45" i="1"/>
  <c r="BI55" i="1"/>
  <c r="BI39" i="1"/>
  <c r="BI50" i="1"/>
  <c r="BI46" i="1"/>
  <c r="BI43" i="1"/>
  <c r="BI56" i="1"/>
  <c r="BI49" i="1"/>
  <c r="BI47" i="1"/>
  <c r="BI51" i="1"/>
  <c r="BI48" i="1"/>
  <c r="BI42" i="1"/>
  <c r="ABT55" i="1"/>
  <c r="H63" i="18"/>
  <c r="N50" i="18"/>
  <c r="JY29" i="1"/>
  <c r="JX29" i="1"/>
  <c r="MS29" i="1"/>
  <c r="MV29" i="1" s="1"/>
  <c r="MW29" i="1" s="1"/>
  <c r="MS31" i="1"/>
  <c r="MV31" i="1" s="1"/>
  <c r="MW31" i="1" s="1"/>
  <c r="JX31" i="1"/>
  <c r="JZ31" i="1"/>
  <c r="ABT37" i="1"/>
  <c r="H45" i="18"/>
  <c r="JY56" i="1"/>
  <c r="JZ56" i="1"/>
  <c r="JX51" i="1"/>
  <c r="MS51" i="1"/>
  <c r="MV51" i="1" s="1"/>
  <c r="MW51" i="1" s="1"/>
  <c r="JZ51" i="1"/>
  <c r="JZ54" i="1"/>
  <c r="JX54" i="1"/>
  <c r="JY54" i="1"/>
  <c r="MU36" i="1"/>
  <c r="MV36" i="1" s="1"/>
  <c r="MW36" i="1" s="1"/>
  <c r="AR47" i="18"/>
  <c r="JY47" i="1"/>
  <c r="JZ47" i="1"/>
  <c r="MS47" i="1"/>
  <c r="MV47" i="1" s="1"/>
  <c r="MW47" i="1" s="1"/>
  <c r="AAJ29" i="1"/>
  <c r="JX33" i="1"/>
  <c r="MS33" i="1"/>
  <c r="MV33" i="1" s="1"/>
  <c r="MW33" i="1" s="1"/>
  <c r="JZ33" i="1"/>
  <c r="TG28" i="1"/>
  <c r="TG44" i="1"/>
  <c r="TG54" i="1"/>
  <c r="TG53" i="1"/>
  <c r="TG31" i="1"/>
  <c r="TG37" i="1"/>
  <c r="TG40" i="1"/>
  <c r="TG41" i="1"/>
  <c r="TG39" i="1"/>
  <c r="TG30" i="1"/>
  <c r="TG46" i="1"/>
  <c r="TG45" i="1"/>
  <c r="TG35" i="1"/>
  <c r="TG29" i="1"/>
  <c r="TG55" i="1"/>
  <c r="JZ57" i="1"/>
  <c r="MS57" i="1"/>
  <c r="JX57" i="1"/>
  <c r="L64" i="18"/>
  <c r="JZ55" i="1"/>
  <c r="JY55" i="1"/>
  <c r="MS55" i="1"/>
  <c r="MV55" i="1" s="1"/>
  <c r="MW55" i="1" s="1"/>
  <c r="ABA28" i="1"/>
  <c r="ABA41" i="1"/>
  <c r="ABA51" i="1"/>
  <c r="ABA50" i="1"/>
  <c r="ABA43" i="1"/>
  <c r="ABA47" i="1"/>
  <c r="ABA45" i="1"/>
  <c r="ABA31" i="1"/>
  <c r="ABA55" i="1"/>
  <c r="ABA35" i="1"/>
  <c r="ABA52" i="1"/>
  <c r="ABA32" i="1"/>
  <c r="ABA30" i="1"/>
  <c r="ABA36" i="1"/>
  <c r="ABA49" i="1"/>
  <c r="ABA46" i="1"/>
  <c r="ABA54" i="1"/>
  <c r="ABA38" i="1"/>
  <c r="ABA33" i="1"/>
  <c r="ABA29" i="1"/>
  <c r="ABA39" i="1"/>
  <c r="ABA40" i="1"/>
  <c r="L65" i="18"/>
  <c r="AAJ57" i="1"/>
  <c r="AAP35" i="1"/>
  <c r="N43" i="18"/>
  <c r="MT57" i="1"/>
  <c r="JY30" i="1"/>
  <c r="JX30" i="1"/>
  <c r="MS30" i="1"/>
  <c r="MV30" i="1" s="1"/>
  <c r="MW30" i="1" s="1"/>
  <c r="MS41" i="1"/>
  <c r="MV41" i="1" s="1"/>
  <c r="MW41" i="1" s="1"/>
  <c r="JX41" i="1"/>
  <c r="JZ41" i="1"/>
  <c r="AAP43" i="1"/>
  <c r="ABT43" i="1"/>
  <c r="H51" i="18"/>
  <c r="JZ38" i="1"/>
  <c r="MS38" i="1"/>
  <c r="MV38" i="1" s="1"/>
  <c r="MW38" i="1" s="1"/>
  <c r="JX38" i="1"/>
  <c r="DR39" i="1"/>
  <c r="EM33" i="1"/>
  <c r="DQ30" i="1"/>
  <c r="DS30" i="1" s="1"/>
  <c r="DQ50" i="1"/>
  <c r="DS50" i="1" s="1"/>
  <c r="DQ28" i="1"/>
  <c r="DS28" i="1" s="1"/>
  <c r="AAY42" i="1"/>
  <c r="AL21" i="18"/>
  <c r="MY45" i="1"/>
  <c r="NB28" i="1" a="1"/>
  <c r="NB28" i="1" s="1"/>
  <c r="MY32" i="1"/>
  <c r="MY28" i="1"/>
  <c r="DQ55" i="1"/>
  <c r="DS55" i="1" s="1"/>
  <c r="DQ33" i="1"/>
  <c r="DS33" i="1" s="1"/>
  <c r="DQ53" i="1"/>
  <c r="DS53" i="1" s="1"/>
  <c r="DP53" i="1" s="1"/>
  <c r="DQ57" i="1"/>
  <c r="DS57" i="1" s="1"/>
  <c r="DO57" i="1" s="1"/>
  <c r="DQ32" i="1"/>
  <c r="DS32" i="1" s="1"/>
  <c r="DO32" i="1" s="1"/>
  <c r="DQ42" i="1"/>
  <c r="DS42" i="1" s="1"/>
  <c r="DQ36" i="1"/>
  <c r="DS36" i="1" s="1"/>
  <c r="DO36" i="1" s="1"/>
  <c r="DQ41" i="1"/>
  <c r="DS41" i="1" s="1"/>
  <c r="DP41" i="1" s="1"/>
  <c r="DQ45" i="1"/>
  <c r="DS45" i="1" s="1"/>
  <c r="DO45" i="1" s="1"/>
  <c r="NT44" i="1"/>
  <c r="NE44" i="1"/>
  <c r="NT32" i="1"/>
  <c r="NE32" i="1"/>
  <c r="NE45" i="1"/>
  <c r="NT45" i="1"/>
  <c r="AL13" i="18"/>
  <c r="MY37" i="1"/>
  <c r="NB37" i="1" a="1"/>
  <c r="NB37" i="1" s="1"/>
  <c r="KB35" i="1" a="1"/>
  <c r="KB35" i="1" s="1"/>
  <c r="KC35" i="1" s="1" a="1"/>
  <c r="KC35" i="1" s="1"/>
  <c r="KE35" i="1"/>
  <c r="KI35" i="1" s="1"/>
  <c r="NB30" i="1" a="1"/>
  <c r="NB30" i="1" s="1"/>
  <c r="MY30" i="1"/>
  <c r="AL6" i="18"/>
  <c r="KB32" i="1" a="1"/>
  <c r="KB32" i="1" s="1"/>
  <c r="KC32" i="1" s="1" a="1"/>
  <c r="KC32" i="1" s="1"/>
  <c r="KE32" i="1"/>
  <c r="KI32" i="1" s="1"/>
  <c r="NB51" i="1" a="1"/>
  <c r="NB51" i="1" s="1"/>
  <c r="AL27" i="18"/>
  <c r="MY51" i="1"/>
  <c r="AL10" i="18"/>
  <c r="NB34" i="1" a="1"/>
  <c r="NB34" i="1" s="1"/>
  <c r="MY34" i="1"/>
  <c r="AL19" i="18"/>
  <c r="NB43" i="1" a="1"/>
  <c r="NB43" i="1" s="1"/>
  <c r="MY43" i="1"/>
  <c r="KB45" i="1" a="1"/>
  <c r="KB45" i="1" s="1"/>
  <c r="KC45" i="1" s="1" a="1"/>
  <c r="KC45" i="1" s="1"/>
  <c r="KE45" i="1"/>
  <c r="KB53" i="1" a="1"/>
  <c r="KB53" i="1" s="1"/>
  <c r="KC53" i="1" s="1" a="1"/>
  <c r="KC53" i="1" s="1"/>
  <c r="KE53" i="1"/>
  <c r="KI53" i="1" s="1"/>
  <c r="EK32" i="1"/>
  <c r="EJ32" i="1"/>
  <c r="EK57" i="1"/>
  <c r="EJ57" i="1"/>
  <c r="MY40" i="1"/>
  <c r="AL16" i="18"/>
  <c r="NB40" i="1" a="1"/>
  <c r="NB40" i="1" s="1"/>
  <c r="BH21" i="18"/>
  <c r="BH6" i="18"/>
  <c r="DQ51" i="1"/>
  <c r="DS51" i="1" s="1"/>
  <c r="DO55" i="1"/>
  <c r="DP55" i="1"/>
  <c r="BH27" i="18"/>
  <c r="BH17" i="18"/>
  <c r="DP50" i="1"/>
  <c r="DO50" i="1"/>
  <c r="DP42" i="1"/>
  <c r="DO42" i="1"/>
  <c r="BH33" i="18"/>
  <c r="BH10" i="18"/>
  <c r="DQ52" i="1"/>
  <c r="DS52" i="1" s="1"/>
  <c r="DQ35" i="1"/>
  <c r="DS35" i="1" s="1"/>
  <c r="BH11" i="18"/>
  <c r="BH32" i="18"/>
  <c r="DQ54" i="1"/>
  <c r="DS54" i="1" s="1"/>
  <c r="DQ56" i="1"/>
  <c r="DS56" i="1" s="1"/>
  <c r="NB55" i="1" a="1"/>
  <c r="NB55" i="1" s="1"/>
  <c r="AL31" i="18"/>
  <c r="MY55" i="1"/>
  <c r="EJ47" i="1"/>
  <c r="EK47" i="1"/>
  <c r="KE36" i="1"/>
  <c r="KB36" i="1" a="1"/>
  <c r="KB36" i="1" s="1"/>
  <c r="KC36" i="1" s="1" a="1"/>
  <c r="KC36" i="1" s="1"/>
  <c r="KE28" i="1"/>
  <c r="KI28" i="1" s="1"/>
  <c r="KB28" i="1" a="1"/>
  <c r="KB28" i="1" s="1"/>
  <c r="KC28" i="1" s="1" a="1"/>
  <c r="KC28" i="1" s="1"/>
  <c r="EJ46" i="1"/>
  <c r="EK46" i="1"/>
  <c r="EK54" i="1"/>
  <c r="EJ54" i="1"/>
  <c r="MY39" i="1"/>
  <c r="NB39" i="1" a="1"/>
  <c r="NB39" i="1" s="1"/>
  <c r="AL15" i="18"/>
  <c r="KE44" i="1"/>
  <c r="KB44" i="1" a="1"/>
  <c r="KB44" i="1" s="1"/>
  <c r="KC44" i="1" s="1" a="1"/>
  <c r="KC44" i="1" s="1"/>
  <c r="BH20" i="18"/>
  <c r="BH26" i="18"/>
  <c r="DP36" i="1"/>
  <c r="BH22" i="18"/>
  <c r="BH16" i="18"/>
  <c r="DQ47" i="1"/>
  <c r="DS47" i="1" s="1"/>
  <c r="BH24" i="18"/>
  <c r="BH18" i="18"/>
  <c r="DQ46" i="1"/>
  <c r="DS46" i="1" s="1"/>
  <c r="BH13" i="18"/>
  <c r="DQ29" i="1"/>
  <c r="DS29" i="1" s="1"/>
  <c r="DQ48" i="1"/>
  <c r="DS48" i="1" s="1"/>
  <c r="MY50" i="1"/>
  <c r="AL26" i="18"/>
  <c r="NB50" i="1" a="1"/>
  <c r="NB50" i="1" s="1"/>
  <c r="KB48" i="1" a="1"/>
  <c r="KB48" i="1" s="1"/>
  <c r="KC48" i="1" s="1" a="1"/>
  <c r="KC48" i="1" s="1"/>
  <c r="KE48" i="1"/>
  <c r="KI48" i="1" s="1"/>
  <c r="AL14" i="18"/>
  <c r="MY38" i="1"/>
  <c r="NB38" i="1" a="1"/>
  <c r="NB38" i="1" s="1"/>
  <c r="AL23" i="18"/>
  <c r="NB47" i="1" a="1"/>
  <c r="NB47" i="1" s="1"/>
  <c r="MY47" i="1"/>
  <c r="AL22" i="18"/>
  <c r="NB46" i="1" a="1"/>
  <c r="NB46" i="1" s="1"/>
  <c r="MY46" i="1"/>
  <c r="EK41" i="1"/>
  <c r="EJ41" i="1"/>
  <c r="NB54" i="1" a="1"/>
  <c r="NB54" i="1" s="1"/>
  <c r="MY54" i="1"/>
  <c r="AL30" i="18"/>
  <c r="KE42" i="1"/>
  <c r="KB42" i="1" a="1"/>
  <c r="KB42" i="1" s="1"/>
  <c r="KC42" i="1" s="1" a="1"/>
  <c r="KC42" i="1" s="1"/>
  <c r="BH4" i="18"/>
  <c r="BH29" i="18"/>
  <c r="DP57" i="1"/>
  <c r="DQ34" i="1"/>
  <c r="DS34" i="1" s="1"/>
  <c r="BH30" i="18"/>
  <c r="BH5" i="18"/>
  <c r="DP32" i="1"/>
  <c r="BH8" i="18"/>
  <c r="DQ31" i="1"/>
  <c r="DS31" i="1" s="1"/>
  <c r="DQ37" i="1"/>
  <c r="DS37" i="1" s="1"/>
  <c r="BH28" i="18"/>
  <c r="BH25" i="18"/>
  <c r="DQ43" i="1"/>
  <c r="DS43" i="1" s="1"/>
  <c r="AL5" i="18"/>
  <c r="MY29" i="1"/>
  <c r="NB29" i="1" a="1"/>
  <c r="NB29" i="1" s="1"/>
  <c r="NB31" i="1" a="1"/>
  <c r="NB31" i="1" s="1"/>
  <c r="MY31" i="1"/>
  <c r="AL7" i="18"/>
  <c r="NB42" i="1" a="1"/>
  <c r="NB42" i="1" s="1"/>
  <c r="AL18" i="18"/>
  <c r="MY42" i="1"/>
  <c r="MY33" i="1"/>
  <c r="NB33" i="1" a="1"/>
  <c r="NB33" i="1" s="1"/>
  <c r="AL9" i="18"/>
  <c r="EJ39" i="1"/>
  <c r="EK39" i="1"/>
  <c r="NB52" i="1" a="1"/>
  <c r="NB52" i="1" s="1"/>
  <c r="AL28" i="18"/>
  <c r="MY52" i="1"/>
  <c r="MY53" i="1"/>
  <c r="NB53" i="1" a="1"/>
  <c r="NB53" i="1" s="1"/>
  <c r="AL29" i="18"/>
  <c r="EJ35" i="1"/>
  <c r="EK35" i="1"/>
  <c r="NB35" i="1" a="1"/>
  <c r="NB35" i="1" s="1"/>
  <c r="AL11" i="18"/>
  <c r="MY35" i="1"/>
  <c r="AL24" i="18"/>
  <c r="MY48" i="1"/>
  <c r="NB48" i="1" a="1"/>
  <c r="NB48" i="1" s="1"/>
  <c r="AL12" i="18"/>
  <c r="NB36" i="1" a="1"/>
  <c r="NB36" i="1" s="1"/>
  <c r="MY36" i="1"/>
  <c r="BH14" i="18"/>
  <c r="BH7" i="18"/>
  <c r="DO30" i="1"/>
  <c r="DP30" i="1"/>
  <c r="DQ38" i="1"/>
  <c r="DS38" i="1" s="1"/>
  <c r="BH19" i="18"/>
  <c r="BH12" i="18"/>
  <c r="DQ49" i="1"/>
  <c r="DS49" i="1" s="1"/>
  <c r="DQ44" i="1"/>
  <c r="DS44" i="1" s="1"/>
  <c r="BH23" i="18"/>
  <c r="BH31" i="18"/>
  <c r="DP33" i="1"/>
  <c r="DO33" i="1"/>
  <c r="DP28" i="1"/>
  <c r="DO28" i="1"/>
  <c r="BH9" i="18"/>
  <c r="BH15" i="18"/>
  <c r="DQ39" i="1"/>
  <c r="DS39" i="1" s="1"/>
  <c r="DQ40" i="1"/>
  <c r="DS40" i="1" s="1"/>
  <c r="TM52" i="1"/>
  <c r="TM37" i="1"/>
  <c r="TM30" i="1"/>
  <c r="TM55" i="1"/>
  <c r="TM42" i="1"/>
  <c r="TM29" i="1"/>
  <c r="TM43" i="1"/>
  <c r="TM41" i="1"/>
  <c r="TM53" i="1"/>
  <c r="TM44" i="1"/>
  <c r="TM34" i="1"/>
  <c r="TM40" i="1"/>
  <c r="TM33" i="1"/>
  <c r="TM39" i="1"/>
  <c r="TM51" i="1"/>
  <c r="TM38" i="1"/>
  <c r="TM35" i="1"/>
  <c r="TM54" i="1"/>
  <c r="TM28" i="1"/>
  <c r="TM47" i="1"/>
  <c r="TM56" i="1"/>
  <c r="TM46" i="1"/>
  <c r="TM32" i="1"/>
  <c r="TM48" i="1"/>
  <c r="TM49" i="1"/>
  <c r="TM50" i="1"/>
  <c r="TM57" i="1"/>
  <c r="TM45" i="1"/>
  <c r="TM31" i="1"/>
  <c r="TM36" i="1"/>
  <c r="YN57" i="1"/>
  <c r="YN31" i="1"/>
  <c r="YN35" i="1"/>
  <c r="YN30" i="1"/>
  <c r="YN34" i="1"/>
  <c r="YN29" i="1"/>
  <c r="YN28" i="1"/>
  <c r="VA11" i="1" a="1"/>
  <c r="IH11" i="1" a="1"/>
  <c r="WP11" i="1" a="1"/>
  <c r="RG11" i="1" a="1"/>
  <c r="HI11" i="1" a="1"/>
  <c r="PZ11" i="1" a="1"/>
  <c r="AAM11" i="1" a="1"/>
  <c r="ZZ11" i="1" a="1"/>
  <c r="JX11" i="1" a="1"/>
  <c r="WG11" i="1" a="1"/>
  <c r="BO11" i="1" a="1"/>
  <c r="DH11" i="1" a="1"/>
  <c r="XR11" i="1" a="1"/>
  <c r="HT11" i="1" a="1"/>
  <c r="IY11" i="1" a="1"/>
  <c r="ACI11" i="1" a="1"/>
  <c r="JO11" i="1" a="1"/>
  <c r="ABE11" i="1" a="1"/>
  <c r="UX11" i="1" a="1"/>
  <c r="LD11" i="1" a="1"/>
  <c r="EB11" i="1" a="1"/>
  <c r="PF11" i="1" a="1"/>
  <c r="JQ11" i="1" a="1"/>
  <c r="ZT11" i="1" a="1"/>
  <c r="OV11" i="1" a="1"/>
  <c r="SZ11" i="1" a="1"/>
  <c r="FI11" i="1" a="1"/>
  <c r="JN11" i="1" a="1"/>
  <c r="HK11" i="1" a="1"/>
  <c r="WD11" i="1" a="1"/>
  <c r="QC11" i="1" a="1"/>
  <c r="LS11" i="1" a="1"/>
  <c r="SI11" i="1" a="1"/>
  <c r="ACF11" i="1" a="1"/>
  <c r="NO11" i="1" a="1"/>
  <c r="BM11" i="1" a="1"/>
  <c r="MV11" i="1" a="1"/>
  <c r="RN11" i="1" a="1"/>
  <c r="SG11" i="1" a="1"/>
  <c r="MH11" i="1" a="1"/>
  <c r="TQ11" i="1" a="1"/>
  <c r="ABM11" i="1" a="1"/>
  <c r="GP11" i="1" a="1"/>
  <c r="WW49" i="1" a="1"/>
  <c r="TH49" i="1" a="1"/>
  <c r="SJ53" i="1" a="1"/>
  <c r="WU53" i="1" a="1"/>
  <c r="OM11" i="1" a="1"/>
  <c r="FT11" i="1" a="1"/>
  <c r="MS11" i="1" a="1"/>
  <c r="KF11" i="1" a="1"/>
  <c r="ABB11" i="1" a="1"/>
  <c r="VN11" i="1" a="1"/>
  <c r="FP11" i="1" a="1"/>
  <c r="VQ11" i="1" a="1"/>
  <c r="MB11" i="1" a="1"/>
  <c r="DF11" i="1" a="1"/>
  <c r="PJ11" i="1" a="1"/>
  <c r="CM11" i="1" a="1"/>
  <c r="LX11" i="1" a="1"/>
  <c r="DP11" i="1" a="1"/>
  <c r="ZO11" i="1" a="1"/>
  <c r="RK11" i="1" a="1"/>
  <c r="VW11" i="1" a="1"/>
  <c r="RZ11" i="1" a="1"/>
  <c r="OC11" i="1" a="1"/>
  <c r="PG11" i="1" a="1"/>
  <c r="CN11" i="1" a="1"/>
  <c r="KT11" i="1" a="1"/>
  <c r="XE11" i="1" a="1"/>
  <c r="KN11" i="1" a="1"/>
  <c r="JM11" i="1" a="1"/>
  <c r="VT11" i="1" a="1"/>
  <c r="PI11" i="1" a="1"/>
  <c r="SJ50" i="1" a="1"/>
  <c r="WU50" i="1" a="1"/>
  <c r="WU45" i="1" a="1"/>
  <c r="SJ45" i="1" a="1"/>
  <c r="BQ11" i="1" a="1"/>
  <c r="M11" i="1" a="1"/>
  <c r="LY11" i="1" a="1"/>
  <c r="CY11" i="1" a="1"/>
  <c r="GB11" i="1" a="1"/>
  <c r="EE11" i="1" a="1"/>
  <c r="BX11" i="1" a="1"/>
  <c r="SC11" i="1" a="1"/>
  <c r="QA11" i="1" a="1"/>
  <c r="ABL11" i="1" a="1"/>
  <c r="AAZ11" i="1" a="1"/>
  <c r="PK11" i="1" a="1"/>
  <c r="SO11" i="1" a="1"/>
  <c r="HS11" i="1" a="1"/>
  <c r="MJ11" i="1" a="1"/>
  <c r="ABN11" i="1" a="1"/>
  <c r="LP11" i="1" a="1"/>
  <c r="II11" i="1" a="1"/>
  <c r="XJ11" i="1" a="1"/>
  <c r="I11" i="1" a="1"/>
  <c r="EL11" i="1" a="1"/>
  <c r="RH11" i="1" a="1"/>
  <c r="AO11" i="1" a="1"/>
  <c r="OJ11" i="1" a="1"/>
  <c r="XD11" i="1" a="1"/>
  <c r="GX11" i="1" a="1"/>
  <c r="PY11" i="1" a="1"/>
  <c r="XF11" i="1" a="1"/>
  <c r="EM11" i="1" a="1"/>
  <c r="OA11" i="1" a="1"/>
  <c r="QE11" i="1" a="1"/>
  <c r="ZG11" i="1" a="1"/>
  <c r="US11" i="1" a="1"/>
  <c r="HJ11" i="1" a="1"/>
  <c r="CQ11" i="1" a="1"/>
  <c r="ABI11" i="1" a="1"/>
  <c r="ABO11" i="1" a="1"/>
  <c r="WX36" i="1" a="1"/>
  <c r="TU36" i="1" a="1"/>
  <c r="N11" i="1" a="1"/>
  <c r="DQ11" i="1" a="1"/>
  <c r="XT11" i="1" a="1"/>
  <c r="VF11" i="1" a="1"/>
  <c r="IS11" i="1" a="1"/>
  <c r="AA11" i="1" a="1"/>
  <c r="WU52" i="1" a="1"/>
  <c r="SJ52" i="1" a="1"/>
  <c r="WI11" i="1" a="1"/>
  <c r="O11" i="1" a="1"/>
  <c r="PR11" i="1" a="1"/>
  <c r="IJ11" i="1" a="1"/>
  <c r="OB11" i="1" a="1"/>
  <c r="WL11" i="1" a="1"/>
  <c r="QX11" i="1" a="1"/>
  <c r="XZ11" i="1" a="1"/>
  <c r="WC11" i="1" a="1"/>
  <c r="ZJ11" i="1" a="1"/>
  <c r="EZ11" i="1" a="1"/>
  <c r="TF11" i="1" a="1"/>
  <c r="ML11" i="1" a="1"/>
  <c r="YM11" i="1" a="1"/>
  <c r="ACD11" i="1" a="1"/>
  <c r="RI11" i="1" a="1"/>
  <c r="WN11" i="1" a="1"/>
  <c r="KH11" i="1" a="1"/>
  <c r="KJ11" i="1" a="1"/>
  <c r="GY11" i="1" a="1"/>
  <c r="IF11" i="1" a="1"/>
  <c r="NK11" i="1" a="1"/>
  <c r="JH11" i="1" a="1"/>
  <c r="KC11" i="1" a="1"/>
  <c r="YW11" i="1" a="1"/>
  <c r="V11" i="1" a="1"/>
  <c r="XY11" i="1" a="1"/>
  <c r="SL11" i="1" a="1"/>
  <c r="GS11" i="1" a="1"/>
  <c r="NQ11" i="1" a="1"/>
  <c r="FE11" i="1" a="1"/>
  <c r="MQ11" i="1" a="1"/>
  <c r="ZE11" i="1" a="1"/>
  <c r="KG11" i="1" a="1"/>
  <c r="YA11" i="1" a="1"/>
  <c r="BS11" i="1" a="1"/>
  <c r="PE11" i="1" a="1"/>
  <c r="GD11" i="1" a="1"/>
  <c r="CK29" i="1" a="1"/>
  <c r="FV29" i="1" a="1"/>
  <c r="WX44" i="1" a="1"/>
  <c r="TU44" i="1" a="1"/>
  <c r="OG11" i="1" a="1"/>
  <c r="MO11" i="1" a="1"/>
  <c r="HR11" i="1" a="1"/>
  <c r="WU47" i="1" a="1"/>
  <c r="SJ47" i="1" a="1"/>
  <c r="FW52" i="1" a="1"/>
  <c r="FV36" i="1" a="1"/>
  <c r="WW39" i="1" a="1"/>
  <c r="ACM36" i="1" a="1"/>
  <c r="WX46" i="1" a="1"/>
  <c r="TU46" i="1" a="1"/>
  <c r="ZZ37" i="1" a="1"/>
  <c r="SJ30" i="1" a="1"/>
  <c r="WU30" i="1" a="1"/>
  <c r="FX54" i="1" a="1"/>
  <c r="DI54" i="1" a="1"/>
  <c r="ZZ48" i="1" a="1"/>
  <c r="WW46" i="1" a="1"/>
  <c r="WX28" i="1" a="1"/>
  <c r="TU28" i="1" a="1"/>
  <c r="QN54" i="1" a="1"/>
  <c r="NU34" i="1" a="1"/>
  <c r="FV52" i="1" a="1"/>
  <c r="CK52" i="1" a="1"/>
  <c r="TH34" i="1" a="1"/>
  <c r="WW34" i="1" a="1"/>
  <c r="WX57" i="1" a="1"/>
  <c r="TU57" i="1" a="1"/>
  <c r="QN28" i="1" a="1"/>
  <c r="FK11" i="1" a="1"/>
  <c r="IQ11" i="1" a="1"/>
  <c r="VE11" i="1" a="1"/>
  <c r="BY49" i="1" a="1"/>
  <c r="FB49" i="1" a="1"/>
  <c r="FA44" i="1" a="1"/>
  <c r="BM44" i="1" a="1"/>
  <c r="ABN45" i="1" a="1"/>
  <c r="SV55" i="1" a="1"/>
  <c r="WV55" i="1" a="1"/>
  <c r="QN57" i="1" a="1"/>
  <c r="WT49" i="1" a="1"/>
  <c r="BY40" i="1" a="1"/>
  <c r="FB40" i="1" a="1"/>
  <c r="QP34" i="1" a="1"/>
  <c r="FA40" i="1" a="1"/>
  <c r="BM40" i="1" a="1"/>
  <c r="ABN47" i="1" a="1"/>
  <c r="FW33" i="1" a="1"/>
  <c r="ABB57" i="1" a="1"/>
  <c r="ACM47" i="1" a="1"/>
  <c r="SV41" i="1" a="1"/>
  <c r="WV41" i="1" a="1"/>
  <c r="WT28" i="1" a="1"/>
  <c r="FW36" i="1" a="1"/>
  <c r="DI36" i="1" a="1"/>
  <c r="FX36" i="1" a="1"/>
  <c r="OD11" i="1" a="1"/>
  <c r="SM11" i="1" a="1"/>
  <c r="TV11" i="1" a="1"/>
  <c r="IK11" i="1" a="1"/>
  <c r="DA11" i="1" a="1"/>
  <c r="UK11" i="1" a="1"/>
  <c r="UT11" i="1" a="1"/>
  <c r="LU11" i="1" a="1"/>
  <c r="UU11" i="1" a="1"/>
  <c r="AAB11" i="1" a="1"/>
  <c r="HW11" i="1" a="1"/>
  <c r="BY33" i="1" a="1"/>
  <c r="FB33" i="1" a="1"/>
  <c r="QP44" i="1" a="1"/>
  <c r="FX31" i="1" a="1"/>
  <c r="DI31" i="1" a="1"/>
  <c r="BM42" i="1" a="1"/>
  <c r="FA42" i="1" a="1"/>
  <c r="ABN57" i="1" a="1"/>
  <c r="WT40" i="1" a="1"/>
  <c r="NU32" i="1" a="1"/>
  <c r="FW40" i="1" a="1"/>
  <c r="QP52" i="1" a="1"/>
  <c r="FV50" i="1" a="1"/>
  <c r="WW30" i="1" a="1"/>
  <c r="WX35" i="1" a="1"/>
  <c r="TU35" i="1" a="1"/>
  <c r="QN46" i="1" a="1"/>
  <c r="NU51" i="1" a="1"/>
  <c r="QP40" i="1" a="1"/>
  <c r="BM48" i="1" a="1"/>
  <c r="FA48" i="1" a="1"/>
  <c r="FA46" i="1" a="1"/>
  <c r="BM46" i="1" a="1"/>
  <c r="ACM28" i="1" a="1"/>
  <c r="NU36" i="1" a="1"/>
  <c r="ZZ49" i="1" a="1"/>
  <c r="WV56" i="1" a="1"/>
  <c r="SV56" i="1" a="1"/>
  <c r="SJ46" i="1" a="1"/>
  <c r="WU46" i="1" a="1"/>
  <c r="FX34" i="1" a="1"/>
  <c r="DI34" i="1" a="1"/>
  <c r="ZZ32" i="1" a="1"/>
  <c r="TU38" i="1" a="1"/>
  <c r="WX38" i="1" a="1"/>
  <c r="NU56" i="1" a="1"/>
  <c r="FV30" i="1" a="1"/>
  <c r="WW47" i="1" a="1"/>
  <c r="TH47" i="1" a="1"/>
  <c r="TU53" i="1" a="1"/>
  <c r="WX53" i="1" a="1"/>
  <c r="QN51" i="1" a="1"/>
  <c r="DI45" i="1" a="1"/>
  <c r="FX45" i="1" a="1"/>
  <c r="FV31" i="1" a="1"/>
  <c r="WW37" i="1" a="1"/>
  <c r="ACM44" i="1" a="1"/>
  <c r="ABN29" i="1" a="1"/>
  <c r="ZZ34" i="1" a="1"/>
  <c r="WV31" i="1" a="1"/>
  <c r="QN37" i="1" a="1"/>
  <c r="WT43" i="1" a="1"/>
  <c r="FB45" i="1" a="1"/>
  <c r="BY45" i="1" a="1"/>
  <c r="QP39" i="1" a="1"/>
  <c r="BM43" i="1" a="1"/>
  <c r="FA43" i="1" a="1"/>
  <c r="TU43" i="1" a="1"/>
  <c r="WX43" i="1" a="1"/>
  <c r="BM45" i="1" a="1"/>
  <c r="FA45" i="1" a="1"/>
  <c r="WW48" i="1" a="1"/>
  <c r="TH48" i="1" a="1"/>
  <c r="ACM52" i="1" a="1"/>
  <c r="TU39" i="1" a="1"/>
  <c r="WX39" i="1" a="1"/>
  <c r="SV50" i="1" a="1"/>
  <c r="WV50" i="1" a="1"/>
  <c r="QN41" i="1" a="1"/>
  <c r="WT34" i="1" a="1"/>
  <c r="NU54" i="1" a="1"/>
  <c r="BY54" i="1" a="1"/>
  <c r="FB54" i="1" a="1"/>
  <c r="QP41" i="1" a="1"/>
  <c r="FX30" i="1" a="1"/>
  <c r="DI30" i="1" a="1"/>
  <c r="FA57" i="1" a="1"/>
  <c r="BM57" i="1" a="1"/>
  <c r="ABN32" i="1" a="1"/>
  <c r="ZZ47" i="1" a="1"/>
  <c r="FW41" i="1" a="1"/>
  <c r="FV47" i="1" a="1"/>
  <c r="CK47" i="1" a="1"/>
  <c r="TH32" i="1" a="1"/>
  <c r="WW32" i="1" a="1"/>
  <c r="ACM38" i="1" a="1"/>
  <c r="WX40" i="1" a="1"/>
  <c r="TU40" i="1" a="1"/>
  <c r="SV29" i="1" a="1"/>
  <c r="WV29" i="1" a="1"/>
  <c r="QN31" i="1" a="1"/>
  <c r="WT52" i="1" a="1"/>
  <c r="NU28" i="1" a="1"/>
  <c r="FW29" i="1" a="1"/>
  <c r="FV43" i="1" a="1"/>
  <c r="CK43" i="1" a="1"/>
  <c r="WW35" i="1" a="1"/>
  <c r="ACM48" i="1" a="1"/>
  <c r="TU30" i="1" a="1"/>
  <c r="WX30" i="1" a="1"/>
  <c r="ZZ28" i="1" a="1"/>
  <c r="WV30" i="1" a="1"/>
  <c r="SV30" i="1" a="1"/>
  <c r="QN40" i="1" a="1"/>
  <c r="WT54" i="1" a="1"/>
  <c r="NU50" i="1" a="1"/>
  <c r="RX56" i="1" a="1"/>
  <c r="CW48" i="1" a="1"/>
  <c r="CW38" i="1" a="1"/>
  <c r="CW51" i="1" a="1"/>
  <c r="CW33" i="1" a="1"/>
  <c r="CW36" i="1" a="1"/>
  <c r="CK31" i="1" a="1"/>
  <c r="CK32" i="1" a="1"/>
  <c r="CK48" i="1" a="1"/>
  <c r="CK30" i="1" a="1"/>
  <c r="CK54" i="1" a="1"/>
  <c r="CK40" i="1" a="1"/>
  <c r="SV40" i="1" a="1"/>
  <c r="RX33" i="1" a="1"/>
  <c r="RX49" i="1" a="1"/>
  <c r="RX44" i="1" a="1"/>
  <c r="RX35" i="1" a="1"/>
  <c r="RX40" i="1" a="1"/>
  <c r="RX51" i="1" a="1"/>
  <c r="TH54" i="1" a="1"/>
  <c r="TH40" i="1" a="1"/>
  <c r="TH46" i="1" a="1"/>
  <c r="TH55" i="1" a="1"/>
  <c r="ABB28" i="1" a="1"/>
  <c r="ABB43" i="1" a="1"/>
  <c r="ABB55" i="1" a="1"/>
  <c r="ABB30" i="1" a="1"/>
  <c r="ABB54" i="1" a="1"/>
  <c r="ABB39" i="1" a="1"/>
  <c r="ABB42" i="1" a="1"/>
  <c r="NT43" i="1" a="1"/>
  <c r="NT38" i="1" a="1"/>
  <c r="NT54" i="1" a="1"/>
  <c r="NE29" i="1" a="1"/>
  <c r="IT11" i="1" a="1"/>
  <c r="KQ11" i="1" a="1"/>
  <c r="SJ38" i="1" a="1"/>
  <c r="WU38" i="1" a="1"/>
  <c r="ED11" i="1" a="1"/>
  <c r="ACH11" i="1" a="1"/>
  <c r="ABK11" i="1" a="1"/>
  <c r="JD11" i="1" a="1"/>
  <c r="RB11" i="1" a="1"/>
  <c r="ZQ11" i="1" a="1"/>
  <c r="QZ11" i="1" a="1"/>
  <c r="VO11" i="1" a="1"/>
  <c r="ZC11" i="1" a="1"/>
  <c r="VV11" i="1" a="1"/>
  <c r="YN11" i="1" a="1"/>
  <c r="DZ11" i="1" a="1"/>
  <c r="SF11" i="1" a="1"/>
  <c r="UG11" i="1" a="1"/>
  <c r="RS11" i="1" a="1"/>
  <c r="SY11" i="1" a="1"/>
  <c r="OE11" i="1" a="1"/>
  <c r="SW11" i="1" a="1"/>
  <c r="HM11" i="1" a="1"/>
  <c r="NY11" i="1" a="1"/>
  <c r="KE11" i="1" a="1"/>
  <c r="BV11" i="1" a="1"/>
  <c r="UI11" i="1" a="1"/>
  <c r="DW11" i="1" a="1"/>
  <c r="RV11" i="1" a="1"/>
  <c r="OL11" i="1" a="1"/>
  <c r="CB11" i="1" a="1"/>
  <c r="ABS11" i="1" a="1"/>
  <c r="ZM11" i="1" a="1"/>
  <c r="AAU11" i="1" a="1"/>
  <c r="CA11" i="1" a="1"/>
  <c r="PX11" i="1" a="1"/>
  <c r="KA11" i="1" a="1"/>
  <c r="CG11" i="1" a="1"/>
  <c r="ZS11" i="1" a="1"/>
  <c r="J11" i="1" a="1"/>
  <c r="UE11" i="1" a="1"/>
  <c r="AW11" i="1" a="1"/>
  <c r="OW11" i="1" a="1"/>
  <c r="TU11" i="1" a="1"/>
  <c r="FB47" i="1" a="1"/>
  <c r="BY47" i="1" a="1"/>
  <c r="ACM49" i="1" a="1"/>
  <c r="YC11" i="1" a="1"/>
  <c r="AAG11" i="1" a="1"/>
  <c r="DD11" i="1" a="1"/>
  <c r="MD11" i="1" a="1"/>
  <c r="YP11" i="1" a="1"/>
  <c r="QI11" i="1" a="1"/>
  <c r="YR11" i="1" a="1"/>
  <c r="GT11" i="1" a="1"/>
  <c r="LA11" i="1" a="1"/>
  <c r="SX11" i="1" a="1"/>
  <c r="ABG11" i="1" a="1"/>
  <c r="YE11" i="1" a="1"/>
  <c r="IM11" i="1" a="1"/>
  <c r="IN11" i="1" a="1"/>
  <c r="AG11" i="1" a="1"/>
  <c r="WQ11" i="1" a="1"/>
  <c r="PT11" i="1" a="1"/>
  <c r="HY11" i="1" a="1"/>
  <c r="MM11" i="1" a="1"/>
  <c r="AAR11" i="1" a="1"/>
  <c r="K11" i="1" a="1"/>
  <c r="L11" i="1" a="1"/>
  <c r="PD11" i="1" a="1"/>
  <c r="BY30" i="1" a="1"/>
  <c r="FB30" i="1" a="1"/>
  <c r="FS11" i="1" a="1"/>
  <c r="RO11" i="1" a="1"/>
  <c r="KR11" i="1" a="1"/>
  <c r="IV11" i="1" a="1"/>
  <c r="GI11" i="1" a="1"/>
  <c r="LF11" i="1" a="1"/>
  <c r="S11" i="1" a="1"/>
  <c r="MX11" i="1" a="1"/>
  <c r="SS11" i="1" a="1"/>
  <c r="OX11" i="1" a="1"/>
  <c r="XX11" i="1" a="1"/>
  <c r="GG11" i="1" a="1"/>
  <c r="MK11" i="1" a="1"/>
  <c r="TL11" i="1" a="1"/>
  <c r="GF11" i="1" a="1"/>
  <c r="PS11" i="1" a="1"/>
  <c r="VR11" i="1" a="1"/>
  <c r="LI11" i="1" a="1"/>
  <c r="BC11" i="1" a="1"/>
  <c r="KX11" i="1" a="1"/>
  <c r="LO11" i="1" a="1"/>
  <c r="AAC11" i="1" a="1"/>
  <c r="MG11" i="1" a="1"/>
  <c r="PO11" i="1" a="1"/>
  <c r="VK11" i="1" a="1"/>
  <c r="NI11" i="1" a="1"/>
  <c r="VC11" i="1" a="1"/>
  <c r="XH11" i="1" a="1"/>
  <c r="Q11" i="1" a="1"/>
  <c r="EA11" i="1" a="1"/>
  <c r="BK11" i="1" a="1"/>
  <c r="ABH11" i="1" a="1"/>
  <c r="IO11" i="1" a="1"/>
  <c r="AF11" i="1" a="1"/>
  <c r="GR11" i="1" a="1"/>
  <c r="SJ11" i="1" a="1"/>
  <c r="ZY11" i="1" a="1"/>
  <c r="BE11" i="1" a="1"/>
  <c r="AU11" i="1" a="1"/>
  <c r="BI11" i="1" a="1"/>
  <c r="GE11" i="1" a="1"/>
  <c r="SV11" i="1" a="1"/>
  <c r="IW11" i="1" a="1"/>
  <c r="BM56" i="1" a="1"/>
  <c r="FA56" i="1" a="1"/>
  <c r="CU11" i="1" a="1"/>
  <c r="OF11" i="1" a="1"/>
  <c r="SP11" i="1" a="1"/>
  <c r="XI11" i="1" a="1"/>
  <c r="UP11" i="1" a="1"/>
  <c r="SU11" i="1" a="1"/>
  <c r="AAS11" i="1" a="1"/>
  <c r="FF11" i="1" a="1"/>
  <c r="MA11" i="1" a="1"/>
  <c r="IR11" i="1" a="1"/>
  <c r="DE11" i="1" a="1"/>
  <c r="ZR11" i="1" a="1"/>
  <c r="QF11" i="1" a="1"/>
  <c r="BN11" i="1" a="1"/>
  <c r="PL11" i="1" a="1"/>
  <c r="WB11" i="1" a="1"/>
  <c r="GK11" i="1" a="1"/>
  <c r="AY11" i="1" a="1"/>
  <c r="SR11" i="1" a="1"/>
  <c r="W11" i="1" a="1"/>
  <c r="NX11" i="1" a="1"/>
  <c r="BZ11" i="1" a="1"/>
  <c r="DG11" i="1" a="1"/>
  <c r="SE11" i="1" a="1"/>
  <c r="DI11" i="1" a="1"/>
  <c r="NM11" i="1" a="1"/>
  <c r="VU11" i="1" a="1"/>
  <c r="UL11" i="1" a="1"/>
  <c r="PQ11" i="1" a="1"/>
  <c r="MU11" i="1" a="1"/>
  <c r="OI11" i="1" a="1"/>
  <c r="EW11" i="1" a="1"/>
  <c r="RM11" i="1" a="1"/>
  <c r="EQ11" i="1" a="1"/>
  <c r="TK11" i="1" a="1"/>
  <c r="ABQ11" i="1" a="1"/>
  <c r="WF11" i="1" a="1"/>
  <c r="AAA11" i="1" a="1"/>
  <c r="GU11" i="1" a="1"/>
  <c r="ES11" i="1" a="1"/>
  <c r="YT11" i="1" a="1"/>
  <c r="QV11" i="1" a="1"/>
  <c r="UW11" i="1" a="1"/>
  <c r="SJ51" i="1" a="1"/>
  <c r="WU51" i="1" a="1"/>
  <c r="UR11" i="1" a="1"/>
  <c r="PC11" i="1" a="1"/>
  <c r="EO11" i="1" a="1"/>
  <c r="FB37" i="1" a="1"/>
  <c r="BY37" i="1" a="1"/>
  <c r="QP50" i="1" a="1"/>
  <c r="DI42" i="1" a="1"/>
  <c r="FX42" i="1" a="1"/>
  <c r="FV46" i="1" a="1"/>
  <c r="ABN43" i="1" a="1"/>
  <c r="NU49" i="1" a="1"/>
  <c r="FW46" i="1" a="1"/>
  <c r="CW46" i="1" a="1"/>
  <c r="QP28" i="1" a="1"/>
  <c r="WW33" i="1" a="1"/>
  <c r="TH33" i="1" a="1"/>
  <c r="TU49" i="1" a="1"/>
  <c r="WX49" i="1" a="1"/>
  <c r="QN29" i="1" a="1"/>
  <c r="NU40" i="1" a="1"/>
  <c r="QP57" i="1" a="1"/>
  <c r="FV32" i="1" a="1"/>
  <c r="ABN48" i="1" a="1"/>
  <c r="QP51" i="1" a="1"/>
  <c r="FA50" i="1" a="1"/>
  <c r="BM50" i="1" a="1"/>
  <c r="JI11" i="1" a="1"/>
  <c r="YF11" i="1" a="1"/>
  <c r="NZ11" i="1" a="1"/>
  <c r="SJ40" i="1" a="1"/>
  <c r="WU40" i="1" a="1"/>
  <c r="FW57" i="1" a="1"/>
  <c r="CW57" i="1" a="1"/>
  <c r="WW55" i="1" a="1"/>
  <c r="ACM57" i="1" a="1"/>
  <c r="WX55" i="1" a="1"/>
  <c r="TU55" i="1" a="1"/>
  <c r="ZZ56" i="1" a="1"/>
  <c r="WV46" i="1" a="1"/>
  <c r="SV46" i="1" a="1"/>
  <c r="QN35" i="1" a="1"/>
  <c r="SJ34" i="1" a="1"/>
  <c r="WU34" i="1" a="1"/>
  <c r="FB31" i="1" a="1"/>
  <c r="BY31" i="1" a="1"/>
  <c r="ABB53" i="1" a="1"/>
  <c r="ACM33" i="1" a="1"/>
  <c r="WV45" i="1" a="1"/>
  <c r="SV45" i="1" a="1"/>
  <c r="WT45" i="1" a="1"/>
  <c r="WU36" i="1" a="1"/>
  <c r="SJ36" i="1" a="1"/>
  <c r="BY38" i="1" a="1"/>
  <c r="FB38" i="1" a="1"/>
  <c r="DI52" i="1" a="1"/>
  <c r="FX52" i="1" a="1"/>
  <c r="ZZ46" i="1" a="1"/>
  <c r="FB52" i="1" a="1"/>
  <c r="BY52" i="1" a="1"/>
  <c r="WX51" i="1" a="1"/>
  <c r="TU51" i="1" a="1"/>
  <c r="ZZ45" i="1" a="1"/>
  <c r="LM11" i="1" a="1"/>
  <c r="SH11" i="1" a="1"/>
  <c r="PP11" i="1" a="1"/>
  <c r="ZA11" i="1" a="1"/>
  <c r="BT11" i="1" a="1"/>
  <c r="AB11" i="1" a="1"/>
  <c r="GJ11" i="1" a="1"/>
  <c r="RQ11" i="1" a="1"/>
  <c r="XS11" i="1" a="1"/>
  <c r="AT11" i="1" a="1"/>
  <c r="ACE11" i="1" a="1"/>
  <c r="FB29" i="1" a="1"/>
  <c r="BY29" i="1" a="1"/>
  <c r="BM47" i="1" a="1"/>
  <c r="FA47" i="1" a="1"/>
  <c r="WV42" i="1" a="1"/>
  <c r="QN42" i="1" a="1"/>
  <c r="WT57" i="1" a="1"/>
  <c r="FB53" i="1" a="1"/>
  <c r="BY53" i="1" a="1"/>
  <c r="FA51" i="1" a="1"/>
  <c r="BM51" i="1" a="1"/>
  <c r="ABN33" i="1" a="1"/>
  <c r="SJ42" i="1" a="1"/>
  <c r="WU42" i="1" a="1"/>
  <c r="FW42" i="1" a="1"/>
  <c r="ACM42" i="1" a="1"/>
  <c r="ZZ41" i="1" a="1"/>
  <c r="SV33" i="1" a="1"/>
  <c r="WV33" i="1" a="1"/>
  <c r="WT36" i="1" a="1"/>
  <c r="FW32" i="1" a="1"/>
  <c r="DI35" i="1" a="1"/>
  <c r="FX35" i="1" a="1"/>
  <c r="ZZ52" i="1" a="1"/>
  <c r="NU47" i="1" a="1"/>
  <c r="FW50" i="1" a="1"/>
  <c r="WX33" i="1" a="1"/>
  <c r="TU33" i="1" a="1"/>
  <c r="QN49" i="1" a="1"/>
  <c r="NU38" i="1" a="1"/>
  <c r="QP45" i="1" a="1"/>
  <c r="FV48" i="1" a="1"/>
  <c r="ABN36" i="1" a="1"/>
  <c r="QN53" i="1" a="1"/>
  <c r="QP54" i="1" a="1"/>
  <c r="BM33" i="1" a="1"/>
  <c r="FA33" i="1" a="1"/>
  <c r="WT51" i="1" a="1"/>
  <c r="DI47" i="1" a="1"/>
  <c r="FX47" i="1" a="1"/>
  <c r="FV33" i="1" a="1"/>
  <c r="ABN40" i="1" a="1"/>
  <c r="ZZ57" i="1" a="1"/>
  <c r="FW38" i="1" a="1"/>
  <c r="WW56" i="1" a="1"/>
  <c r="TH56" i="1" a="1"/>
  <c r="ACM41" i="1" a="1"/>
  <c r="TU42" i="1" a="1"/>
  <c r="WX42" i="1" a="1"/>
  <c r="WV37" i="1" a="1"/>
  <c r="QN55" i="1" a="1"/>
  <c r="WT33" i="1" a="1"/>
  <c r="NU31" i="1" a="1"/>
  <c r="FW47" i="1" a="1"/>
  <c r="FV41" i="1" a="1"/>
  <c r="WW36" i="1" a="1"/>
  <c r="TH36" i="1" a="1"/>
  <c r="ACM54" i="1" a="1"/>
  <c r="WX52" i="1" a="1"/>
  <c r="TU52" i="1" a="1"/>
  <c r="ZZ31" i="1" a="1"/>
  <c r="WV38" i="1" a="1"/>
  <c r="FA53" i="1" a="1"/>
  <c r="BM53" i="1" a="1"/>
  <c r="WX50" i="1" a="1"/>
  <c r="TU50" i="1" a="1"/>
  <c r="WV28" i="1" a="1"/>
  <c r="SV28" i="1" a="1"/>
  <c r="QN45" i="1" a="1"/>
  <c r="WT30" i="1" a="1"/>
  <c r="RX30" i="1" a="1"/>
  <c r="NU35" i="1" a="1"/>
  <c r="WU44" i="1" a="1"/>
  <c r="SJ44" i="1" a="1"/>
  <c r="CW39" i="1" a="1"/>
  <c r="FW39" i="1" a="1"/>
  <c r="DI33" i="1" a="1"/>
  <c r="FX33" i="1" a="1"/>
  <c r="FV42" i="1" a="1"/>
  <c r="WW57" i="1" a="1"/>
  <c r="TH57" i="1" a="1"/>
  <c r="ABN54" i="1" a="1"/>
  <c r="ZZ29" i="1" a="1"/>
  <c r="WV51" i="1" a="1"/>
  <c r="SV51" i="1" a="1"/>
  <c r="QN33" i="1" a="1"/>
  <c r="WT32" i="1" a="1"/>
  <c r="BY48" i="1" a="1"/>
  <c r="FB48" i="1" a="1"/>
  <c r="QP35" i="1" a="1"/>
  <c r="FX44" i="1" a="1"/>
  <c r="DI44" i="1" a="1"/>
  <c r="FA35" i="1" a="1"/>
  <c r="BM35" i="1" a="1"/>
  <c r="ABN46" i="1" a="1"/>
  <c r="NU33" i="1" a="1"/>
  <c r="ZZ50" i="1" a="1"/>
  <c r="WV52" i="1" a="1"/>
  <c r="SV52" i="1" a="1"/>
  <c r="QN52" i="1" a="1"/>
  <c r="CW45" i="1" a="1"/>
  <c r="CW30" i="1" a="1"/>
  <c r="CW50" i="1" a="1"/>
  <c r="CW47" i="1" a="1"/>
  <c r="CW52" i="1" a="1"/>
  <c r="CW32" i="1" a="1"/>
  <c r="CK50" i="1" a="1"/>
  <c r="CK34" i="1" a="1"/>
  <c r="CK46" i="1" a="1"/>
  <c r="CK55" i="1" a="1"/>
  <c r="CK53" i="1" a="1"/>
  <c r="SV31" i="1" a="1"/>
  <c r="SV39" i="1" a="1"/>
  <c r="RX45" i="1" a="1"/>
  <c r="RX39" i="1" a="1"/>
  <c r="RX31" i="1" a="1"/>
  <c r="RX54" i="1" a="1"/>
  <c r="RX28" i="1" a="1"/>
  <c r="TH53" i="1" a="1"/>
  <c r="TH41" i="1" a="1"/>
  <c r="TH45" i="1" a="1"/>
  <c r="ABB41" i="1" a="1"/>
  <c r="ABB47" i="1" a="1"/>
  <c r="ABB35" i="1" a="1"/>
  <c r="ABB36" i="1" a="1"/>
  <c r="ABB38" i="1" a="1"/>
  <c r="ABB40" i="1" a="1"/>
  <c r="WU56" i="1" a="1"/>
  <c r="SJ56" i="1" a="1"/>
  <c r="NG11" i="1" a="1"/>
  <c r="HU11" i="1" a="1"/>
  <c r="SA11" i="1" a="1"/>
  <c r="WE11" i="1" a="1"/>
  <c r="ABU11" i="1" a="1"/>
  <c r="DO11" i="1" a="1"/>
  <c r="TS11" i="1" a="1"/>
  <c r="YS11" i="1" a="1"/>
  <c r="MR11" i="1" a="1"/>
  <c r="RR11" i="1" a="1"/>
  <c r="GV11" i="1" a="1"/>
  <c r="EX11" i="1" a="1"/>
  <c r="LC11" i="1" a="1"/>
  <c r="LZ11" i="1" a="1"/>
  <c r="AZ11" i="1" a="1"/>
  <c r="IE11" i="1" a="1"/>
  <c r="NN11" i="1" a="1"/>
  <c r="IP11" i="1" a="1"/>
  <c r="UJ11" i="1" a="1"/>
  <c r="HG11" i="1" a="1"/>
  <c r="JK11" i="1" a="1"/>
  <c r="IB11" i="1" a="1"/>
  <c r="SN11" i="1" a="1"/>
  <c r="CL11" i="1" a="1"/>
  <c r="PB11" i="1" a="1"/>
  <c r="H11" i="1" a="1"/>
  <c r="BA11" i="1" a="1"/>
  <c r="QB11" i="1" a="1"/>
  <c r="NC11" i="1" a="1"/>
  <c r="TE11" i="1" a="1"/>
  <c r="U11" i="1" a="1"/>
  <c r="CS11" i="1" a="1"/>
  <c r="RP11" i="1" a="1"/>
  <c r="SK11" i="1" a="1"/>
  <c r="UM11" i="1" a="1"/>
  <c r="XG11" i="1" a="1"/>
  <c r="CO11" i="1" a="1"/>
  <c r="ZU11" i="1" a="1"/>
  <c r="RA11" i="1" a="1"/>
  <c r="TG11" i="1" a="1"/>
  <c r="Z11" i="1" a="1"/>
  <c r="JA11" i="1" a="1"/>
  <c r="QP53" i="1" a="1"/>
  <c r="FV35" i="1" a="1"/>
  <c r="ABN41" i="1" a="1"/>
  <c r="HP11" i="1" a="1"/>
  <c r="AAY11" i="1" a="1"/>
  <c r="UH11" i="1" a="1"/>
  <c r="BB11" i="1" a="1"/>
  <c r="AK11" i="1" a="1"/>
  <c r="EY11" i="1" a="1"/>
  <c r="DB11" i="1" a="1"/>
  <c r="CD11" i="1" a="1"/>
  <c r="LB11" i="1" a="1"/>
  <c r="AAQ11" i="1" a="1"/>
  <c r="BY11" i="1" a="1"/>
  <c r="Y11" i="1" a="1"/>
  <c r="YQ11" i="1" a="1"/>
  <c r="HQ11" i="1" a="1"/>
  <c r="VI11" i="1" a="1"/>
  <c r="ZN11" i="1" a="1"/>
  <c r="VZ11" i="1" a="1"/>
  <c r="TO11" i="1" a="1"/>
  <c r="CZ11" i="1" a="1"/>
  <c r="QM11" i="1" a="1"/>
  <c r="X11" i="1" a="1"/>
  <c r="BF11" i="1" a="1"/>
  <c r="QP33" i="1" a="1"/>
  <c r="FA49" i="1" a="1"/>
  <c r="BM49" i="1" a="1"/>
  <c r="ABN34" i="1" a="1"/>
  <c r="LG11" i="1" a="1"/>
  <c r="DS11" i="1" a="1"/>
  <c r="GL11" i="1" a="1"/>
  <c r="T11" i="1" a="1"/>
  <c r="FN11" i="1" a="1"/>
  <c r="XV11" i="1" a="1"/>
  <c r="SJ33" i="1" a="1"/>
  <c r="WU33" i="1" a="1"/>
  <c r="FH11" i="1" a="1"/>
  <c r="CX11" i="1" a="1"/>
  <c r="AN11" i="1" a="1"/>
  <c r="NR11" i="1" a="1"/>
  <c r="QW11" i="1" a="1"/>
  <c r="TB11" i="1" a="1"/>
  <c r="AAV11" i="1" a="1"/>
  <c r="AAE11" i="1" a="1"/>
  <c r="BP11" i="1" a="1"/>
  <c r="JP11" i="1" a="1"/>
  <c r="MN11" i="1" a="1"/>
  <c r="MW11" i="1" a="1"/>
  <c r="DX11" i="1" a="1"/>
  <c r="FG11" i="1" a="1"/>
  <c r="LH11" i="1" a="1"/>
  <c r="ZD11" i="1" a="1"/>
  <c r="ACB11" i="1" a="1"/>
  <c r="ZV11" i="1" a="1"/>
  <c r="RW11" i="1" a="1"/>
  <c r="WM11" i="1" a="1"/>
  <c r="LR11" i="1" a="1"/>
  <c r="WO11" i="1" a="1"/>
  <c r="QK11" i="1" a="1"/>
  <c r="MZ11" i="1" a="1"/>
  <c r="VM11" i="1" a="1"/>
  <c r="IX11" i="1" a="1"/>
  <c r="AAX11" i="1" a="1"/>
  <c r="WR11" i="1" a="1"/>
  <c r="ZK11" i="1" a="1"/>
  <c r="QH11" i="1" a="1"/>
  <c r="RE11" i="1" a="1"/>
  <c r="ABY11" i="1" a="1"/>
  <c r="IG11" i="1" a="1"/>
  <c r="AV11" i="1" a="1"/>
  <c r="TP11" i="1" a="1"/>
  <c r="UD11" i="1" a="1"/>
  <c r="CP11" i="1" a="1"/>
  <c r="AL11" i="1" a="1"/>
  <c r="OY11" i="1" a="1"/>
  <c r="UQ11" i="1" a="1"/>
  <c r="MP11" i="1" a="1"/>
  <c r="VG11" i="1" a="1"/>
  <c r="VD11" i="1" a="1"/>
  <c r="UB11" i="1" a="1"/>
  <c r="CF11" i="1" a="1"/>
  <c r="CV11" i="1" a="1"/>
  <c r="UC11" i="1" a="1"/>
  <c r="ACL11" i="1" a="1"/>
  <c r="OT11" i="1" a="1"/>
  <c r="BW11" i="1" a="1"/>
  <c r="MT11" i="1" a="1"/>
  <c r="RC11" i="1" a="1"/>
  <c r="SQ11" i="1" a="1"/>
  <c r="KM11" i="1" a="1"/>
  <c r="JJ11" i="1" a="1"/>
  <c r="NS11" i="1" a="1"/>
  <c r="DC11" i="1" a="1"/>
  <c r="IL11" i="1" a="1"/>
  <c r="PW11" i="1" a="1"/>
  <c r="RU11" i="1" a="1"/>
  <c r="NF11" i="1" a="1"/>
  <c r="ABF11" i="1" a="1"/>
  <c r="RD11" i="1" a="1"/>
  <c r="LK11" i="1" a="1"/>
  <c r="DU11" i="1" a="1"/>
  <c r="YV11" i="1" a="1"/>
  <c r="CJ11" i="1" a="1"/>
  <c r="DR11" i="1" a="1"/>
  <c r="YU11" i="1" a="1"/>
  <c r="PV11" i="1" a="1"/>
  <c r="BU11" i="1" a="1"/>
  <c r="HX11" i="1" a="1"/>
  <c r="AAT11" i="1" a="1"/>
  <c r="GQ11" i="1" a="1"/>
  <c r="TR11" i="1" a="1"/>
  <c r="WS11" i="1" a="1"/>
  <c r="JL11" i="1" a="1"/>
  <c r="KK11" i="1" a="1"/>
  <c r="NH11" i="1" a="1"/>
  <c r="AR11" i="1" a="1"/>
  <c r="TM11" i="1" a="1"/>
  <c r="WW29" i="1" a="1"/>
  <c r="TN11" i="1" a="1"/>
  <c r="FM11" i="1" a="1"/>
  <c r="FB36" i="1" a="1"/>
  <c r="BY36" i="1" a="1"/>
  <c r="QP37" i="1" a="1"/>
  <c r="DI29" i="1" a="1"/>
  <c r="FX29" i="1" a="1"/>
  <c r="FA28" i="1" a="1"/>
  <c r="BM28" i="1" a="1"/>
  <c r="ABN49" i="1" a="1"/>
  <c r="QN43" i="1" a="1"/>
  <c r="WT38" i="1" a="1"/>
  <c r="RX38" i="1" a="1"/>
  <c r="FW44" i="1" a="1"/>
  <c r="QP30" i="1" a="1"/>
  <c r="FV53" i="1" a="1"/>
  <c r="ABN56" i="1" a="1"/>
  <c r="BM30" i="1" a="1"/>
  <c r="FA30" i="1" a="1"/>
  <c r="ACM40" i="1" a="1"/>
  <c r="WV32" i="1" a="1"/>
  <c r="SV32" i="1" a="1"/>
  <c r="WT56" i="1" a="1"/>
  <c r="FW49" i="1" a="1"/>
  <c r="CW49" i="1" a="1"/>
  <c r="ACM50" i="1" a="1"/>
  <c r="OK11" i="1" a="1"/>
  <c r="AAW11" i="1" a="1"/>
  <c r="YO11" i="1" a="1"/>
  <c r="WU29" i="1" a="1"/>
  <c r="SJ29" i="1" a="1"/>
  <c r="FW54" i="1" a="1"/>
  <c r="DI43" i="1" a="1"/>
  <c r="FX43" i="1" a="1"/>
  <c r="ABB37" i="1" a="1"/>
  <c r="CK57" i="1" a="1"/>
  <c r="FV57" i="1" a="1"/>
  <c r="WW31" i="1" a="1"/>
  <c r="ACM51" i="1" a="1"/>
  <c r="TU29" i="1" a="1"/>
  <c r="WX29" i="1" a="1"/>
  <c r="ZZ35" i="1" a="1"/>
  <c r="NU45" i="1" a="1"/>
  <c r="SJ32" i="1" a="1"/>
  <c r="WU32" i="1" a="1"/>
  <c r="FX53" i="1" a="1"/>
  <c r="DI53" i="1" a="1"/>
  <c r="FV54" i="1" a="1"/>
  <c r="WW51" i="1" a="1"/>
  <c r="TH51" i="1" a="1"/>
  <c r="WX56" i="1" a="1"/>
  <c r="TU56" i="1" a="1"/>
  <c r="QN39" i="1" a="1"/>
  <c r="NU48" i="1" a="1"/>
  <c r="FV51" i="1" a="1"/>
  <c r="TH43" i="1" a="1"/>
  <c r="WW43" i="1" a="1"/>
  <c r="ABN55" i="1" a="1"/>
  <c r="VY11" i="1" a="1"/>
  <c r="OZ11" i="1" a="1"/>
  <c r="RY11" i="1" a="1"/>
  <c r="DT11" i="1" a="1"/>
  <c r="ST11" i="1" a="1"/>
  <c r="NJ11" i="1" a="1"/>
  <c r="ND11" i="1" a="1"/>
  <c r="TC11" i="1" a="1"/>
  <c r="JG11" i="1" a="1"/>
  <c r="IC11" i="1" a="1"/>
  <c r="HZ11" i="1" a="1"/>
  <c r="WU57" i="1" a="1"/>
  <c r="SJ57" i="1" a="1"/>
  <c r="FW35" i="1" a="1"/>
  <c r="FV55" i="1" a="1"/>
  <c r="WW52" i="1" a="1"/>
  <c r="TH52" i="1" a="1"/>
  <c r="ACM43" i="1" a="1"/>
  <c r="WX37" i="1" a="1"/>
  <c r="TU37" i="1" a="1"/>
  <c r="ZZ39" i="1" a="1"/>
  <c r="SV34" i="1" a="1"/>
  <c r="WV34" i="1" a="1"/>
  <c r="WU54" i="1" a="1"/>
  <c r="SJ54" i="1" a="1"/>
  <c r="BY46" i="1" a="1"/>
  <c r="FB46" i="1" a="1"/>
  <c r="ABB56" i="1" a="1"/>
  <c r="ACM39" i="1" a="1"/>
  <c r="ZZ42" i="1" a="1"/>
  <c r="WV39" i="1" a="1"/>
  <c r="WT39" i="1" a="1"/>
  <c r="FB55" i="1" a="1"/>
  <c r="BY55" i="1" a="1"/>
  <c r="DI56" i="1" a="1"/>
  <c r="FX56" i="1" a="1"/>
  <c r="FB51" i="1" a="1"/>
  <c r="BY51" i="1" a="1"/>
  <c r="WX47" i="1" a="1"/>
  <c r="TU47" i="1" a="1"/>
  <c r="QN50" i="1" a="1"/>
  <c r="WT53" i="1" a="1"/>
  <c r="RX53" i="1" a="1"/>
  <c r="CW53" i="1" a="1"/>
  <c r="FW53" i="1" a="1"/>
  <c r="QP31" i="1" a="1"/>
  <c r="FV39" i="1" a="1"/>
  <c r="WW28" i="1" a="1"/>
  <c r="ABN42" i="1" a="1"/>
  <c r="BM36" i="1" a="1"/>
  <c r="FA36" i="1" a="1"/>
  <c r="ACM46" i="1" a="1"/>
  <c r="FW34" i="1" a="1"/>
  <c r="ACM45" i="1" a="1"/>
  <c r="NU55" i="1" a="1"/>
  <c r="BM38" i="1" a="1"/>
  <c r="FA38" i="1" a="1"/>
  <c r="SJ35" i="1" a="1"/>
  <c r="WU35" i="1" a="1"/>
  <c r="CW28" i="1" a="1"/>
  <c r="FW28" i="1" a="1"/>
  <c r="FV44" i="1" a="1"/>
  <c r="WW41" i="1" a="1"/>
  <c r="ABN52" i="1" a="1"/>
  <c r="ZZ36" i="1" a="1"/>
  <c r="WV44" i="1" a="1"/>
  <c r="QN36" i="1" a="1"/>
  <c r="WT29" i="1" a="1"/>
  <c r="NU57" i="1" a="1"/>
  <c r="FB57" i="1" a="1"/>
  <c r="BY57" i="1" a="1"/>
  <c r="QP48" i="1" a="1"/>
  <c r="FX49" i="1" a="1"/>
  <c r="DI49" i="1" a="1"/>
  <c r="FV45" i="1" a="1"/>
  <c r="CK45" i="1" a="1"/>
  <c r="ABN35" i="1" a="1"/>
  <c r="ZZ38" i="1" a="1"/>
  <c r="NU41" i="1" a="1"/>
  <c r="WU43" i="1" a="1"/>
  <c r="SJ43" i="1" a="1"/>
  <c r="FW56" i="1" a="1"/>
  <c r="CW56" i="1" a="1"/>
  <c r="WW45" i="1" a="1"/>
  <c r="ACM37" i="1" a="1"/>
  <c r="WX32" i="1" a="1"/>
  <c r="TU32" i="1" a="1"/>
  <c r="SV43" i="1" a="1"/>
  <c r="WV43" i="1" a="1"/>
  <c r="QN47" i="1" a="1"/>
  <c r="WT42" i="1" a="1"/>
  <c r="RX42" i="1" a="1"/>
  <c r="NU44" i="1" a="1"/>
  <c r="SJ55" i="1" a="1"/>
  <c r="WU55" i="1" a="1"/>
  <c r="BY32" i="1" a="1"/>
  <c r="FB32" i="1" a="1"/>
  <c r="QP38" i="1" a="1"/>
  <c r="FX40" i="1" a="1"/>
  <c r="DI40" i="1" a="1"/>
  <c r="BM41" i="1" a="1"/>
  <c r="FA41" i="1" a="1"/>
  <c r="ABN53" i="1" a="1"/>
  <c r="ZZ54" i="1" a="1"/>
  <c r="BY41" i="1" a="1"/>
  <c r="FB41" i="1" a="1"/>
  <c r="QP55" i="1" a="1"/>
  <c r="FA32" i="1" a="1"/>
  <c r="BM32" i="1" a="1"/>
  <c r="QN38" i="1" a="1"/>
  <c r="WT41" i="1" a="1"/>
  <c r="NU29" i="1" a="1"/>
  <c r="ABN39" i="1" a="1"/>
  <c r="ZZ44" i="1" a="1"/>
  <c r="CK39" i="1" a="1"/>
  <c r="CW44" i="1" a="1"/>
  <c r="CW42" i="1" a="1"/>
  <c r="CW55" i="1" a="1"/>
  <c r="CW31" i="1" a="1"/>
  <c r="CW37" i="1" a="1"/>
  <c r="CK44" i="1" a="1"/>
  <c r="CK56" i="1" a="1"/>
  <c r="CK38" i="1" a="1"/>
  <c r="CK33" i="1" a="1"/>
  <c r="CK37" i="1" a="1"/>
  <c r="SV38" i="1" a="1"/>
  <c r="SV44" i="1" a="1"/>
  <c r="RX46" i="1" a="1"/>
  <c r="RX34" i="1" a="1"/>
  <c r="RX37" i="1" a="1"/>
  <c r="RX50" i="1" a="1"/>
  <c r="RX29" i="1" a="1"/>
  <c r="RX47" i="1" a="1"/>
  <c r="TH28" i="1" a="1"/>
  <c r="TH31" i="1" a="1"/>
  <c r="TH39" i="1" a="1"/>
  <c r="TH35" i="1" a="1"/>
  <c r="ABB51" i="1" a="1"/>
  <c r="ABB45" i="1" a="1"/>
  <c r="ABB52" i="1" a="1"/>
  <c r="ABB49" i="1" a="1"/>
  <c r="ABB33" i="1" a="1"/>
  <c r="JB11" i="1" a="1"/>
  <c r="TH11" i="1" a="1"/>
  <c r="PN11" i="1" a="1"/>
  <c r="KI11" i="1" a="1"/>
  <c r="HV11" i="1" a="1"/>
  <c r="JF11" i="1" a="1"/>
  <c r="KS11" i="1" a="1"/>
  <c r="PU11" i="1" a="1"/>
  <c r="IU11" i="1" a="1"/>
  <c r="GN11" i="1" a="1"/>
  <c r="HH11" i="1" a="1"/>
  <c r="EK11" i="1" a="1"/>
  <c r="P11" i="1" a="1"/>
  <c r="DY11" i="1" a="1"/>
  <c r="CT11" i="1" a="1"/>
  <c r="WA11" i="1" a="1"/>
  <c r="EN11" i="1" a="1"/>
  <c r="UF11" i="1" a="1"/>
  <c r="AM11" i="1" a="1"/>
  <c r="KY11" i="1" a="1"/>
  <c r="BD11" i="1" a="1"/>
  <c r="ZW11" i="1" a="1"/>
  <c r="ME11" i="1" a="1"/>
  <c r="CK11" i="1" a="1"/>
  <c r="IA11" i="1" a="1"/>
  <c r="MI11" i="1" a="1"/>
  <c r="VH11" i="1" a="1"/>
  <c r="SD11" i="1" a="1"/>
  <c r="OO11" i="1" a="1"/>
  <c r="AI11" i="1" a="1"/>
  <c r="KO11" i="1" a="1"/>
  <c r="ZI11" i="1" a="1"/>
  <c r="AAO11" i="1" a="1"/>
  <c r="RT11" i="1" a="1"/>
  <c r="GW11" i="1" a="1"/>
  <c r="YZ11" i="1" a="1"/>
  <c r="ABW11" i="1" a="1"/>
  <c r="ET11" i="1" a="1"/>
  <c r="CW11" i="1" a="1"/>
  <c r="QL11" i="1" a="1"/>
  <c r="VL11" i="1" a="1"/>
  <c r="HL11" i="1" a="1"/>
  <c r="FO11" i="1" a="1"/>
  <c r="DI37" i="1" a="1"/>
  <c r="FX37" i="1" a="1"/>
  <c r="GH11" i="1" a="1"/>
  <c r="TD11" i="1" a="1"/>
  <c r="YY11" i="1" a="1"/>
  <c r="AD11" i="1" a="1"/>
  <c r="QT11" i="1" a="1"/>
  <c r="AS11" i="1" a="1"/>
  <c r="ZF11" i="1" a="1"/>
  <c r="GM11" i="1" a="1"/>
  <c r="HO11" i="1" a="1"/>
  <c r="JE11" i="1" a="1"/>
  <c r="BG11" i="1" a="1"/>
  <c r="JY11" i="1" a="1"/>
  <c r="AJ11" i="1" a="1"/>
  <c r="ABA11" i="1" a="1"/>
  <c r="EV11" i="1" a="1"/>
  <c r="WK11" i="1" a="1"/>
  <c r="LL11" i="1" a="1"/>
  <c r="VB11" i="1" a="1"/>
  <c r="QG11" i="1" a="1"/>
  <c r="ABC11" i="1" a="1"/>
  <c r="RF11" i="1" a="1"/>
  <c r="UY11" i="1" a="1"/>
  <c r="FX38" i="1" a="1"/>
  <c r="DI38" i="1" a="1"/>
  <c r="AAD11" i="1" a="1"/>
  <c r="SB11" i="1" a="1"/>
  <c r="G11" i="1" a="1"/>
  <c r="UZ11" i="1" a="1"/>
  <c r="FL11" i="1" a="1"/>
  <c r="CC11" i="1" a="1"/>
  <c r="YB11" i="1" a="1"/>
  <c r="ABD11" i="1" a="1"/>
  <c r="EP11" i="1" a="1"/>
  <c r="BH11" i="1" a="1"/>
  <c r="CE11" i="1" a="1"/>
  <c r="QU11" i="1" a="1"/>
  <c r="TA11" i="1" a="1"/>
  <c r="FQ11" i="1" a="1"/>
  <c r="R11" i="1" a="1"/>
  <c r="OU11" i="1" a="1"/>
  <c r="GC11" i="1" a="1"/>
  <c r="ID11" i="1" a="1"/>
  <c r="TJ11" i="1" a="1"/>
  <c r="JC11" i="1" a="1"/>
  <c r="ZX11" i="1" a="1"/>
  <c r="NL11" i="1" a="1"/>
  <c r="KZ11" i="1" a="1"/>
  <c r="VP11" i="1" a="1"/>
  <c r="GO11" i="1" a="1"/>
  <c r="TT11" i="1" a="1"/>
  <c r="ACJ11" i="1" a="1"/>
  <c r="TI11" i="1" a="1"/>
  <c r="VX11" i="1" a="1"/>
  <c r="PM11" i="1" a="1"/>
  <c r="GZ11" i="1" a="1"/>
  <c r="ABJ11" i="1" a="1"/>
  <c r="QD11" i="1" a="1"/>
  <c r="LV11" i="1" a="1"/>
  <c r="AAK11" i="1" a="1"/>
  <c r="BJ11" i="1" a="1"/>
  <c r="XP11" i="1" a="1"/>
  <c r="YX11" i="1" a="1"/>
  <c r="BL11" i="1" a="1"/>
  <c r="EC11" i="1" a="1"/>
  <c r="LW11" i="1" a="1"/>
  <c r="ZH11" i="1" a="1"/>
  <c r="FW51" i="1" a="1"/>
  <c r="YD11" i="1" a="1"/>
  <c r="MC11" i="1" a="1"/>
  <c r="KV11" i="1" a="1"/>
  <c r="AE11" i="1" a="1"/>
  <c r="UO11" i="1" a="1"/>
  <c r="ACK11" i="1" a="1"/>
  <c r="EJ11" i="1" a="1"/>
  <c r="ZL11" i="1" a="1"/>
  <c r="CH11" i="1" a="1"/>
  <c r="KL11" i="1" a="1"/>
  <c r="UN11" i="1" a="1"/>
  <c r="AQ11" i="1" a="1"/>
  <c r="CR11" i="1" a="1"/>
  <c r="BR11" i="1" a="1"/>
  <c r="WH11" i="1" a="1"/>
  <c r="ON11" i="1" a="1"/>
  <c r="XU11" i="1" a="1"/>
  <c r="KP11" i="1" a="1"/>
  <c r="NA11" i="1" a="1"/>
  <c r="FJ11" i="1" a="1"/>
  <c r="QJ11" i="1" a="1"/>
  <c r="JZ11" i="1" a="1"/>
  <c r="NP11" i="1" a="1"/>
  <c r="MF11" i="1" a="1"/>
  <c r="ACA11" i="1" a="1"/>
  <c r="ER11" i="1" a="1"/>
  <c r="LT11" i="1" a="1"/>
  <c r="YL11" i="1" a="1"/>
  <c r="EU11" i="1" a="1"/>
  <c r="KB11" i="1" a="1"/>
  <c r="AC11" i="1" a="1"/>
  <c r="FU11" i="1" a="1"/>
  <c r="VJ11" i="1" a="1"/>
  <c r="LQ11" i="1" a="1"/>
  <c r="CI11" i="1" a="1"/>
  <c r="WJ11" i="1" a="1"/>
  <c r="FR11" i="1" a="1"/>
  <c r="LE11" i="1" a="1"/>
  <c r="ZP11" i="1" a="1"/>
  <c r="DV11" i="1" a="1"/>
  <c r="ZB11" i="1" a="1"/>
  <c r="OH11" i="1" a="1"/>
  <c r="PH11" i="1" a="1"/>
  <c r="KD11" i="1" a="1"/>
  <c r="FW31" i="1" a="1"/>
  <c r="ACM35" i="1" a="1"/>
  <c r="AAI11" i="1" a="1"/>
  <c r="LN11" i="1" a="1"/>
  <c r="VS11" i="1" a="1"/>
  <c r="SJ41" i="1" a="1"/>
  <c r="WU41" i="1" a="1"/>
  <c r="FW30" i="1" a="1"/>
  <c r="FA39" i="1" a="1"/>
  <c r="BM39" i="1" a="1"/>
  <c r="WW53" i="1" a="1"/>
  <c r="ACM30" i="1" a="1"/>
  <c r="WX41" i="1" a="1"/>
  <c r="TU41" i="1" a="1"/>
  <c r="WV47" i="1" a="1"/>
  <c r="SV47" i="1" a="1"/>
  <c r="QN32" i="1" a="1"/>
  <c r="SJ28" i="1" a="1"/>
  <c r="WU28" i="1" a="1"/>
  <c r="FB35" i="1" a="1"/>
  <c r="BY35" i="1" a="1"/>
  <c r="FA34" i="1" a="1"/>
  <c r="BM34" i="1" a="1"/>
  <c r="ACM31" i="1" a="1"/>
  <c r="SV48" i="1" a="1"/>
  <c r="WV48" i="1" a="1"/>
  <c r="WT55" i="1" a="1"/>
  <c r="RX55" i="1" a="1"/>
  <c r="WU49" i="1" a="1"/>
  <c r="SJ49" i="1" a="1"/>
  <c r="BY28" i="1" a="1"/>
  <c r="FB28" i="1" a="1"/>
  <c r="FX28" i="1" a="1"/>
  <c r="DI28" i="1" a="1"/>
  <c r="ZZ51" i="1" a="1"/>
  <c r="BY44" i="1" a="1"/>
  <c r="FB44" i="1" a="1"/>
  <c r="FX41" i="1" a="1"/>
  <c r="DI41" i="1" a="1"/>
  <c r="ZZ30" i="1" a="1"/>
  <c r="SV35" i="1" a="1"/>
  <c r="WV35" i="1" a="1"/>
  <c r="AH11" i="1" a="1"/>
  <c r="AP11" i="1" a="1"/>
  <c r="IZ11" i="1" a="1"/>
  <c r="ACM11" i="1" a="1"/>
  <c r="FB39" i="1" a="1"/>
  <c r="BY39" i="1" a="1"/>
  <c r="QP46" i="1" a="1"/>
  <c r="FX46" i="1" a="1"/>
  <c r="DI46" i="1" a="1"/>
  <c r="FV34" i="1" a="1"/>
  <c r="ABN38" i="1" a="1"/>
  <c r="WT44" i="1" a="1"/>
  <c r="NU52" i="1" a="1"/>
  <c r="CW43" i="1" a="1"/>
  <c r="FW43" i="1" a="1"/>
  <c r="QP43" i="1" a="1"/>
  <c r="FV56" i="1" a="1"/>
  <c r="WW38" i="1" a="1"/>
  <c r="TH38" i="1" a="1"/>
  <c r="WX34" i="1" a="1"/>
  <c r="TU34" i="1" a="1"/>
  <c r="QN44" i="1" a="1"/>
  <c r="NU43" i="1" a="1"/>
  <c r="QP29" i="1" a="1"/>
  <c r="BM55" i="1" a="1"/>
  <c r="FA55" i="1" a="1"/>
  <c r="ABN51" i="1" a="1"/>
  <c r="QP42" i="1" a="1"/>
  <c r="FA37" i="1" a="1"/>
  <c r="BM37" i="1" a="1"/>
  <c r="ACM29" i="1" a="1"/>
  <c r="QY11" i="1" a="1"/>
  <c r="DJ11" i="1" a="1"/>
  <c r="ACC11" i="1" a="1"/>
  <c r="KW11" i="1" a="1"/>
  <c r="ACG11" i="1" a="1"/>
  <c r="XQ11" i="1" a="1"/>
  <c r="UV11" i="1" a="1"/>
  <c r="RX11" i="1" a="1"/>
  <c r="LJ11" i="1" a="1"/>
  <c r="KU11" i="1" a="1"/>
  <c r="AX11" i="1" a="1"/>
  <c r="SJ31" i="1" a="1"/>
  <c r="WU31" i="1" a="1"/>
  <c r="FW55" i="1" a="1"/>
  <c r="QP56" i="1" a="1"/>
  <c r="DI39" i="1" a="1"/>
  <c r="FX39" i="1" a="1"/>
  <c r="FV38" i="1" a="1"/>
  <c r="TH50" i="1" a="1"/>
  <c r="WW50" i="1" a="1"/>
  <c r="ACM55" i="1" a="1"/>
  <c r="ABN28" i="1" a="1"/>
  <c r="ZZ33" i="1" a="1"/>
  <c r="NU46" i="1" a="1"/>
  <c r="FX50" i="1" a="1"/>
  <c r="DI50" i="1" a="1"/>
  <c r="FV49" i="1" a="1"/>
  <c r="WW40" i="1" a="1"/>
  <c r="WX45" i="1" a="1"/>
  <c r="TU45" i="1" a="1"/>
  <c r="QN48" i="1" a="1"/>
  <c r="NU37" i="1" a="1"/>
  <c r="FV40" i="1" a="1"/>
  <c r="ABN30" i="1" a="1"/>
  <c r="WT35" i="1" a="1"/>
  <c r="SV57" i="1" a="1"/>
  <c r="WV57" i="1" a="1"/>
  <c r="QN30" i="1" a="1"/>
  <c r="WT48" i="1" a="1"/>
  <c r="RX48" i="1" a="1"/>
  <c r="FB56" i="1" a="1"/>
  <c r="BY56" i="1" a="1"/>
  <c r="ABB34" i="1" a="1"/>
  <c r="FA54" i="1" a="1"/>
  <c r="BM54" i="1" a="1"/>
  <c r="WV40" i="1" a="1"/>
  <c r="WT46" i="1" a="1"/>
  <c r="SJ48" i="1" a="1"/>
  <c r="WU48" i="1" a="1"/>
  <c r="FW37" i="1" a="1"/>
  <c r="FX48" i="1" a="1"/>
  <c r="DI48" i="1" a="1"/>
  <c r="ZZ40" i="1" a="1"/>
  <c r="SV49" i="1" a="1"/>
  <c r="WV49" i="1" a="1"/>
  <c r="FB43" i="1" a="1"/>
  <c r="BY43" i="1" a="1"/>
  <c r="FX57" i="1" a="1"/>
  <c r="DI57" i="1" a="1"/>
  <c r="WV36" i="1" a="1"/>
  <c r="SV36" i="1" a="1"/>
  <c r="WW44" i="1" a="1"/>
  <c r="ACM34" i="1" a="1"/>
  <c r="TU31" i="1" a="1"/>
  <c r="WX31" i="1" a="1"/>
  <c r="SV54" i="1" a="1"/>
  <c r="WV54" i="1" a="1"/>
  <c r="QN56" i="1" a="1"/>
  <c r="WT37" i="1" a="1"/>
  <c r="NU53" i="1" a="1"/>
  <c r="SJ37" i="1" a="1"/>
  <c r="WU37" i="1" a="1"/>
  <c r="BY50" i="1" a="1"/>
  <c r="FB50" i="1" a="1"/>
  <c r="QP36" i="1" a="1"/>
  <c r="FX55" i="1" a="1"/>
  <c r="DI55" i="1" a="1"/>
  <c r="BM29" i="1" a="1"/>
  <c r="FA29" i="1" a="1"/>
  <c r="ABN31" i="1" a="1"/>
  <c r="ZZ43" i="1" a="1"/>
  <c r="BY42" i="1" a="1"/>
  <c r="FB42" i="1" a="1"/>
  <c r="QP49" i="1" a="1"/>
  <c r="FX51" i="1" a="1"/>
  <c r="DI51" i="1" a="1"/>
  <c r="FA31" i="1" a="1"/>
  <c r="BM31" i="1" a="1"/>
  <c r="ABN44" i="1" a="1"/>
  <c r="WT47" i="1" a="1"/>
  <c r="NU42" i="1" a="1"/>
  <c r="WT31" i="1" a="1"/>
  <c r="NU30" i="1" a="1"/>
  <c r="SJ39" i="1" a="1"/>
  <c r="WU39" i="1" a="1"/>
  <c r="FW45" i="1" a="1"/>
  <c r="QP32" i="1" a="1"/>
  <c r="FX32" i="1" a="1"/>
  <c r="DI32" i="1" a="1"/>
  <c r="ABB44" i="1" a="1"/>
  <c r="FV28" i="1" a="1"/>
  <c r="CK28" i="1" a="1"/>
  <c r="WW54" i="1" a="1"/>
  <c r="ACM53" i="1" a="1"/>
  <c r="ABN37" i="1" a="1"/>
  <c r="ZZ55" i="1" a="1"/>
  <c r="FB34" i="1" a="1"/>
  <c r="BY34" i="1" a="1"/>
  <c r="QP47" i="1" a="1"/>
  <c r="FA52" i="1" a="1"/>
  <c r="BM52" i="1" a="1"/>
  <c r="ACM32" i="1" a="1"/>
  <c r="WX48" i="1" a="1"/>
  <c r="TU48" i="1" a="1"/>
  <c r="FW48" i="1" a="1"/>
  <c r="ABB48" i="1" a="1"/>
  <c r="FV37" i="1" a="1"/>
  <c r="TH42" i="1" a="1"/>
  <c r="WW42" i="1" a="1"/>
  <c r="ACM56" i="1" a="1"/>
  <c r="TU54" i="1" a="1"/>
  <c r="WX54" i="1" a="1"/>
  <c r="ZZ53" i="1" a="1"/>
  <c r="WV53" i="1" a="1"/>
  <c r="SV53" i="1" a="1"/>
  <c r="QN34" i="1" a="1"/>
  <c r="WT50" i="1" a="1"/>
  <c r="ABN50" i="1" a="1"/>
  <c r="NU39" i="1" a="1"/>
  <c r="CW41" i="1" a="1"/>
  <c r="CW34" i="1" a="1"/>
  <c r="CW40" i="1" a="1"/>
  <c r="CW54" i="1" a="1"/>
  <c r="CW29" i="1" a="1"/>
  <c r="CW35" i="1" a="1"/>
  <c r="CK35" i="1" a="1"/>
  <c r="CK49" i="1" a="1"/>
  <c r="CK51" i="1" a="1"/>
  <c r="CK42" i="1" a="1"/>
  <c r="CK36" i="1" a="1"/>
  <c r="CK41" i="1" a="1"/>
  <c r="SV37" i="1" a="1"/>
  <c r="SV42" i="1" a="1"/>
  <c r="RX57" i="1" a="1"/>
  <c r="RX41" i="1" a="1"/>
  <c r="RX43" i="1" a="1"/>
  <c r="RX32" i="1" a="1"/>
  <c r="RX36" i="1" a="1"/>
  <c r="RX52" i="1" a="1"/>
  <c r="TH44" i="1" a="1"/>
  <c r="TH37" i="1" a="1"/>
  <c r="TH30" i="1" a="1"/>
  <c r="TH29" i="1" a="1"/>
  <c r="ABB50" i="1" a="1"/>
  <c r="ABB31" i="1" a="1"/>
  <c r="ABB32" i="1" a="1"/>
  <c r="ABB46" i="1" a="1"/>
  <c r="ABB29" i="1" a="1"/>
  <c r="NE28" i="1" a="1"/>
  <c r="NE38" i="1" a="1"/>
  <c r="NE54" i="1" a="1"/>
  <c r="NE31" i="1" a="1"/>
  <c r="NE50" i="1" a="1"/>
  <c r="NE52" i="1" a="1"/>
  <c r="NE51" i="1" a="1"/>
  <c r="NT30" i="1" a="1"/>
  <c r="NE47" i="1" a="1"/>
  <c r="NE35" i="1" a="1"/>
  <c r="NE53" i="1" a="1"/>
  <c r="NT50" i="1" a="1"/>
  <c r="NT52" i="1" a="1"/>
  <c r="NT34" i="1" a="1"/>
  <c r="NT33" i="1" a="1"/>
  <c r="NV44" i="1" a="1"/>
  <c r="NT37" i="1" a="1"/>
  <c r="NT36" i="1" a="1"/>
  <c r="AAZ42" i="1" a="1"/>
  <c r="NE43" i="1" a="1"/>
  <c r="NT29" i="1" a="1"/>
  <c r="NT48" i="1" a="1"/>
  <c r="NV32" i="1" a="1"/>
  <c r="NE34" i="1" a="1"/>
  <c r="NE39" i="1" a="1"/>
  <c r="NT46" i="1" a="1"/>
  <c r="NT42" i="1" a="1"/>
  <c r="NE37" i="1" a="1"/>
  <c r="NT40" i="1" a="1"/>
  <c r="NT28" i="1" a="1"/>
  <c r="NT31" i="1" a="1"/>
  <c r="NE48" i="1" a="1"/>
  <c r="NV45" i="1" a="1"/>
  <c r="NT51" i="1" a="1"/>
  <c r="NT39" i="1" a="1"/>
  <c r="NE46" i="1" a="1"/>
  <c r="NE42" i="1" a="1"/>
  <c r="NE30" i="1" a="1"/>
  <c r="NE40" i="1" a="1"/>
  <c r="NT47" i="1" a="1"/>
  <c r="NE36" i="1" a="1"/>
  <c r="NE33" i="1" a="1"/>
  <c r="NT53" i="1" a="1"/>
  <c r="NE55" i="1" a="1"/>
  <c r="NT35" i="1" a="1"/>
  <c r="NT55" i="1" a="1"/>
  <c r="ABB29" i="1" l="1"/>
  <c r="ABB46" i="1"/>
  <c r="ABB32" i="1"/>
  <c r="ABB31" i="1"/>
  <c r="ABB50" i="1"/>
  <c r="TH29" i="1"/>
  <c r="TH30" i="1"/>
  <c r="TH37" i="1"/>
  <c r="TH44" i="1"/>
  <c r="RX52" i="1"/>
  <c r="RX36" i="1"/>
  <c r="RX32" i="1"/>
  <c r="RX43" i="1"/>
  <c r="RX41" i="1"/>
  <c r="RX57" i="1"/>
  <c r="SV42" i="1"/>
  <c r="SV37" i="1"/>
  <c r="CK41" i="1"/>
  <c r="CK36" i="1"/>
  <c r="CK42" i="1"/>
  <c r="CK51" i="1"/>
  <c r="CK49" i="1"/>
  <c r="CK35" i="1"/>
  <c r="CW35" i="1"/>
  <c r="CW29" i="1"/>
  <c r="CW54" i="1"/>
  <c r="CW40" i="1"/>
  <c r="CW34" i="1"/>
  <c r="CW41" i="1"/>
  <c r="NU39" i="1"/>
  <c r="ABN50" i="1"/>
  <c r="BL58" i="18" s="1"/>
  <c r="WT50" i="1"/>
  <c r="QN34" i="1"/>
  <c r="SV53" i="1"/>
  <c r="WV53" i="1"/>
  <c r="ZZ53" i="1"/>
  <c r="WX54" i="1"/>
  <c r="TU54" i="1"/>
  <c r="ACM56" i="1"/>
  <c r="BN64" i="18" s="1"/>
  <c r="WW42" i="1"/>
  <c r="TH42" i="1"/>
  <c r="FV37" i="1"/>
  <c r="ABB48" i="1"/>
  <c r="FW48" i="1"/>
  <c r="TU48" i="1"/>
  <c r="WX48" i="1"/>
  <c r="ACM32" i="1"/>
  <c r="BN40" i="18" s="1"/>
  <c r="BM52" i="1"/>
  <c r="FA52" i="1"/>
  <c r="QP47" i="1"/>
  <c r="BY34" i="1"/>
  <c r="FB34" i="1"/>
  <c r="ZZ55" i="1"/>
  <c r="ABN37" i="1"/>
  <c r="BL45" i="18" s="1"/>
  <c r="ACM53" i="1"/>
  <c r="BN61" i="18" s="1"/>
  <c r="WW54" i="1"/>
  <c r="CK28" i="1"/>
  <c r="FV28" i="1"/>
  <c r="ABB44" i="1"/>
  <c r="DI32" i="1"/>
  <c r="FX32" i="1"/>
  <c r="QP32" i="1"/>
  <c r="FW45" i="1"/>
  <c r="WU39" i="1"/>
  <c r="SJ39" i="1"/>
  <c r="NU30" i="1"/>
  <c r="WT31" i="1"/>
  <c r="NU42" i="1"/>
  <c r="WT47" i="1"/>
  <c r="ABN44" i="1"/>
  <c r="BL52" i="18" s="1"/>
  <c r="BM31" i="1"/>
  <c r="FA31" i="1"/>
  <c r="DI51" i="1"/>
  <c r="FX51" i="1"/>
  <c r="QP49" i="1"/>
  <c r="FB42" i="1"/>
  <c r="BY42" i="1"/>
  <c r="ZZ43" i="1"/>
  <c r="ABN31" i="1"/>
  <c r="BL39" i="18" s="1"/>
  <c r="FA29" i="1"/>
  <c r="BM29" i="1"/>
  <c r="DI55" i="1"/>
  <c r="FX55" i="1"/>
  <c r="QP36" i="1"/>
  <c r="FB50" i="1"/>
  <c r="BY50" i="1"/>
  <c r="WU37" i="1"/>
  <c r="SJ37" i="1"/>
  <c r="NU53" i="1"/>
  <c r="WT37" i="1"/>
  <c r="QN56" i="1"/>
  <c r="WV54" i="1"/>
  <c r="SV54" i="1"/>
  <c r="WX31" i="1"/>
  <c r="TU31" i="1"/>
  <c r="ACM34" i="1"/>
  <c r="BN42" i="18" s="1"/>
  <c r="WW44" i="1"/>
  <c r="SV36" i="1"/>
  <c r="WV36" i="1"/>
  <c r="DI57" i="1"/>
  <c r="FX57" i="1"/>
  <c r="BY43" i="1"/>
  <c r="FB43" i="1"/>
  <c r="WV49" i="1"/>
  <c r="SV49" i="1"/>
  <c r="ZZ40" i="1"/>
  <c r="DI48" i="1"/>
  <c r="FX48" i="1"/>
  <c r="FW37" i="1"/>
  <c r="WU48" i="1"/>
  <c r="SJ48" i="1"/>
  <c r="WT46" i="1"/>
  <c r="WV40" i="1"/>
  <c r="BM54" i="1"/>
  <c r="FA54" i="1"/>
  <c r="ABB34" i="1"/>
  <c r="BY56" i="1"/>
  <c r="FB56" i="1"/>
  <c r="RX48" i="1"/>
  <c r="WT48" i="1"/>
  <c r="QN30" i="1"/>
  <c r="WV57" i="1"/>
  <c r="SV57" i="1"/>
  <c r="WT35" i="1"/>
  <c r="ABN30" i="1"/>
  <c r="BL38" i="18" s="1"/>
  <c r="FV40" i="1"/>
  <c r="NU37" i="1"/>
  <c r="QN48" i="1"/>
  <c r="TU45" i="1"/>
  <c r="WX45" i="1"/>
  <c r="WW40" i="1"/>
  <c r="FV49" i="1"/>
  <c r="DI50" i="1"/>
  <c r="FX50" i="1"/>
  <c r="NU46" i="1"/>
  <c r="ZZ33" i="1"/>
  <c r="ABN28" i="1"/>
  <c r="BL36" i="18" s="1"/>
  <c r="ACM55" i="1"/>
  <c r="BN63" i="18" s="1"/>
  <c r="WW50" i="1"/>
  <c r="TH50" i="1"/>
  <c r="FV38" i="1"/>
  <c r="FX39" i="1"/>
  <c r="DI39" i="1"/>
  <c r="QP56" i="1"/>
  <c r="FW55" i="1"/>
  <c r="WU31" i="1"/>
  <c r="SJ31" i="1"/>
  <c r="AX11" i="1"/>
  <c r="KU11" i="1"/>
  <c r="LJ11" i="1"/>
  <c r="RX11" i="1"/>
  <c r="UV11" i="1"/>
  <c r="XQ11" i="1"/>
  <c r="ACG11" i="1"/>
  <c r="KW11" i="1"/>
  <c r="ACC11" i="1"/>
  <c r="DJ11" i="1"/>
  <c r="QY11" i="1"/>
  <c r="ACM29" i="1"/>
  <c r="BN37" i="18" s="1"/>
  <c r="BM37" i="1"/>
  <c r="FA37" i="1"/>
  <c r="QP42" i="1"/>
  <c r="ABN51" i="1"/>
  <c r="BL59" i="18" s="1"/>
  <c r="FA55" i="1"/>
  <c r="BM55" i="1"/>
  <c r="QP29" i="1"/>
  <c r="NU43" i="1"/>
  <c r="QN44" i="1"/>
  <c r="TU34" i="1"/>
  <c r="WX34" i="1"/>
  <c r="TH38" i="1"/>
  <c r="WW38" i="1"/>
  <c r="FV56" i="1"/>
  <c r="QP43" i="1"/>
  <c r="FW43" i="1"/>
  <c r="CW43" i="1"/>
  <c r="NU52" i="1"/>
  <c r="WT44" i="1"/>
  <c r="ABN38" i="1"/>
  <c r="BL46" i="18" s="1"/>
  <c r="FV34" i="1"/>
  <c r="DI46" i="1"/>
  <c r="FX46" i="1"/>
  <c r="QP46" i="1"/>
  <c r="BY39" i="1"/>
  <c r="FB39" i="1"/>
  <c r="ACM11" i="1"/>
  <c r="IZ11" i="1"/>
  <c r="AP11" i="1"/>
  <c r="AH11" i="1"/>
  <c r="WV35" i="1"/>
  <c r="SV35" i="1"/>
  <c r="ZZ30" i="1"/>
  <c r="DI41" i="1"/>
  <c r="FX41" i="1"/>
  <c r="FB44" i="1"/>
  <c r="BY44" i="1"/>
  <c r="ZZ51" i="1"/>
  <c r="DI28" i="1"/>
  <c r="FX28" i="1"/>
  <c r="FB28" i="1"/>
  <c r="BY28" i="1"/>
  <c r="SJ49" i="1"/>
  <c r="WU49" i="1"/>
  <c r="RX55" i="1"/>
  <c r="WT55" i="1"/>
  <c r="WV48" i="1"/>
  <c r="SV48" i="1"/>
  <c r="ACM31" i="1"/>
  <c r="BN39" i="18" s="1"/>
  <c r="BM34" i="1"/>
  <c r="FA34" i="1"/>
  <c r="BY35" i="1"/>
  <c r="FB35" i="1"/>
  <c r="WU28" i="1"/>
  <c r="SJ28" i="1"/>
  <c r="QN32" i="1"/>
  <c r="SV47" i="1"/>
  <c r="WV47" i="1"/>
  <c r="TU41" i="1"/>
  <c r="WX41" i="1"/>
  <c r="ACM30" i="1"/>
  <c r="BN38" i="18" s="1"/>
  <c r="WW53" i="1"/>
  <c r="BM39" i="1"/>
  <c r="FA39" i="1"/>
  <c r="FH39" i="1" s="1"/>
  <c r="FW30" i="1"/>
  <c r="WU41" i="1"/>
  <c r="SJ41" i="1"/>
  <c r="VS11" i="1"/>
  <c r="LN11" i="1"/>
  <c r="AAI11" i="1"/>
  <c r="ACM35" i="1"/>
  <c r="BN43" i="18" s="1"/>
  <c r="FW31" i="1"/>
  <c r="KD11" i="1"/>
  <c r="PH11" i="1"/>
  <c r="OH11" i="1"/>
  <c r="ZB11" i="1"/>
  <c r="DV11" i="1"/>
  <c r="ZP11" i="1"/>
  <c r="LE11" i="1"/>
  <c r="FR11" i="1"/>
  <c r="WJ11" i="1"/>
  <c r="CI11" i="1"/>
  <c r="LQ11" i="1"/>
  <c r="VJ11" i="1"/>
  <c r="FU11" i="1"/>
  <c r="AC11" i="1"/>
  <c r="KB11" i="1"/>
  <c r="EU11" i="1"/>
  <c r="YL11" i="1"/>
  <c r="LT11" i="1"/>
  <c r="ER11" i="1"/>
  <c r="ACA11" i="1"/>
  <c r="MF11" i="1"/>
  <c r="NP11" i="1"/>
  <c r="JZ11" i="1"/>
  <c r="QJ11" i="1"/>
  <c r="FJ11" i="1"/>
  <c r="NA11" i="1"/>
  <c r="KP11" i="1"/>
  <c r="XU11" i="1"/>
  <c r="ON11" i="1"/>
  <c r="WH11" i="1"/>
  <c r="BR11" i="1"/>
  <c r="CR11" i="1"/>
  <c r="AQ11" i="1"/>
  <c r="UN11" i="1"/>
  <c r="KL11" i="1"/>
  <c r="CH11" i="1"/>
  <c r="ZL11" i="1"/>
  <c r="EJ11" i="1"/>
  <c r="ACK11" i="1"/>
  <c r="UO11" i="1"/>
  <c r="AE11" i="1"/>
  <c r="KV11" i="1"/>
  <c r="MC11" i="1"/>
  <c r="YD11" i="1"/>
  <c r="FW51" i="1"/>
  <c r="ZH11" i="1"/>
  <c r="LW11" i="1"/>
  <c r="EC11" i="1"/>
  <c r="BL11" i="1"/>
  <c r="YX11" i="1"/>
  <c r="XP11" i="1"/>
  <c r="BJ11" i="1"/>
  <c r="AAK11" i="1"/>
  <c r="LV11" i="1"/>
  <c r="QD11" i="1"/>
  <c r="ABJ11" i="1"/>
  <c r="GZ11" i="1"/>
  <c r="PM11" i="1"/>
  <c r="VX11" i="1"/>
  <c r="TI11" i="1"/>
  <c r="ACJ11" i="1"/>
  <c r="TT11" i="1"/>
  <c r="GO11" i="1"/>
  <c r="VP11" i="1"/>
  <c r="KZ11" i="1"/>
  <c r="NL11" i="1"/>
  <c r="ZX11" i="1"/>
  <c r="JC11" i="1"/>
  <c r="TJ11" i="1"/>
  <c r="ID11" i="1"/>
  <c r="GC11" i="1"/>
  <c r="OU11" i="1"/>
  <c r="R11" i="1"/>
  <c r="FQ11" i="1"/>
  <c r="TA11" i="1"/>
  <c r="QU11" i="1"/>
  <c r="CE11" i="1"/>
  <c r="BH11" i="1"/>
  <c r="EP11" i="1"/>
  <c r="ABD11" i="1"/>
  <c r="YB11" i="1"/>
  <c r="CC11" i="1"/>
  <c r="FL11" i="1"/>
  <c r="UZ11" i="1"/>
  <c r="G11" i="1"/>
  <c r="SB11" i="1"/>
  <c r="AAD11" i="1"/>
  <c r="DI38" i="1"/>
  <c r="FX38" i="1"/>
  <c r="UY11" i="1"/>
  <c r="RF11" i="1"/>
  <c r="ABC11" i="1"/>
  <c r="QG11" i="1"/>
  <c r="VB11" i="1"/>
  <c r="LL11" i="1"/>
  <c r="WK11" i="1"/>
  <c r="EV11" i="1"/>
  <c r="ABA11" i="1"/>
  <c r="AJ11" i="1"/>
  <c r="JY11" i="1"/>
  <c r="BG11" i="1"/>
  <c r="JE11" i="1"/>
  <c r="HO11" i="1"/>
  <c r="GM11" i="1"/>
  <c r="ZF11" i="1"/>
  <c r="AS11" i="1"/>
  <c r="QT11" i="1"/>
  <c r="AD11" i="1"/>
  <c r="YY11" i="1"/>
  <c r="TD11" i="1"/>
  <c r="GH11" i="1"/>
  <c r="FX37" i="1"/>
  <c r="DI37" i="1"/>
  <c r="FO11" i="1"/>
  <c r="HL11" i="1"/>
  <c r="VL11" i="1"/>
  <c r="QL11" i="1"/>
  <c r="CW11" i="1"/>
  <c r="ET11" i="1"/>
  <c r="ABW11" i="1"/>
  <c r="YZ11" i="1"/>
  <c r="GW11" i="1"/>
  <c r="RT11" i="1"/>
  <c r="AAO11" i="1"/>
  <c r="ZI11" i="1"/>
  <c r="KO11" i="1"/>
  <c r="AI11" i="1"/>
  <c r="OO11" i="1"/>
  <c r="SD11" i="1"/>
  <c r="VH11" i="1"/>
  <c r="MI11" i="1"/>
  <c r="IA11" i="1"/>
  <c r="CK11" i="1"/>
  <c r="ME11" i="1"/>
  <c r="ZW11" i="1"/>
  <c r="BD11" i="1"/>
  <c r="KY11" i="1"/>
  <c r="AM11" i="1"/>
  <c r="UF11" i="1"/>
  <c r="EN11" i="1"/>
  <c r="WA11" i="1"/>
  <c r="CT11" i="1"/>
  <c r="DY11" i="1"/>
  <c r="P11" i="1"/>
  <c r="EK11" i="1"/>
  <c r="HH11" i="1"/>
  <c r="GN11" i="1"/>
  <c r="IU11" i="1"/>
  <c r="PU11" i="1"/>
  <c r="KS11" i="1"/>
  <c r="JF11" i="1"/>
  <c r="HV11" i="1"/>
  <c r="KI11" i="1"/>
  <c r="PN11" i="1"/>
  <c r="TH11" i="1"/>
  <c r="JB11" i="1"/>
  <c r="ABB33" i="1"/>
  <c r="ABB49" i="1"/>
  <c r="ABB52" i="1"/>
  <c r="ABB45" i="1"/>
  <c r="ABB51" i="1"/>
  <c r="TH35" i="1"/>
  <c r="TH39" i="1"/>
  <c r="TH31" i="1"/>
  <c r="TH28" i="1"/>
  <c r="RX47" i="1"/>
  <c r="RX29" i="1"/>
  <c r="RX50" i="1"/>
  <c r="RX37" i="1"/>
  <c r="RX34" i="1"/>
  <c r="RX46" i="1"/>
  <c r="SV44" i="1"/>
  <c r="SV38" i="1"/>
  <c r="CK37" i="1"/>
  <c r="CK33" i="1"/>
  <c r="CK38" i="1"/>
  <c r="CK56" i="1"/>
  <c r="CK44" i="1"/>
  <c r="CW37" i="1"/>
  <c r="CW31" i="1"/>
  <c r="CW55" i="1"/>
  <c r="CW42" i="1"/>
  <c r="CW44" i="1"/>
  <c r="CK39" i="1"/>
  <c r="ZZ44" i="1"/>
  <c r="ABN39" i="1"/>
  <c r="BL47" i="18" s="1"/>
  <c r="NU29" i="1"/>
  <c r="WT41" i="1"/>
  <c r="QN38" i="1"/>
  <c r="BM32" i="1"/>
  <c r="FA32" i="1"/>
  <c r="QP55" i="1"/>
  <c r="FB41" i="1"/>
  <c r="BY41" i="1"/>
  <c r="ZZ54" i="1"/>
  <c r="ABN53" i="1"/>
  <c r="BL61" i="18" s="1"/>
  <c r="FA41" i="1"/>
  <c r="BM41" i="1"/>
  <c r="DI40" i="1"/>
  <c r="FX40" i="1"/>
  <c r="QP38" i="1"/>
  <c r="FB32" i="1"/>
  <c r="BY32" i="1"/>
  <c r="WU55" i="1"/>
  <c r="SJ55" i="1"/>
  <c r="NU44" i="1"/>
  <c r="RX42" i="1"/>
  <c r="WT42" i="1"/>
  <c r="QN47" i="1"/>
  <c r="WV43" i="1"/>
  <c r="SV43" i="1"/>
  <c r="TU32" i="1"/>
  <c r="WX32" i="1"/>
  <c r="ACM37" i="1"/>
  <c r="BN45" i="18" s="1"/>
  <c r="WW45" i="1"/>
  <c r="CW56" i="1"/>
  <c r="FW56" i="1"/>
  <c r="SJ43" i="1"/>
  <c r="WU43" i="1"/>
  <c r="NU41" i="1"/>
  <c r="ZZ38" i="1"/>
  <c r="ABN35" i="1"/>
  <c r="BL43" i="18" s="1"/>
  <c r="CK45" i="1"/>
  <c r="FV45" i="1"/>
  <c r="DI49" i="1"/>
  <c r="FX49" i="1"/>
  <c r="QP48" i="1"/>
  <c r="BY57" i="1"/>
  <c r="FB57" i="1"/>
  <c r="NU57" i="1"/>
  <c r="WT29" i="1"/>
  <c r="QN36" i="1"/>
  <c r="WV44" i="1"/>
  <c r="ZZ36" i="1"/>
  <c r="ABN52" i="1"/>
  <c r="BL60" i="18" s="1"/>
  <c r="WW41" i="1"/>
  <c r="FV44" i="1"/>
  <c r="FW28" i="1"/>
  <c r="CW28" i="1"/>
  <c r="WU35" i="1"/>
  <c r="SJ35" i="1"/>
  <c r="FA38" i="1"/>
  <c r="BM38" i="1"/>
  <c r="NU55" i="1"/>
  <c r="ACM45" i="1"/>
  <c r="BN53" i="18" s="1"/>
  <c r="FW34" i="1"/>
  <c r="ACM46" i="1"/>
  <c r="BN54" i="18" s="1"/>
  <c r="FA36" i="1"/>
  <c r="BM36" i="1"/>
  <c r="ABN42" i="1"/>
  <c r="BL50" i="18" s="1"/>
  <c r="WW28" i="1"/>
  <c r="FV39" i="1"/>
  <c r="QP31" i="1"/>
  <c r="FW53" i="1"/>
  <c r="CW53" i="1"/>
  <c r="RX53" i="1"/>
  <c r="WT53" i="1"/>
  <c r="QN50" i="1"/>
  <c r="TU47" i="1"/>
  <c r="WX47" i="1"/>
  <c r="BY51" i="1"/>
  <c r="FB51" i="1"/>
  <c r="FX56" i="1"/>
  <c r="DI56" i="1"/>
  <c r="BY55" i="1"/>
  <c r="FB55" i="1"/>
  <c r="WT39" i="1"/>
  <c r="WV39" i="1"/>
  <c r="ZZ42" i="1"/>
  <c r="ACM39" i="1"/>
  <c r="BN47" i="18" s="1"/>
  <c r="ABB56" i="1"/>
  <c r="FB46" i="1"/>
  <c r="BY46" i="1"/>
  <c r="SJ54" i="1"/>
  <c r="WU54" i="1"/>
  <c r="WV34" i="1"/>
  <c r="SV34" i="1"/>
  <c r="ZZ39" i="1"/>
  <c r="TU37" i="1"/>
  <c r="WX37" i="1"/>
  <c r="ACM43" i="1"/>
  <c r="BN51" i="18" s="1"/>
  <c r="TH52" i="1"/>
  <c r="WW52" i="1"/>
  <c r="FV55" i="1"/>
  <c r="FW35" i="1"/>
  <c r="SJ57" i="1"/>
  <c r="WU57" i="1"/>
  <c r="HZ11" i="1"/>
  <c r="IC11" i="1"/>
  <c r="JG11" i="1"/>
  <c r="TC11" i="1"/>
  <c r="ND11" i="1"/>
  <c r="NJ11" i="1"/>
  <c r="ST11" i="1"/>
  <c r="DT11" i="1"/>
  <c r="RY11" i="1"/>
  <c r="OZ11" i="1"/>
  <c r="VY11" i="1"/>
  <c r="ABN55" i="1"/>
  <c r="BL63" i="18" s="1"/>
  <c r="WW43" i="1"/>
  <c r="TH43" i="1"/>
  <c r="FV51" i="1"/>
  <c r="NU48" i="1"/>
  <c r="QN39" i="1"/>
  <c r="QV39" i="1" s="1"/>
  <c r="TU56" i="1"/>
  <c r="WX56" i="1"/>
  <c r="TH51" i="1"/>
  <c r="WW51" i="1"/>
  <c r="FV54" i="1"/>
  <c r="DI53" i="1"/>
  <c r="FX53" i="1"/>
  <c r="WU32" i="1"/>
  <c r="SJ32" i="1"/>
  <c r="NU45" i="1"/>
  <c r="ZZ35" i="1"/>
  <c r="WX29" i="1"/>
  <c r="TU29" i="1"/>
  <c r="ACM51" i="1"/>
  <c r="BN59" i="18" s="1"/>
  <c r="WW31" i="1"/>
  <c r="FV57" i="1"/>
  <c r="CK57" i="1"/>
  <c r="ABB37" i="1"/>
  <c r="FX43" i="1"/>
  <c r="DI43" i="1"/>
  <c r="FW54" i="1"/>
  <c r="SJ29" i="1"/>
  <c r="WU29" i="1"/>
  <c r="YO11" i="1"/>
  <c r="AAW11" i="1"/>
  <c r="OK11" i="1"/>
  <c r="ACM50" i="1"/>
  <c r="BN58" i="18" s="1"/>
  <c r="CW49" i="1"/>
  <c r="FW49" i="1"/>
  <c r="WT56" i="1"/>
  <c r="SV32" i="1"/>
  <c r="WV32" i="1"/>
  <c r="ACM40" i="1"/>
  <c r="BN48" i="18" s="1"/>
  <c r="FA30" i="1"/>
  <c r="BM30" i="1"/>
  <c r="ABN56" i="1"/>
  <c r="BL64" i="18" s="1"/>
  <c r="FV53" i="1"/>
  <c r="QP30" i="1"/>
  <c r="FW44" i="1"/>
  <c r="RX38" i="1"/>
  <c r="WT38" i="1"/>
  <c r="QN43" i="1"/>
  <c r="ABN49" i="1"/>
  <c r="BL57" i="18" s="1"/>
  <c r="BM28" i="1"/>
  <c r="FA28" i="1"/>
  <c r="FX29" i="1"/>
  <c r="DI29" i="1"/>
  <c r="QP37" i="1"/>
  <c r="BY36" i="1"/>
  <c r="FB36" i="1"/>
  <c r="FM11" i="1"/>
  <c r="TN11" i="1"/>
  <c r="WW29" i="1"/>
  <c r="TM11" i="1"/>
  <c r="AR11" i="1"/>
  <c r="NH11" i="1"/>
  <c r="KK11" i="1"/>
  <c r="JL11" i="1"/>
  <c r="WS11" i="1"/>
  <c r="TR11" i="1"/>
  <c r="GQ11" i="1"/>
  <c r="AAT11" i="1"/>
  <c r="HX11" i="1"/>
  <c r="BU11" i="1"/>
  <c r="PV11" i="1"/>
  <c r="YU11" i="1"/>
  <c r="DR11" i="1"/>
  <c r="CJ11" i="1"/>
  <c r="YV11" i="1"/>
  <c r="DU11" i="1"/>
  <c r="LK11" i="1"/>
  <c r="RD11" i="1"/>
  <c r="ABF11" i="1"/>
  <c r="NF11" i="1"/>
  <c r="RU11" i="1"/>
  <c r="PW11" i="1"/>
  <c r="IL11" i="1"/>
  <c r="DC11" i="1"/>
  <c r="NS11" i="1"/>
  <c r="JJ11" i="1"/>
  <c r="KM11" i="1"/>
  <c r="SQ11" i="1"/>
  <c r="RC11" i="1"/>
  <c r="MT11" i="1"/>
  <c r="BW11" i="1"/>
  <c r="OT11" i="1"/>
  <c r="ACL11" i="1"/>
  <c r="UC11" i="1"/>
  <c r="CV11" i="1"/>
  <c r="CF11" i="1"/>
  <c r="UB11" i="1"/>
  <c r="VD11" i="1"/>
  <c r="VG11" i="1"/>
  <c r="MP11" i="1"/>
  <c r="UQ11" i="1"/>
  <c r="OY11" i="1"/>
  <c r="AL11" i="1"/>
  <c r="CP11" i="1"/>
  <c r="UD11" i="1"/>
  <c r="TP11" i="1"/>
  <c r="AV11" i="1"/>
  <c r="IG11" i="1"/>
  <c r="ABY11" i="1"/>
  <c r="RE11" i="1"/>
  <c r="QH11" i="1"/>
  <c r="ZK11" i="1"/>
  <c r="WR11" i="1"/>
  <c r="AAX11" i="1"/>
  <c r="IX11" i="1"/>
  <c r="VM11" i="1"/>
  <c r="MZ11" i="1"/>
  <c r="QK11" i="1"/>
  <c r="WO11" i="1"/>
  <c r="LR11" i="1"/>
  <c r="WM11" i="1"/>
  <c r="RW11" i="1"/>
  <c r="ZV11" i="1"/>
  <c r="ACB11" i="1"/>
  <c r="ZD11" i="1"/>
  <c r="LH11" i="1"/>
  <c r="FG11" i="1"/>
  <c r="DX11" i="1"/>
  <c r="MW11" i="1"/>
  <c r="MN11" i="1"/>
  <c r="JP11" i="1"/>
  <c r="BP11" i="1"/>
  <c r="AAE11" i="1"/>
  <c r="AAV11" i="1"/>
  <c r="TB11" i="1"/>
  <c r="QW11" i="1"/>
  <c r="NR11" i="1"/>
  <c r="AN11" i="1"/>
  <c r="CX11" i="1"/>
  <c r="FH11" i="1"/>
  <c r="WU33" i="1"/>
  <c r="SJ33" i="1"/>
  <c r="XV11" i="1"/>
  <c r="FN11" i="1"/>
  <c r="T11" i="1"/>
  <c r="GL11" i="1"/>
  <c r="DS11" i="1"/>
  <c r="LG11" i="1"/>
  <c r="ABN34" i="1"/>
  <c r="BL42" i="18" s="1"/>
  <c r="BM49" i="1"/>
  <c r="FA49" i="1"/>
  <c r="QP33" i="1"/>
  <c r="BF11" i="1"/>
  <c r="X11" i="1"/>
  <c r="QM11" i="1"/>
  <c r="CZ11" i="1"/>
  <c r="TO11" i="1"/>
  <c r="VZ11" i="1"/>
  <c r="ZN11" i="1"/>
  <c r="VI11" i="1"/>
  <c r="HQ11" i="1"/>
  <c r="YQ11" i="1"/>
  <c r="Y11" i="1"/>
  <c r="BY11" i="1"/>
  <c r="AAQ11" i="1"/>
  <c r="LB11" i="1"/>
  <c r="CD11" i="1"/>
  <c r="DB11" i="1"/>
  <c r="EY11" i="1"/>
  <c r="AK11" i="1"/>
  <c r="BB11" i="1"/>
  <c r="UH11" i="1"/>
  <c r="AAY11" i="1"/>
  <c r="HP11" i="1"/>
  <c r="ABN41" i="1"/>
  <c r="BL49" i="18" s="1"/>
  <c r="FV35" i="1"/>
  <c r="QP53" i="1"/>
  <c r="JA11" i="1"/>
  <c r="Z11" i="1"/>
  <c r="TG11" i="1"/>
  <c r="RA11" i="1"/>
  <c r="ZU11" i="1"/>
  <c r="CO11" i="1"/>
  <c r="XG11" i="1"/>
  <c r="UM11" i="1"/>
  <c r="SK11" i="1"/>
  <c r="RP11" i="1"/>
  <c r="CS11" i="1"/>
  <c r="U11" i="1"/>
  <c r="TE11" i="1"/>
  <c r="NC11" i="1"/>
  <c r="QB11" i="1"/>
  <c r="BA11" i="1"/>
  <c r="H11" i="1"/>
  <c r="PB11" i="1"/>
  <c r="CL11" i="1"/>
  <c r="SN11" i="1"/>
  <c r="IB11" i="1"/>
  <c r="JK11" i="1"/>
  <c r="HG11" i="1"/>
  <c r="UJ11" i="1"/>
  <c r="IP11" i="1"/>
  <c r="NN11" i="1"/>
  <c r="IE11" i="1"/>
  <c r="AZ11" i="1"/>
  <c r="LZ11" i="1"/>
  <c r="LC11" i="1"/>
  <c r="EX11" i="1"/>
  <c r="GV11" i="1"/>
  <c r="RR11" i="1"/>
  <c r="MR11" i="1"/>
  <c r="YS11" i="1"/>
  <c r="TS11" i="1"/>
  <c r="DO11" i="1"/>
  <c r="ABU11" i="1"/>
  <c r="WE11" i="1"/>
  <c r="SA11" i="1"/>
  <c r="HU11" i="1"/>
  <c r="NG11" i="1"/>
  <c r="SJ56" i="1"/>
  <c r="WU56" i="1"/>
  <c r="ABB40" i="1"/>
  <c r="ABB38" i="1"/>
  <c r="ABB36" i="1"/>
  <c r="ABB35" i="1"/>
  <c r="ABB47" i="1"/>
  <c r="ABB41" i="1"/>
  <c r="TH45" i="1"/>
  <c r="TH41" i="1"/>
  <c r="TH53" i="1"/>
  <c r="RX28" i="1"/>
  <c r="RX54" i="1"/>
  <c r="RX31" i="1"/>
  <c r="RX39" i="1"/>
  <c r="RX45" i="1"/>
  <c r="SV39" i="1"/>
  <c r="SV31" i="1"/>
  <c r="CK53" i="1"/>
  <c r="CK55" i="1"/>
  <c r="CK46" i="1"/>
  <c r="CK34" i="1"/>
  <c r="CK50" i="1"/>
  <c r="CW32" i="1"/>
  <c r="CW52" i="1"/>
  <c r="CW47" i="1"/>
  <c r="CW50" i="1"/>
  <c r="CW30" i="1"/>
  <c r="CW45" i="1"/>
  <c r="QN52" i="1"/>
  <c r="SV52" i="1"/>
  <c r="WV52" i="1"/>
  <c r="ZZ50" i="1"/>
  <c r="NU33" i="1"/>
  <c r="ABN46" i="1"/>
  <c r="BL54" i="18" s="1"/>
  <c r="BM35" i="1"/>
  <c r="FA35" i="1"/>
  <c r="DI44" i="1"/>
  <c r="FX44" i="1"/>
  <c r="QP35" i="1"/>
  <c r="FB48" i="1"/>
  <c r="BY48" i="1"/>
  <c r="WT32" i="1"/>
  <c r="QN33" i="1"/>
  <c r="SV51" i="1"/>
  <c r="WV51" i="1"/>
  <c r="ZZ29" i="1"/>
  <c r="ABN54" i="1"/>
  <c r="BL62" i="18" s="1"/>
  <c r="TH57" i="1"/>
  <c r="WW57" i="1"/>
  <c r="FV42" i="1"/>
  <c r="FX33" i="1"/>
  <c r="DI33" i="1"/>
  <c r="FW39" i="1"/>
  <c r="CW39" i="1"/>
  <c r="SJ44" i="1"/>
  <c r="WU44" i="1"/>
  <c r="NU35" i="1"/>
  <c r="RX30" i="1"/>
  <c r="WT30" i="1"/>
  <c r="QN45" i="1"/>
  <c r="SV28" i="1"/>
  <c r="WV28" i="1"/>
  <c r="TU50" i="1"/>
  <c r="WX50" i="1"/>
  <c r="BM53" i="1"/>
  <c r="FA53" i="1"/>
  <c r="WV38" i="1"/>
  <c r="ZZ31" i="1"/>
  <c r="TU52" i="1"/>
  <c r="WX52" i="1"/>
  <c r="ACM54" i="1"/>
  <c r="BN62" i="18" s="1"/>
  <c r="TH36" i="1"/>
  <c r="WW36" i="1"/>
  <c r="FV41" i="1"/>
  <c r="FW47" i="1"/>
  <c r="NU31" i="1"/>
  <c r="WT33" i="1"/>
  <c r="QN55" i="1"/>
  <c r="QV55" i="1" s="1"/>
  <c r="WV37" i="1"/>
  <c r="WX42" i="1"/>
  <c r="TU42" i="1"/>
  <c r="ACM41" i="1"/>
  <c r="BN49" i="18" s="1"/>
  <c r="TH56" i="1"/>
  <c r="WW56" i="1"/>
  <c r="FW38" i="1"/>
  <c r="ZZ57" i="1"/>
  <c r="ABN40" i="1"/>
  <c r="BL48" i="18" s="1"/>
  <c r="FV33" i="1"/>
  <c r="FX47" i="1"/>
  <c r="DI47" i="1"/>
  <c r="WT51" i="1"/>
  <c r="FA33" i="1"/>
  <c r="BM33" i="1"/>
  <c r="QP54" i="1"/>
  <c r="QN53" i="1"/>
  <c r="ABN36" i="1"/>
  <c r="BL44" i="18" s="1"/>
  <c r="FV48" i="1"/>
  <c r="QP45" i="1"/>
  <c r="NU38" i="1"/>
  <c r="QN49" i="1"/>
  <c r="TU33" i="1"/>
  <c r="WX33" i="1"/>
  <c r="FW50" i="1"/>
  <c r="NU47" i="1"/>
  <c r="ZZ52" i="1"/>
  <c r="FX35" i="1"/>
  <c r="DI35" i="1"/>
  <c r="FW32" i="1"/>
  <c r="WT36" i="1"/>
  <c r="WV33" i="1"/>
  <c r="SV33" i="1"/>
  <c r="ZZ41" i="1"/>
  <c r="ACM42" i="1"/>
  <c r="BN50" i="18" s="1"/>
  <c r="FW42" i="1"/>
  <c r="WU42" i="1"/>
  <c r="SJ42" i="1"/>
  <c r="ABN33" i="1"/>
  <c r="BL41" i="18" s="1"/>
  <c r="BM51" i="1"/>
  <c r="FA51" i="1"/>
  <c r="BY53" i="1"/>
  <c r="FB53" i="1"/>
  <c r="WT57" i="1"/>
  <c r="QN42" i="1"/>
  <c r="WV42" i="1"/>
  <c r="FA47" i="1"/>
  <c r="BM47" i="1"/>
  <c r="BY29" i="1"/>
  <c r="FB29" i="1"/>
  <c r="ACE11" i="1"/>
  <c r="AT11" i="1"/>
  <c r="XS11" i="1"/>
  <c r="RQ11" i="1"/>
  <c r="GJ11" i="1"/>
  <c r="AB11" i="1"/>
  <c r="BT11" i="1"/>
  <c r="ZA11" i="1"/>
  <c r="PP11" i="1"/>
  <c r="SH11" i="1"/>
  <c r="LM11" i="1"/>
  <c r="ZZ45" i="1"/>
  <c r="TU51" i="1"/>
  <c r="WX51" i="1"/>
  <c r="BY52" i="1"/>
  <c r="FB52" i="1"/>
  <c r="ZZ46" i="1"/>
  <c r="FX52" i="1"/>
  <c r="DI52" i="1"/>
  <c r="FB38" i="1"/>
  <c r="BY38" i="1"/>
  <c r="SJ36" i="1"/>
  <c r="WU36" i="1"/>
  <c r="WT45" i="1"/>
  <c r="SV45" i="1"/>
  <c r="WV45" i="1"/>
  <c r="ACM33" i="1"/>
  <c r="BN41" i="18" s="1"/>
  <c r="ABB53" i="1"/>
  <c r="BY31" i="1"/>
  <c r="FB31" i="1"/>
  <c r="WU34" i="1"/>
  <c r="SJ34" i="1"/>
  <c r="QN35" i="1"/>
  <c r="SV46" i="1"/>
  <c r="WV46" i="1"/>
  <c r="ZZ56" i="1"/>
  <c r="TU55" i="1"/>
  <c r="WX55" i="1"/>
  <c r="ACM57" i="1"/>
  <c r="BN65" i="18" s="1"/>
  <c r="WW55" i="1"/>
  <c r="CW57" i="1"/>
  <c r="FW57" i="1"/>
  <c r="WU40" i="1"/>
  <c r="SJ40" i="1"/>
  <c r="NZ11" i="1"/>
  <c r="YF11" i="1"/>
  <c r="JI11" i="1"/>
  <c r="BM50" i="1"/>
  <c r="FA50" i="1"/>
  <c r="QP51" i="1"/>
  <c r="ABN48" i="1"/>
  <c r="BL56" i="18" s="1"/>
  <c r="FV32" i="1"/>
  <c r="QP57" i="1"/>
  <c r="NU40" i="1"/>
  <c r="QN29" i="1"/>
  <c r="WX49" i="1"/>
  <c r="TU49" i="1"/>
  <c r="TH33" i="1"/>
  <c r="WW33" i="1"/>
  <c r="QP28" i="1"/>
  <c r="CW46" i="1"/>
  <c r="FW46" i="1"/>
  <c r="NU49" i="1"/>
  <c r="ABN43" i="1"/>
  <c r="BL51" i="18" s="1"/>
  <c r="FV46" i="1"/>
  <c r="FX42" i="1"/>
  <c r="DI42" i="1"/>
  <c r="QP50" i="1"/>
  <c r="BY37" i="1"/>
  <c r="FB37" i="1"/>
  <c r="EO11" i="1"/>
  <c r="PC11" i="1"/>
  <c r="UR11" i="1"/>
  <c r="WU51" i="1"/>
  <c r="SJ51" i="1"/>
  <c r="UW11" i="1"/>
  <c r="QV11" i="1"/>
  <c r="YT11" i="1"/>
  <c r="ES11" i="1"/>
  <c r="GU11" i="1"/>
  <c r="AAA11" i="1"/>
  <c r="WF11" i="1"/>
  <c r="ABQ11" i="1"/>
  <c r="TK11" i="1"/>
  <c r="EQ11" i="1"/>
  <c r="RM11" i="1"/>
  <c r="EW11" i="1"/>
  <c r="OI11" i="1"/>
  <c r="MU11" i="1"/>
  <c r="PQ11" i="1"/>
  <c r="UL11" i="1"/>
  <c r="VU11" i="1"/>
  <c r="NM11" i="1"/>
  <c r="DI11" i="1"/>
  <c r="SE11" i="1"/>
  <c r="DG11" i="1"/>
  <c r="BZ11" i="1"/>
  <c r="NX11" i="1"/>
  <c r="W11" i="1"/>
  <c r="SR11" i="1"/>
  <c r="AY11" i="1"/>
  <c r="GK11" i="1"/>
  <c r="WB11" i="1"/>
  <c r="PL11" i="1"/>
  <c r="BN11" i="1"/>
  <c r="QF11" i="1"/>
  <c r="ZR11" i="1"/>
  <c r="DE11" i="1"/>
  <c r="IR11" i="1"/>
  <c r="MA11" i="1"/>
  <c r="FF11" i="1"/>
  <c r="AAS11" i="1"/>
  <c r="SU11" i="1"/>
  <c r="UP11" i="1"/>
  <c r="XI11" i="1"/>
  <c r="SP11" i="1"/>
  <c r="OF11" i="1"/>
  <c r="CU11" i="1"/>
  <c r="FA56" i="1"/>
  <c r="BM56" i="1"/>
  <c r="IW11" i="1"/>
  <c r="SV11" i="1"/>
  <c r="GE11" i="1"/>
  <c r="BI11" i="1"/>
  <c r="AU11" i="1"/>
  <c r="BE11" i="1"/>
  <c r="ZY11" i="1"/>
  <c r="SJ11" i="1"/>
  <c r="GR11" i="1"/>
  <c r="AF11" i="1"/>
  <c r="IO11" i="1"/>
  <c r="ABH11" i="1"/>
  <c r="BK11" i="1"/>
  <c r="EA11" i="1"/>
  <c r="Q11" i="1"/>
  <c r="XH11" i="1"/>
  <c r="VC11" i="1"/>
  <c r="NI11" i="1"/>
  <c r="VK11" i="1"/>
  <c r="PO11" i="1"/>
  <c r="MG11" i="1"/>
  <c r="AAC11" i="1"/>
  <c r="LO11" i="1"/>
  <c r="KX11" i="1"/>
  <c r="BC11" i="1"/>
  <c r="LI11" i="1"/>
  <c r="VR11" i="1"/>
  <c r="PS11" i="1"/>
  <c r="GF11" i="1"/>
  <c r="TL11" i="1"/>
  <c r="MK11" i="1"/>
  <c r="GG11" i="1"/>
  <c r="XX11" i="1"/>
  <c r="OX11" i="1"/>
  <c r="SS11" i="1"/>
  <c r="MX11" i="1"/>
  <c r="S11" i="1"/>
  <c r="LF11" i="1"/>
  <c r="GI11" i="1"/>
  <c r="IV11" i="1"/>
  <c r="KR11" i="1"/>
  <c r="RO11" i="1"/>
  <c r="FS11" i="1"/>
  <c r="FB30" i="1"/>
  <c r="BY30" i="1"/>
  <c r="PD11" i="1"/>
  <c r="L11" i="1"/>
  <c r="K11" i="1"/>
  <c r="AAR11" i="1"/>
  <c r="MM11" i="1"/>
  <c r="HY11" i="1"/>
  <c r="PT11" i="1"/>
  <c r="WQ11" i="1"/>
  <c r="AG11" i="1"/>
  <c r="IN11" i="1"/>
  <c r="IM11" i="1"/>
  <c r="YE11" i="1"/>
  <c r="ABG11" i="1"/>
  <c r="SX11" i="1"/>
  <c r="LA11" i="1"/>
  <c r="GT11" i="1"/>
  <c r="YR11" i="1"/>
  <c r="QI11" i="1"/>
  <c r="YP11" i="1"/>
  <c r="MD11" i="1"/>
  <c r="DD11" i="1"/>
  <c r="AAG11" i="1"/>
  <c r="YC11" i="1"/>
  <c r="ACM49" i="1"/>
  <c r="BN57" i="18" s="1"/>
  <c r="BY47" i="1"/>
  <c r="FB47" i="1"/>
  <c r="TU11" i="1"/>
  <c r="OW11" i="1"/>
  <c r="AW11" i="1"/>
  <c r="UE11" i="1"/>
  <c r="J11" i="1"/>
  <c r="ZS11" i="1"/>
  <c r="CG11" i="1"/>
  <c r="KA11" i="1"/>
  <c r="PX11" i="1"/>
  <c r="CA11" i="1"/>
  <c r="AAU11" i="1"/>
  <c r="ZM11" i="1"/>
  <c r="ABS11" i="1"/>
  <c r="CB11" i="1"/>
  <c r="OL11" i="1"/>
  <c r="RV11" i="1"/>
  <c r="DW11" i="1"/>
  <c r="UI11" i="1"/>
  <c r="BV11" i="1"/>
  <c r="KE11" i="1"/>
  <c r="NY11" i="1"/>
  <c r="HM11" i="1"/>
  <c r="SW11" i="1"/>
  <c r="OE11" i="1"/>
  <c r="SY11" i="1"/>
  <c r="RS11" i="1"/>
  <c r="UG11" i="1"/>
  <c r="SF11" i="1"/>
  <c r="DZ11" i="1"/>
  <c r="YN11" i="1"/>
  <c r="VV11" i="1"/>
  <c r="ZC11" i="1"/>
  <c r="VO11" i="1"/>
  <c r="QZ11" i="1"/>
  <c r="ZQ11" i="1"/>
  <c r="RB11" i="1"/>
  <c r="JD11" i="1"/>
  <c r="ABK11" i="1"/>
  <c r="ACH11" i="1"/>
  <c r="ED11" i="1"/>
  <c r="WU38" i="1"/>
  <c r="SJ38" i="1"/>
  <c r="KQ11" i="1"/>
  <c r="IT11" i="1"/>
  <c r="ABB39" i="1"/>
  <c r="ABB54" i="1"/>
  <c r="ABB30" i="1"/>
  <c r="ABB55" i="1"/>
  <c r="ABB43" i="1"/>
  <c r="ABB28" i="1"/>
  <c r="TH55" i="1"/>
  <c r="TH46" i="1"/>
  <c r="TH40" i="1"/>
  <c r="TH54" i="1"/>
  <c r="RX51" i="1"/>
  <c r="RX40" i="1"/>
  <c r="RX35" i="1"/>
  <c r="RX44" i="1"/>
  <c r="RX49" i="1"/>
  <c r="RX33" i="1"/>
  <c r="SV40" i="1"/>
  <c r="CK40" i="1"/>
  <c r="CK54" i="1"/>
  <c r="CK30" i="1"/>
  <c r="CK48" i="1"/>
  <c r="CK32" i="1"/>
  <c r="CK31" i="1"/>
  <c r="CW36" i="1"/>
  <c r="CW33" i="1"/>
  <c r="CW51" i="1"/>
  <c r="CW38" i="1"/>
  <c r="CW48" i="1"/>
  <c r="RX56" i="1"/>
  <c r="NU50" i="1"/>
  <c r="WT54" i="1"/>
  <c r="QN40" i="1"/>
  <c r="SV30" i="1"/>
  <c r="WV30" i="1"/>
  <c r="ZZ28" i="1"/>
  <c r="WX30" i="1"/>
  <c r="TU30" i="1"/>
  <c r="ACM48" i="1"/>
  <c r="BN56" i="18" s="1"/>
  <c r="WW35" i="1"/>
  <c r="CK43" i="1"/>
  <c r="FV43" i="1"/>
  <c r="FW29" i="1"/>
  <c r="NU28" i="1"/>
  <c r="WT52" i="1"/>
  <c r="QN31" i="1"/>
  <c r="WV29" i="1"/>
  <c r="SV29" i="1"/>
  <c r="TU40" i="1"/>
  <c r="WX40" i="1"/>
  <c r="ACM38" i="1"/>
  <c r="BN46" i="18" s="1"/>
  <c r="WW32" i="1"/>
  <c r="TH32" i="1"/>
  <c r="CK47" i="1"/>
  <c r="FV47" i="1"/>
  <c r="FW41" i="1"/>
  <c r="ZZ47" i="1"/>
  <c r="ABN32" i="1"/>
  <c r="BL40" i="18" s="1"/>
  <c r="BM57" i="1"/>
  <c r="FA57" i="1"/>
  <c r="FH57" i="1" s="1"/>
  <c r="DI30" i="1"/>
  <c r="FX30" i="1"/>
  <c r="QP41" i="1"/>
  <c r="FB54" i="1"/>
  <c r="BY54" i="1"/>
  <c r="NU54" i="1"/>
  <c r="WT34" i="1"/>
  <c r="QN41" i="1"/>
  <c r="WV50" i="1"/>
  <c r="SV50" i="1"/>
  <c r="WX39" i="1"/>
  <c r="TU39" i="1"/>
  <c r="ACM52" i="1"/>
  <c r="BN60" i="18" s="1"/>
  <c r="TH48" i="1"/>
  <c r="WW48" i="1"/>
  <c r="FA45" i="1"/>
  <c r="BM45" i="1"/>
  <c r="WX43" i="1"/>
  <c r="TU43" i="1"/>
  <c r="FA43" i="1"/>
  <c r="BM43" i="1"/>
  <c r="QP39" i="1"/>
  <c r="BY45" i="1"/>
  <c r="FB45" i="1"/>
  <c r="WT43" i="1"/>
  <c r="QN37" i="1"/>
  <c r="WV31" i="1"/>
  <c r="ZZ34" i="1"/>
  <c r="ABN29" i="1"/>
  <c r="BL37" i="18" s="1"/>
  <c r="ACM44" i="1"/>
  <c r="BN52" i="18" s="1"/>
  <c r="WW37" i="1"/>
  <c r="FV31" i="1"/>
  <c r="FX45" i="1"/>
  <c r="DI45" i="1"/>
  <c r="QN51" i="1"/>
  <c r="WX53" i="1"/>
  <c r="TU53" i="1"/>
  <c r="TH47" i="1"/>
  <c r="WW47" i="1"/>
  <c r="FV30" i="1"/>
  <c r="NU56" i="1"/>
  <c r="WX38" i="1"/>
  <c r="TU38" i="1"/>
  <c r="ZZ32" i="1"/>
  <c r="DI34" i="1"/>
  <c r="FX34" i="1"/>
  <c r="WU46" i="1"/>
  <c r="SJ46" i="1"/>
  <c r="SV56" i="1"/>
  <c r="WV56" i="1"/>
  <c r="ZZ49" i="1"/>
  <c r="NU36" i="1"/>
  <c r="ACM28" i="1"/>
  <c r="BN36" i="18" s="1"/>
  <c r="BM46" i="1"/>
  <c r="FA46" i="1"/>
  <c r="FA48" i="1"/>
  <c r="BM48" i="1"/>
  <c r="QP40" i="1"/>
  <c r="NU51" i="1"/>
  <c r="QN46" i="1"/>
  <c r="TU35" i="1"/>
  <c r="WX35" i="1"/>
  <c r="WW30" i="1"/>
  <c r="FV50" i="1"/>
  <c r="QP52" i="1"/>
  <c r="FW40" i="1"/>
  <c r="NU32" i="1"/>
  <c r="WT40" i="1"/>
  <c r="ABN57" i="1"/>
  <c r="BL65" i="18" s="1"/>
  <c r="FA42" i="1"/>
  <c r="FH42" i="1" s="1"/>
  <c r="BM42" i="1"/>
  <c r="DI31" i="1"/>
  <c r="FX31" i="1"/>
  <c r="QP44" i="1"/>
  <c r="FB33" i="1"/>
  <c r="BY33" i="1"/>
  <c r="HW11" i="1"/>
  <c r="AAB11" i="1"/>
  <c r="UU11" i="1"/>
  <c r="LU11" i="1"/>
  <c r="UT11" i="1"/>
  <c r="UK11" i="1"/>
  <c r="DA11" i="1"/>
  <c r="IK11" i="1"/>
  <c r="TV11" i="1"/>
  <c r="SM11" i="1"/>
  <c r="OD11" i="1"/>
  <c r="FX36" i="1"/>
  <c r="DI36" i="1"/>
  <c r="FW36" i="1"/>
  <c r="WT28" i="1"/>
  <c r="WV41" i="1"/>
  <c r="SV41" i="1"/>
  <c r="ACM47" i="1"/>
  <c r="BN55" i="18" s="1"/>
  <c r="ABB57" i="1"/>
  <c r="FW33" i="1"/>
  <c r="ABN47" i="1"/>
  <c r="BL55" i="18" s="1"/>
  <c r="BM40" i="1"/>
  <c r="FA40" i="1"/>
  <c r="QP34" i="1"/>
  <c r="FB40" i="1"/>
  <c r="BY40" i="1"/>
  <c r="WT49" i="1"/>
  <c r="QN57" i="1"/>
  <c r="WV55" i="1"/>
  <c r="SV55" i="1"/>
  <c r="ABN45" i="1"/>
  <c r="BL53" i="18" s="1"/>
  <c r="BM44" i="1"/>
  <c r="FA44" i="1"/>
  <c r="FB49" i="1"/>
  <c r="BY49" i="1"/>
  <c r="VE11" i="1"/>
  <c r="IQ11" i="1"/>
  <c r="FK11" i="1"/>
  <c r="QN28" i="1"/>
  <c r="TU57" i="1"/>
  <c r="WX57" i="1"/>
  <c r="WW34" i="1"/>
  <c r="TH34" i="1"/>
  <c r="CK52" i="1"/>
  <c r="FV52" i="1"/>
  <c r="NU34" i="1"/>
  <c r="QN54" i="1"/>
  <c r="TU28" i="1"/>
  <c r="WX28" i="1"/>
  <c r="WW46" i="1"/>
  <c r="ZZ48" i="1"/>
  <c r="DI54" i="1"/>
  <c r="FX54" i="1"/>
  <c r="WU30" i="1"/>
  <c r="SJ30" i="1"/>
  <c r="ZZ37" i="1"/>
  <c r="TU46" i="1"/>
  <c r="WX46" i="1"/>
  <c r="ACM36" i="1"/>
  <c r="BN44" i="18" s="1"/>
  <c r="WW39" i="1"/>
  <c r="FV36" i="1"/>
  <c r="FW52" i="1"/>
  <c r="SJ47" i="1"/>
  <c r="WU47" i="1"/>
  <c r="HR11" i="1"/>
  <c r="MO11" i="1"/>
  <c r="OG11" i="1"/>
  <c r="TU44" i="1"/>
  <c r="WX44" i="1"/>
  <c r="FV29" i="1"/>
  <c r="CK29" i="1"/>
  <c r="GD11" i="1"/>
  <c r="PE11" i="1"/>
  <c r="BS11" i="1"/>
  <c r="YA11" i="1"/>
  <c r="KG11" i="1"/>
  <c r="ZE11" i="1"/>
  <c r="MQ11" i="1"/>
  <c r="FE11" i="1"/>
  <c r="NQ11" i="1"/>
  <c r="GS11" i="1"/>
  <c r="SL11" i="1"/>
  <c r="XY11" i="1"/>
  <c r="V11" i="1"/>
  <c r="YW11" i="1"/>
  <c r="KC11" i="1"/>
  <c r="JH11" i="1"/>
  <c r="NK11" i="1"/>
  <c r="IF11" i="1"/>
  <c r="GY11" i="1"/>
  <c r="KJ11" i="1"/>
  <c r="KH11" i="1"/>
  <c r="WN11" i="1"/>
  <c r="RI11" i="1"/>
  <c r="ACD11" i="1"/>
  <c r="YM11" i="1"/>
  <c r="ML11" i="1"/>
  <c r="TF11" i="1"/>
  <c r="EZ11" i="1"/>
  <c r="ZJ11" i="1"/>
  <c r="WC11" i="1"/>
  <c r="XZ11" i="1"/>
  <c r="QX11" i="1"/>
  <c r="WL11" i="1"/>
  <c r="OB11" i="1"/>
  <c r="IJ11" i="1"/>
  <c r="PR11" i="1"/>
  <c r="O11" i="1"/>
  <c r="WI11" i="1"/>
  <c r="SJ52" i="1"/>
  <c r="WU52" i="1"/>
  <c r="AA11" i="1"/>
  <c r="IS11" i="1"/>
  <c r="VF11" i="1"/>
  <c r="XT11" i="1"/>
  <c r="DQ11" i="1"/>
  <c r="N11" i="1"/>
  <c r="TU36" i="1"/>
  <c r="WX36" i="1"/>
  <c r="ABO11" i="1"/>
  <c r="ABI11" i="1"/>
  <c r="CQ11" i="1"/>
  <c r="HJ11" i="1"/>
  <c r="US11" i="1"/>
  <c r="ZG11" i="1"/>
  <c r="QE11" i="1"/>
  <c r="OA11" i="1"/>
  <c r="EM11" i="1"/>
  <c r="XF11" i="1"/>
  <c r="PY11" i="1"/>
  <c r="GX11" i="1"/>
  <c r="XD11" i="1"/>
  <c r="OJ11" i="1"/>
  <c r="AO11" i="1"/>
  <c r="RH11" i="1"/>
  <c r="EL11" i="1"/>
  <c r="I11" i="1"/>
  <c r="XJ11" i="1"/>
  <c r="II11" i="1"/>
  <c r="LP11" i="1"/>
  <c r="ABN11" i="1"/>
  <c r="MJ11" i="1"/>
  <c r="HS11" i="1"/>
  <c r="SO11" i="1"/>
  <c r="PK11" i="1"/>
  <c r="AAZ11" i="1"/>
  <c r="ABL11" i="1"/>
  <c r="QA11" i="1"/>
  <c r="SC11" i="1"/>
  <c r="BX11" i="1"/>
  <c r="EE11" i="1"/>
  <c r="GB11" i="1"/>
  <c r="CY11" i="1"/>
  <c r="LY11" i="1"/>
  <c r="M11" i="1"/>
  <c r="BQ11" i="1"/>
  <c r="SJ45" i="1"/>
  <c r="WU45" i="1"/>
  <c r="WU50" i="1"/>
  <c r="SJ50" i="1"/>
  <c r="PI11" i="1"/>
  <c r="VT11" i="1"/>
  <c r="JM11" i="1"/>
  <c r="KN11" i="1"/>
  <c r="XE11" i="1"/>
  <c r="KT11" i="1"/>
  <c r="CN11" i="1"/>
  <c r="PG11" i="1"/>
  <c r="OC11" i="1"/>
  <c r="RZ11" i="1"/>
  <c r="VW11" i="1"/>
  <c r="RK11" i="1"/>
  <c r="ZO11" i="1"/>
  <c r="DP11" i="1"/>
  <c r="LX11" i="1"/>
  <c r="CM11" i="1"/>
  <c r="PJ11" i="1"/>
  <c r="DF11" i="1"/>
  <c r="MB11" i="1"/>
  <c r="VQ11" i="1"/>
  <c r="FP11" i="1"/>
  <c r="VN11" i="1"/>
  <c r="ABB11" i="1"/>
  <c r="KF11" i="1"/>
  <c r="MS11" i="1"/>
  <c r="FT11" i="1"/>
  <c r="OM11" i="1"/>
  <c r="WU53" i="1"/>
  <c r="SJ53" i="1"/>
  <c r="TH49" i="1"/>
  <c r="WW49" i="1"/>
  <c r="GP11" i="1"/>
  <c r="ABM11" i="1"/>
  <c r="TQ11" i="1"/>
  <c r="MH11" i="1"/>
  <c r="SG11" i="1"/>
  <c r="RN11" i="1"/>
  <c r="MV11" i="1"/>
  <c r="BM11" i="1"/>
  <c r="NO11" i="1"/>
  <c r="ACF11" i="1"/>
  <c r="SI11" i="1"/>
  <c r="LS11" i="1"/>
  <c r="QC11" i="1"/>
  <c r="WD11" i="1"/>
  <c r="HK11" i="1"/>
  <c r="JN11" i="1"/>
  <c r="FI11" i="1"/>
  <c r="SZ11" i="1"/>
  <c r="OV11" i="1"/>
  <c r="ZT11" i="1"/>
  <c r="JQ11" i="1"/>
  <c r="PF11" i="1"/>
  <c r="EB11" i="1"/>
  <c r="LD11" i="1"/>
  <c r="UX11" i="1"/>
  <c r="ABE11" i="1"/>
  <c r="JO11" i="1"/>
  <c r="ACI11" i="1"/>
  <c r="IY11" i="1"/>
  <c r="HT11" i="1"/>
  <c r="XR11" i="1"/>
  <c r="DH11" i="1"/>
  <c r="BO11" i="1"/>
  <c r="WG11" i="1"/>
  <c r="JX11" i="1"/>
  <c r="ZZ11" i="1"/>
  <c r="AAM11" i="1"/>
  <c r="PZ11" i="1"/>
  <c r="HI11" i="1"/>
  <c r="RG11" i="1"/>
  <c r="WP11" i="1"/>
  <c r="IH11" i="1"/>
  <c r="VA11" i="1"/>
  <c r="KA41" i="1"/>
  <c r="MR41" i="1"/>
  <c r="KA57" i="1"/>
  <c r="MR57" i="1"/>
  <c r="KA33" i="1"/>
  <c r="MR33" i="1"/>
  <c r="KA47" i="1"/>
  <c r="MR47" i="1"/>
  <c r="KA54" i="1"/>
  <c r="MR54" i="1"/>
  <c r="MR51" i="1"/>
  <c r="KA51" i="1"/>
  <c r="KA40" i="1"/>
  <c r="MR40" i="1"/>
  <c r="KA52" i="1"/>
  <c r="MR52" i="1"/>
  <c r="KA43" i="1"/>
  <c r="MR43" i="1"/>
  <c r="EL30" i="1"/>
  <c r="EN30" i="1" s="1"/>
  <c r="EN33" i="1"/>
  <c r="EL55" i="1"/>
  <c r="EN55" i="1" s="1"/>
  <c r="EL52" i="1"/>
  <c r="EN52" i="1" s="1"/>
  <c r="EL45" i="1"/>
  <c r="EN45" i="1" s="1"/>
  <c r="EJ53" i="1"/>
  <c r="EK53" i="1"/>
  <c r="EL43" i="1"/>
  <c r="EN43" i="1" s="1"/>
  <c r="EL42" i="1"/>
  <c r="EN42" i="1" s="1"/>
  <c r="QG39" i="1"/>
  <c r="QG48" i="1"/>
  <c r="QG38" i="1"/>
  <c r="QG36" i="1"/>
  <c r="QG37" i="1"/>
  <c r="QG35" i="1"/>
  <c r="QG30" i="1"/>
  <c r="QG41" i="1"/>
  <c r="QG34" i="1"/>
  <c r="QG29" i="1"/>
  <c r="QG40" i="1"/>
  <c r="QG57" i="1"/>
  <c r="QG33" i="1"/>
  <c r="QG42" i="1"/>
  <c r="QG53" i="1"/>
  <c r="QG32" i="1"/>
  <c r="QG51" i="1"/>
  <c r="QG46" i="1"/>
  <c r="QG52" i="1"/>
  <c r="QG45" i="1"/>
  <c r="QG31" i="1"/>
  <c r="QG56" i="1"/>
  <c r="QL5" i="1"/>
  <c r="QG44" i="1"/>
  <c r="QG54" i="1"/>
  <c r="QG43" i="1"/>
  <c r="QG49" i="1"/>
  <c r="QG50" i="1"/>
  <c r="QG47" i="1"/>
  <c r="QG55" i="1"/>
  <c r="QG28" i="1"/>
  <c r="EL28" i="1"/>
  <c r="EN28" i="1" s="1"/>
  <c r="KA38" i="1"/>
  <c r="MR38" i="1"/>
  <c r="NB41" i="1" a="1"/>
  <c r="NB41" i="1" s="1"/>
  <c r="MY41" i="1"/>
  <c r="AL17" i="18"/>
  <c r="KA55" i="1"/>
  <c r="MR55" i="1"/>
  <c r="MV57" i="1"/>
  <c r="MW57" i="1" s="1"/>
  <c r="MR29" i="1"/>
  <c r="KA29" i="1"/>
  <c r="KA50" i="1"/>
  <c r="MR50" i="1"/>
  <c r="KA39" i="1"/>
  <c r="MR39" i="1"/>
  <c r="MR49" i="1"/>
  <c r="KA49" i="1"/>
  <c r="MR46" i="1"/>
  <c r="KA46" i="1"/>
  <c r="EK31" i="1"/>
  <c r="EJ31" i="1"/>
  <c r="EL36" i="1"/>
  <c r="EN36" i="1" s="1"/>
  <c r="EL56" i="1"/>
  <c r="EN56" i="1" s="1"/>
  <c r="KA56" i="1"/>
  <c r="MR56" i="1"/>
  <c r="MR31" i="1"/>
  <c r="KA31" i="1"/>
  <c r="KA37" i="1"/>
  <c r="MR37" i="1"/>
  <c r="KA34" i="1"/>
  <c r="MR34" i="1"/>
  <c r="AL32" i="18"/>
  <c r="MY56" i="1"/>
  <c r="NB56" i="1" a="1"/>
  <c r="NB56" i="1" s="1"/>
  <c r="EJ48" i="1"/>
  <c r="EK48" i="1"/>
  <c r="EL34" i="1"/>
  <c r="EN34" i="1" s="1"/>
  <c r="PH48" i="1"/>
  <c r="PH56" i="1"/>
  <c r="PM5" i="1"/>
  <c r="PH39" i="1"/>
  <c r="PH47" i="1"/>
  <c r="PH55" i="1"/>
  <c r="PH36" i="1"/>
  <c r="PH34" i="1"/>
  <c r="PH54" i="1"/>
  <c r="PH37" i="1"/>
  <c r="PH53" i="1"/>
  <c r="PH38" i="1"/>
  <c r="PH31" i="1"/>
  <c r="PH33" i="1"/>
  <c r="PH49" i="1"/>
  <c r="PH44" i="1"/>
  <c r="PH52" i="1"/>
  <c r="PH42" i="1"/>
  <c r="PH35" i="1"/>
  <c r="PH43" i="1"/>
  <c r="PH51" i="1"/>
  <c r="PH32" i="1"/>
  <c r="PH57" i="1"/>
  <c r="PH46" i="1"/>
  <c r="PH29" i="1"/>
  <c r="PH45" i="1"/>
  <c r="PH30" i="1"/>
  <c r="PH50" i="1"/>
  <c r="PH28" i="1"/>
  <c r="PH41" i="1"/>
  <c r="PH40" i="1"/>
  <c r="EL49" i="1"/>
  <c r="EN49" i="1" s="1"/>
  <c r="MR30" i="1"/>
  <c r="KA30" i="1"/>
  <c r="AL25" i="18"/>
  <c r="MY49" i="1"/>
  <c r="NB49" i="1" a="1"/>
  <c r="NB49" i="1" s="1"/>
  <c r="EL40" i="1"/>
  <c r="EN40" i="1" s="1"/>
  <c r="EL44" i="1"/>
  <c r="EN44" i="1" s="1"/>
  <c r="NM55" i="1"/>
  <c r="NM28" i="1"/>
  <c r="NM35" i="1"/>
  <c r="NM38" i="1"/>
  <c r="NM42" i="1"/>
  <c r="NM48" i="1"/>
  <c r="NM52" i="1"/>
  <c r="NM47" i="1"/>
  <c r="NM37" i="1"/>
  <c r="NM54" i="1"/>
  <c r="NM51" i="1"/>
  <c r="NM50" i="1"/>
  <c r="NM40" i="1"/>
  <c r="NM29" i="1"/>
  <c r="NM46" i="1"/>
  <c r="NM44" i="1"/>
  <c r="NM33" i="1"/>
  <c r="NM32" i="1"/>
  <c r="NM36" i="1"/>
  <c r="NM49" i="1"/>
  <c r="NM57" i="1"/>
  <c r="NR5" i="1"/>
  <c r="NM31" i="1"/>
  <c r="NM53" i="1"/>
  <c r="NM45" i="1"/>
  <c r="NM56" i="1"/>
  <c r="NM43" i="1"/>
  <c r="NM41" i="1"/>
  <c r="NM30" i="1"/>
  <c r="NM39" i="1"/>
  <c r="NM34" i="1"/>
  <c r="EL37" i="1"/>
  <c r="EN37" i="1" s="1"/>
  <c r="EL50" i="1"/>
  <c r="EN50" i="1" s="1"/>
  <c r="EL38" i="1"/>
  <c r="EN38" i="1" s="1"/>
  <c r="EL29" i="1"/>
  <c r="EN29" i="1" s="1"/>
  <c r="EL51" i="1"/>
  <c r="EN51" i="1" s="1"/>
  <c r="QV42" i="1"/>
  <c r="FH44" i="1"/>
  <c r="FH51" i="1"/>
  <c r="AAZ42" i="1"/>
  <c r="ABB42" i="1"/>
  <c r="QV41" i="1"/>
  <c r="FH49" i="1"/>
  <c r="DO53" i="1"/>
  <c r="DT53" i="1" s="1"/>
  <c r="FH56" i="1"/>
  <c r="QV31" i="1"/>
  <c r="FH54" i="1"/>
  <c r="QV50" i="1"/>
  <c r="NE28" i="1"/>
  <c r="NT28" i="1"/>
  <c r="ON28" i="1" s="1"/>
  <c r="OU28" i="1" s="1"/>
  <c r="QV28" i="1"/>
  <c r="GE56" i="1"/>
  <c r="FH28" i="1"/>
  <c r="QV46" i="1"/>
  <c r="DP45" i="1"/>
  <c r="GE45" i="1"/>
  <c r="XI47" i="1"/>
  <c r="XQ47" i="1" s="1"/>
  <c r="XI46" i="1"/>
  <c r="XQ46" i="1" s="1"/>
  <c r="DO41" i="1"/>
  <c r="GS41" i="1" s="1"/>
  <c r="FH40" i="1"/>
  <c r="GE47" i="1"/>
  <c r="ON45" i="1"/>
  <c r="OU45" i="1" s="1"/>
  <c r="FH41" i="1"/>
  <c r="QV32" i="1"/>
  <c r="GE55" i="1"/>
  <c r="GE44" i="1"/>
  <c r="FH43" i="1"/>
  <c r="XI29" i="1"/>
  <c r="XQ29" i="1" s="1"/>
  <c r="FH45" i="1"/>
  <c r="QV40" i="1"/>
  <c r="GE32" i="1"/>
  <c r="QV54" i="1"/>
  <c r="FH46" i="1"/>
  <c r="FH47" i="1"/>
  <c r="GE28" i="1"/>
  <c r="QV36" i="1"/>
  <c r="GE29" i="1"/>
  <c r="FH31" i="1"/>
  <c r="FH52" i="1"/>
  <c r="FH35" i="1"/>
  <c r="FH36" i="1"/>
  <c r="GE39" i="1"/>
  <c r="NE36" i="1"/>
  <c r="NT36" i="1"/>
  <c r="ON36" i="1" s="1"/>
  <c r="OU36" i="1" s="1"/>
  <c r="NT35" i="1"/>
  <c r="ON35" i="1" s="1"/>
  <c r="OU35" i="1" s="1"/>
  <c r="NE35" i="1"/>
  <c r="NE53" i="1"/>
  <c r="NT53" i="1"/>
  <c r="ON53" i="1" s="1"/>
  <c r="OU53" i="1" s="1"/>
  <c r="NE47" i="1"/>
  <c r="NT47" i="1"/>
  <c r="ON47" i="1" s="1"/>
  <c r="OU47" i="1" s="1"/>
  <c r="NT55" i="1"/>
  <c r="ON55" i="1" s="1"/>
  <c r="OU55" i="1" s="1"/>
  <c r="NE55" i="1"/>
  <c r="NE40" i="1"/>
  <c r="NT40" i="1"/>
  <c r="ON40" i="1" s="1"/>
  <c r="OU40" i="1" s="1"/>
  <c r="NT30" i="1"/>
  <c r="ON30" i="1" s="1"/>
  <c r="OU30" i="1" s="1"/>
  <c r="NE30" i="1"/>
  <c r="NE37" i="1"/>
  <c r="NT37" i="1"/>
  <c r="ON37" i="1" s="1"/>
  <c r="OU37" i="1" s="1"/>
  <c r="NV44" i="1"/>
  <c r="OJ44" i="1" s="1"/>
  <c r="NT33" i="1"/>
  <c r="ON33" i="1" s="1"/>
  <c r="OU33" i="1" s="1"/>
  <c r="NE33" i="1"/>
  <c r="NE42" i="1"/>
  <c r="NT42" i="1"/>
  <c r="ON42" i="1" s="1"/>
  <c r="OU42" i="1" s="1"/>
  <c r="NE46" i="1"/>
  <c r="NT46" i="1"/>
  <c r="ON46" i="1" s="1"/>
  <c r="OU46" i="1" s="1"/>
  <c r="NT39" i="1"/>
  <c r="ON39" i="1" s="1"/>
  <c r="OU39" i="1" s="1"/>
  <c r="NE39" i="1"/>
  <c r="NE34" i="1"/>
  <c r="NT34" i="1"/>
  <c r="ON34" i="1" s="1"/>
  <c r="OU34" i="1" s="1"/>
  <c r="NE51" i="1"/>
  <c r="NT51" i="1"/>
  <c r="ON51" i="1" s="1"/>
  <c r="OU51" i="1" s="1"/>
  <c r="NV45" i="1"/>
  <c r="OJ45" i="1" s="1"/>
  <c r="NV32" i="1"/>
  <c r="OJ32" i="1" s="1"/>
  <c r="NE48" i="1"/>
  <c r="NT48" i="1"/>
  <c r="ON48" i="1" s="1"/>
  <c r="OU48" i="1" s="1"/>
  <c r="NT52" i="1"/>
  <c r="NE52" i="1"/>
  <c r="NE31" i="1"/>
  <c r="NT31" i="1"/>
  <c r="ON31" i="1" s="1"/>
  <c r="OU31" i="1" s="1"/>
  <c r="NT29" i="1"/>
  <c r="ON29" i="1" s="1"/>
  <c r="OU29" i="1" s="1"/>
  <c r="NE29" i="1"/>
  <c r="NT54" i="1"/>
  <c r="ON54" i="1" s="1"/>
  <c r="OU54" i="1" s="1"/>
  <c r="NE54" i="1"/>
  <c r="NT38" i="1"/>
  <c r="ON38" i="1" s="1"/>
  <c r="OU38" i="1" s="1"/>
  <c r="NE38" i="1"/>
  <c r="NT50" i="1"/>
  <c r="ON50" i="1" s="1"/>
  <c r="OU50" i="1" s="1"/>
  <c r="NE50" i="1"/>
  <c r="NE43" i="1"/>
  <c r="NT43" i="1"/>
  <c r="ON43" i="1" s="1"/>
  <c r="OU43" i="1" s="1"/>
  <c r="KJ53" i="1"/>
  <c r="KK53" i="1" a="1"/>
  <c r="KK53" i="1" s="1"/>
  <c r="KL53" i="1" s="1" a="1"/>
  <c r="KL53" i="1" s="1"/>
  <c r="KJ28" i="1"/>
  <c r="KK28" i="1" a="1"/>
  <c r="KK28" i="1" s="1"/>
  <c r="KL28" i="1" s="1" a="1"/>
  <c r="KL28" i="1" s="1"/>
  <c r="KJ48" i="1"/>
  <c r="KK48" i="1" a="1"/>
  <c r="KK48" i="1" s="1"/>
  <c r="KL48" i="1" s="1" a="1"/>
  <c r="KL48" i="1" s="1"/>
  <c r="DT28" i="1"/>
  <c r="GS28" i="1"/>
  <c r="EO35" i="1"/>
  <c r="GT35" i="1"/>
  <c r="HD35" i="1" s="1"/>
  <c r="DT33" i="1"/>
  <c r="GS33" i="1"/>
  <c r="DP44" i="1"/>
  <c r="DO44" i="1"/>
  <c r="DO38" i="1"/>
  <c r="DP38" i="1"/>
  <c r="KD42" i="1" a="1"/>
  <c r="KD42" i="1" s="1"/>
  <c r="DO47" i="1"/>
  <c r="DP47" i="1"/>
  <c r="GS36" i="1"/>
  <c r="DT36" i="1"/>
  <c r="KD44" i="1" a="1"/>
  <c r="KD44" i="1" s="1"/>
  <c r="EO54" i="1"/>
  <c r="GT54" i="1"/>
  <c r="HD54" i="1" s="1"/>
  <c r="KD36" i="1" a="1"/>
  <c r="KD36" i="1" s="1"/>
  <c r="GT47" i="1"/>
  <c r="HD47" i="1" s="1"/>
  <c r="EO47" i="1"/>
  <c r="DT55" i="1"/>
  <c r="GS55" i="1"/>
  <c r="KH45" i="1"/>
  <c r="KF45" i="1" a="1"/>
  <c r="KF45" i="1" s="1"/>
  <c r="KG45" i="1" s="1" a="1"/>
  <c r="KG45" i="1" s="1"/>
  <c r="KH32" i="1"/>
  <c r="KF32" i="1" a="1"/>
  <c r="KF32" i="1" s="1"/>
  <c r="KG32" i="1" s="1" a="1"/>
  <c r="KG32" i="1" s="1"/>
  <c r="AX39" i="18"/>
  <c r="X47" i="18"/>
  <c r="BJ46" i="18"/>
  <c r="P55" i="18"/>
  <c r="BB58" i="18"/>
  <c r="AZ42" i="18"/>
  <c r="XI49" i="1"/>
  <c r="XQ49" i="1" s="1"/>
  <c r="AX62" i="18"/>
  <c r="V58" i="18"/>
  <c r="X61" i="18"/>
  <c r="BJ52" i="18"/>
  <c r="P65" i="18"/>
  <c r="AZ51" i="18"/>
  <c r="XI30" i="1"/>
  <c r="XQ30" i="1" s="1"/>
  <c r="AX63" i="18"/>
  <c r="V47" i="18"/>
  <c r="X41" i="18"/>
  <c r="BJ53" i="18"/>
  <c r="P37" i="18"/>
  <c r="XI33" i="1"/>
  <c r="XQ33" i="1" s="1"/>
  <c r="R65" i="18"/>
  <c r="X59" i="18"/>
  <c r="GE41" i="1"/>
  <c r="AV42" i="18"/>
  <c r="BD48" i="18"/>
  <c r="AX46" i="18"/>
  <c r="T37" i="18"/>
  <c r="XI57" i="1"/>
  <c r="XQ57" i="1" s="1"/>
  <c r="V54" i="18"/>
  <c r="R61" i="18"/>
  <c r="X58" i="18"/>
  <c r="T64" i="18"/>
  <c r="P48" i="18"/>
  <c r="BB46" i="18"/>
  <c r="QV44" i="1"/>
  <c r="AV53" i="18"/>
  <c r="AX56" i="18"/>
  <c r="V41" i="18"/>
  <c r="R46" i="18"/>
  <c r="BJ57" i="18"/>
  <c r="GE42" i="1"/>
  <c r="AZ59" i="18"/>
  <c r="XI52" i="1"/>
  <c r="XQ52" i="1" s="1"/>
  <c r="R49" i="18"/>
  <c r="T45" i="18"/>
  <c r="P43" i="18"/>
  <c r="QV34" i="1"/>
  <c r="AV58" i="18"/>
  <c r="BD65" i="18"/>
  <c r="BD64" i="18"/>
  <c r="V38" i="18"/>
  <c r="R45" i="18"/>
  <c r="GE36" i="1"/>
  <c r="P36" i="18"/>
  <c r="AZ55" i="18"/>
  <c r="AV46" i="18"/>
  <c r="GE50" i="1"/>
  <c r="P59" i="18"/>
  <c r="BB41" i="18"/>
  <c r="QV29" i="1"/>
  <c r="XI39" i="1"/>
  <c r="XQ39" i="1" s="1"/>
  <c r="V50" i="18"/>
  <c r="R63" i="18"/>
  <c r="X36" i="18"/>
  <c r="BJ41" i="18"/>
  <c r="T62" i="18"/>
  <c r="FH55" i="1"/>
  <c r="BB59" i="18"/>
  <c r="AV36" i="18"/>
  <c r="V42" i="18"/>
  <c r="R51" i="18"/>
  <c r="X65" i="18"/>
  <c r="GE30" i="1"/>
  <c r="FH33" i="1"/>
  <c r="BB55" i="18"/>
  <c r="AZ60" i="18"/>
  <c r="XI54" i="1"/>
  <c r="XQ54" i="1" s="1"/>
  <c r="BD62" i="18"/>
  <c r="AL52" i="18"/>
  <c r="AX64" i="18"/>
  <c r="AX37" i="18"/>
  <c r="V62" i="18"/>
  <c r="BJ45" i="18"/>
  <c r="T42" i="18"/>
  <c r="AZ54" i="18"/>
  <c r="AV52" i="18"/>
  <c r="X38" i="18"/>
  <c r="T41" i="18"/>
  <c r="BB52" i="18"/>
  <c r="XI37" i="1"/>
  <c r="XQ37" i="1" s="1"/>
  <c r="AX45" i="18"/>
  <c r="V36" i="18"/>
  <c r="GE49" i="1"/>
  <c r="P56" i="18"/>
  <c r="AV64" i="18"/>
  <c r="V40" i="18"/>
  <c r="R59" i="18"/>
  <c r="X43" i="18"/>
  <c r="GE52" i="1"/>
  <c r="FH50" i="1"/>
  <c r="BB42" i="18"/>
  <c r="XI35" i="1"/>
  <c r="XQ35" i="1" s="1"/>
  <c r="BD47" i="18"/>
  <c r="DP49" i="1"/>
  <c r="DO49" i="1"/>
  <c r="DO37" i="1"/>
  <c r="DP37" i="1"/>
  <c r="DT45" i="1"/>
  <c r="GS45" i="1"/>
  <c r="KF42" i="1" a="1"/>
  <c r="KF42" i="1" s="1"/>
  <c r="KG42" i="1" s="1" a="1"/>
  <c r="KG42" i="1" s="1"/>
  <c r="KH42" i="1"/>
  <c r="KH48" i="1"/>
  <c r="KF48" i="1" a="1"/>
  <c r="KF48" i="1" s="1"/>
  <c r="KG48" i="1" s="1" a="1"/>
  <c r="KG48" i="1" s="1"/>
  <c r="DP46" i="1"/>
  <c r="DO46" i="1"/>
  <c r="KH44" i="1"/>
  <c r="KF44" i="1" a="1"/>
  <c r="KF44" i="1" s="1"/>
  <c r="KG44" i="1" s="1" a="1"/>
  <c r="KG44" i="1" s="1"/>
  <c r="KD28" i="1" a="1"/>
  <c r="KD28" i="1" s="1"/>
  <c r="KF36" i="1" a="1"/>
  <c r="KF36" i="1" s="1"/>
  <c r="KG36" i="1" s="1" a="1"/>
  <c r="KG36" i="1" s="1"/>
  <c r="KH36" i="1"/>
  <c r="DO56" i="1"/>
  <c r="DP56" i="1"/>
  <c r="DO35" i="1"/>
  <c r="DP35" i="1"/>
  <c r="DT42" i="1"/>
  <c r="GS42" i="1"/>
  <c r="DO51" i="1"/>
  <c r="DP51" i="1"/>
  <c r="GT57" i="1"/>
  <c r="HD57" i="1" s="1"/>
  <c r="EO57" i="1"/>
  <c r="KF53" i="1" a="1"/>
  <c r="KF53" i="1" s="1"/>
  <c r="KG53" i="1" s="1" a="1"/>
  <c r="KG53" i="1" s="1"/>
  <c r="KH53" i="1"/>
  <c r="KD45" i="1" a="1"/>
  <c r="KD45" i="1" s="1"/>
  <c r="KD32" i="1" a="1"/>
  <c r="KD32" i="1" s="1"/>
  <c r="KJ35" i="1"/>
  <c r="KK35" i="1" a="1"/>
  <c r="KK35" i="1" s="1"/>
  <c r="KL35" i="1" s="1" a="1"/>
  <c r="KL35" i="1" s="1"/>
  <c r="R41" i="18"/>
  <c r="T63" i="18"/>
  <c r="P50" i="18"/>
  <c r="AV57" i="18"/>
  <c r="R48" i="18"/>
  <c r="BJ48" i="18"/>
  <c r="BB53" i="18"/>
  <c r="XI42" i="1"/>
  <c r="XQ42" i="1" s="1"/>
  <c r="V49" i="18"/>
  <c r="R40" i="18"/>
  <c r="T52" i="18"/>
  <c r="P51" i="18"/>
  <c r="BB49" i="18"/>
  <c r="AZ52" i="18"/>
  <c r="AV41" i="18"/>
  <c r="P53" i="18"/>
  <c r="AZ58" i="18"/>
  <c r="BD57" i="18"/>
  <c r="AX59" i="18"/>
  <c r="R38" i="18"/>
  <c r="X45" i="18"/>
  <c r="BJ44" i="18"/>
  <c r="GE35" i="1"/>
  <c r="P64" i="18"/>
  <c r="AZ65" i="18"/>
  <c r="QV30" i="1"/>
  <c r="AV65" i="18"/>
  <c r="AX36" i="18"/>
  <c r="X60" i="18"/>
  <c r="P49" i="18"/>
  <c r="BB40" i="18"/>
  <c r="AV60" i="18"/>
  <c r="R56" i="18"/>
  <c r="BJ38" i="18"/>
  <c r="GE37" i="1"/>
  <c r="BB50" i="18"/>
  <c r="XI41" i="1"/>
  <c r="XQ41" i="1" s="1"/>
  <c r="AL36" i="18"/>
  <c r="AX49" i="18"/>
  <c r="X37" i="18"/>
  <c r="T44" i="18"/>
  <c r="BB61" i="18"/>
  <c r="QV43" i="1"/>
  <c r="AV56" i="18"/>
  <c r="R64" i="18"/>
  <c r="T58" i="18"/>
  <c r="AZ56" i="18"/>
  <c r="AV47" i="18"/>
  <c r="AX50" i="18"/>
  <c r="BJ65" i="18"/>
  <c r="T56" i="18"/>
  <c r="AZ57" i="18"/>
  <c r="XI28" i="1"/>
  <c r="XQ28" i="1" s="1"/>
  <c r="T59" i="18"/>
  <c r="P45" i="18"/>
  <c r="BD59" i="18"/>
  <c r="AV62" i="18"/>
  <c r="BD41" i="18"/>
  <c r="ON44" i="1"/>
  <c r="OU44" i="1" s="1"/>
  <c r="AX58" i="18"/>
  <c r="R57" i="18"/>
  <c r="X54" i="18"/>
  <c r="BJ58" i="18"/>
  <c r="GE34" i="1"/>
  <c r="BB63" i="18"/>
  <c r="QV57" i="1"/>
  <c r="XI31" i="1"/>
  <c r="XQ31" i="1" s="1"/>
  <c r="AX51" i="18"/>
  <c r="V64" i="18"/>
  <c r="R62" i="18"/>
  <c r="GE31" i="1"/>
  <c r="P46" i="18"/>
  <c r="BB45" i="18"/>
  <c r="AZ39" i="18"/>
  <c r="AV45" i="18"/>
  <c r="AX43" i="18"/>
  <c r="V46" i="18"/>
  <c r="R58" i="18"/>
  <c r="BJ50" i="18"/>
  <c r="T40" i="18"/>
  <c r="P38" i="18"/>
  <c r="AZ41" i="18"/>
  <c r="XI56" i="1"/>
  <c r="XQ56" i="1" s="1"/>
  <c r="X49" i="18"/>
  <c r="T48" i="18"/>
  <c r="P54" i="18"/>
  <c r="AZ43" i="18"/>
  <c r="AV43" i="18"/>
  <c r="BD36" i="18"/>
  <c r="DT30" i="1"/>
  <c r="GS30" i="1"/>
  <c r="DO43" i="1"/>
  <c r="DP43" i="1"/>
  <c r="DP31" i="1"/>
  <c r="DO31" i="1"/>
  <c r="GS32" i="1"/>
  <c r="DT32" i="1"/>
  <c r="DO34" i="1"/>
  <c r="DP34" i="1"/>
  <c r="EO41" i="1"/>
  <c r="GT41" i="1"/>
  <c r="HD41" i="1" s="1"/>
  <c r="KD48" i="1" a="1"/>
  <c r="KD48" i="1" s="1"/>
  <c r="DO48" i="1"/>
  <c r="DP48" i="1"/>
  <c r="GS53" i="1"/>
  <c r="KH28" i="1"/>
  <c r="KF28" i="1" a="1"/>
  <c r="KF28" i="1" s="1"/>
  <c r="KG28" i="1" s="1" a="1"/>
  <c r="KG28" i="1" s="1"/>
  <c r="DP54" i="1"/>
  <c r="DO54" i="1"/>
  <c r="DO52" i="1"/>
  <c r="DP52" i="1"/>
  <c r="GT32" i="1"/>
  <c r="HD32" i="1" s="1"/>
  <c r="EO32" i="1"/>
  <c r="KD53" i="1" a="1"/>
  <c r="KD53" i="1" s="1"/>
  <c r="KF35" i="1" a="1"/>
  <c r="KF35" i="1" s="1"/>
  <c r="KG35" i="1" s="1" a="1"/>
  <c r="KG35" i="1" s="1"/>
  <c r="KH35" i="1"/>
  <c r="AX60" i="18"/>
  <c r="AX65" i="18"/>
  <c r="V43" i="18"/>
  <c r="X39" i="18"/>
  <c r="BB60" i="18"/>
  <c r="AZ50" i="18"/>
  <c r="AV48" i="18"/>
  <c r="V48" i="18"/>
  <c r="R43" i="18"/>
  <c r="X42" i="18"/>
  <c r="BJ42" i="18"/>
  <c r="T36" i="18"/>
  <c r="P61" i="18"/>
  <c r="BD58" i="18"/>
  <c r="AZ36" i="18"/>
  <c r="AV50" i="18"/>
  <c r="AX52" i="18"/>
  <c r="X48" i="18"/>
  <c r="V55" i="18"/>
  <c r="X57" i="18"/>
  <c r="BJ55" i="18"/>
  <c r="T53" i="18"/>
  <c r="BB44" i="18"/>
  <c r="BD60" i="18"/>
  <c r="AZ46" i="18"/>
  <c r="AV55" i="18"/>
  <c r="BD44" i="18"/>
  <c r="BD49" i="18"/>
  <c r="V39" i="18"/>
  <c r="BJ59" i="18"/>
  <c r="T43" i="18"/>
  <c r="BB57" i="18"/>
  <c r="BD52" i="18"/>
  <c r="AZ64" i="18"/>
  <c r="AV61" i="18"/>
  <c r="R39" i="18"/>
  <c r="X62" i="18"/>
  <c r="BJ36" i="18"/>
  <c r="P62" i="18"/>
  <c r="BD42" i="18"/>
  <c r="AZ53" i="18"/>
  <c r="AV54" i="18"/>
  <c r="AX44" i="18"/>
  <c r="V45" i="18"/>
  <c r="T55" i="18"/>
  <c r="XI32" i="1"/>
  <c r="XQ32" i="1" s="1"/>
  <c r="V56" i="18"/>
  <c r="BJ56" i="18"/>
  <c r="T51" i="18"/>
  <c r="P40" i="18"/>
  <c r="BB43" i="18"/>
  <c r="AZ38" i="18"/>
  <c r="AV49" i="18"/>
  <c r="AL53" i="18"/>
  <c r="AL40" i="18"/>
  <c r="AX55" i="18"/>
  <c r="V60" i="18"/>
  <c r="R44" i="18"/>
  <c r="BJ51" i="18"/>
  <c r="T54" i="18"/>
  <c r="P47" i="18"/>
  <c r="XI48" i="1"/>
  <c r="XQ48" i="1" s="1"/>
  <c r="AX42" i="18"/>
  <c r="V51" i="18"/>
  <c r="X55" i="18"/>
  <c r="T61" i="18"/>
  <c r="P42" i="18"/>
  <c r="BB38" i="18"/>
  <c r="AZ47" i="18"/>
  <c r="AV63" i="18"/>
  <c r="AX57" i="18"/>
  <c r="BJ63" i="18"/>
  <c r="GE48" i="1"/>
  <c r="P44" i="18"/>
  <c r="R60" i="18"/>
  <c r="BJ39" i="18"/>
  <c r="GE51" i="1"/>
  <c r="FH37" i="1"/>
  <c r="BB51" i="18"/>
  <c r="BD54" i="18"/>
  <c r="BD38" i="18"/>
  <c r="R47" i="18"/>
  <c r="T65" i="18"/>
  <c r="P52" i="18"/>
  <c r="BB39" i="18"/>
  <c r="BD63" i="18"/>
  <c r="AZ63" i="18"/>
  <c r="QV35" i="1"/>
  <c r="AV39" i="18"/>
  <c r="X40" i="18"/>
  <c r="T39" i="18"/>
  <c r="FH38" i="1"/>
  <c r="QV56" i="1"/>
  <c r="XI43" i="1"/>
  <c r="XQ43" i="1" s="1"/>
  <c r="BJ62" i="18"/>
  <c r="FH30" i="1"/>
  <c r="BB48" i="18"/>
  <c r="XI36" i="1"/>
  <c r="XQ36" i="1" s="1"/>
  <c r="R52" i="18"/>
  <c r="GE40" i="1"/>
  <c r="QV51" i="1"/>
  <c r="AV59" i="18"/>
  <c r="BD39" i="18"/>
  <c r="DO40" i="1"/>
  <c r="DP40" i="1"/>
  <c r="DP39" i="1"/>
  <c r="DO39" i="1"/>
  <c r="EO39" i="1"/>
  <c r="GT39" i="1"/>
  <c r="HD39" i="1" s="1"/>
  <c r="DT57" i="1"/>
  <c r="GS57" i="1"/>
  <c r="KI42" i="1"/>
  <c r="DP29" i="1"/>
  <c r="DO29" i="1"/>
  <c r="KI44" i="1"/>
  <c r="GT46" i="1"/>
  <c r="HD46" i="1" s="1"/>
  <c r="EO46" i="1"/>
  <c r="KI36" i="1"/>
  <c r="GS50" i="1"/>
  <c r="DT50" i="1"/>
  <c r="KI45" i="1"/>
  <c r="KJ32" i="1"/>
  <c r="KM32" i="1" s="1" a="1"/>
  <c r="KM32" i="1" s="1"/>
  <c r="LB32" i="1" s="1"/>
  <c r="LE32" i="1" s="1"/>
  <c r="KK32" i="1" a="1"/>
  <c r="KK32" i="1" s="1"/>
  <c r="KL32" i="1" s="1" a="1"/>
  <c r="KL32" i="1" s="1"/>
  <c r="KD35" i="1" a="1"/>
  <c r="KD35" i="1" s="1"/>
  <c r="AX53" i="18"/>
  <c r="V63" i="18"/>
  <c r="R37" i="18"/>
  <c r="BJ43" i="18"/>
  <c r="T46" i="18"/>
  <c r="BD45" i="18"/>
  <c r="XI40" i="1"/>
  <c r="XQ40" i="1" s="1"/>
  <c r="ON52" i="1"/>
  <c r="OU52" i="1" s="1"/>
  <c r="AX40" i="18"/>
  <c r="BJ61" i="18"/>
  <c r="FH53" i="1"/>
  <c r="BB62" i="18"/>
  <c r="AV38" i="18"/>
  <c r="R42" i="18"/>
  <c r="BJ47" i="18"/>
  <c r="FH29" i="1"/>
  <c r="BB64" i="18"/>
  <c r="AZ45" i="18"/>
  <c r="AV37" i="18"/>
  <c r="R50" i="18"/>
  <c r="T49" i="18"/>
  <c r="P39" i="18"/>
  <c r="BB56" i="18"/>
  <c r="XI34" i="1"/>
  <c r="XQ34" i="1" s="1"/>
  <c r="BD37" i="18"/>
  <c r="BD40" i="18"/>
  <c r="V59" i="18"/>
  <c r="R55" i="18"/>
  <c r="X46" i="18"/>
  <c r="P57" i="18"/>
  <c r="BB37" i="18"/>
  <c r="XI53" i="1"/>
  <c r="XQ53" i="1" s="1"/>
  <c r="AX54" i="18"/>
  <c r="V61" i="18"/>
  <c r="BJ64" i="18"/>
  <c r="T47" i="18"/>
  <c r="BB36" i="18"/>
  <c r="AZ48" i="18"/>
  <c r="QV49" i="1"/>
  <c r="XI45" i="1"/>
  <c r="XQ45" i="1" s="1"/>
  <c r="X56" i="18"/>
  <c r="BJ40" i="18"/>
  <c r="T50" i="18"/>
  <c r="P60" i="18"/>
  <c r="BB65" i="18"/>
  <c r="BD56" i="18"/>
  <c r="AZ37" i="18"/>
  <c r="QV33" i="1"/>
  <c r="AV40" i="18"/>
  <c r="V37" i="18"/>
  <c r="X52" i="18"/>
  <c r="BJ60" i="18"/>
  <c r="GE43" i="1"/>
  <c r="FH32" i="1"/>
  <c r="AZ61" i="18"/>
  <c r="QV38" i="1"/>
  <c r="XI50" i="1"/>
  <c r="XQ50" i="1" s="1"/>
  <c r="BD43" i="18"/>
  <c r="BD53" i="18"/>
  <c r="BD51" i="18"/>
  <c r="ON32" i="1"/>
  <c r="OU32" i="1" s="1"/>
  <c r="AX61" i="18"/>
  <c r="X50" i="18"/>
  <c r="BJ49" i="18"/>
  <c r="GE46" i="1"/>
  <c r="BB47" i="18"/>
  <c r="XI38" i="1"/>
  <c r="XQ38" i="1" s="1"/>
  <c r="AX38" i="18"/>
  <c r="V52" i="18"/>
  <c r="R54" i="18"/>
  <c r="X53" i="18"/>
  <c r="BJ54" i="18"/>
  <c r="GE53" i="1"/>
  <c r="FH34" i="1"/>
  <c r="XI55" i="1"/>
  <c r="XQ55" i="1" s="1"/>
  <c r="R36" i="18"/>
  <c r="X64" i="18"/>
  <c r="GE54" i="1"/>
  <c r="P63" i="18"/>
  <c r="BD46" i="18"/>
  <c r="AZ49" i="18"/>
  <c r="QV53" i="1"/>
  <c r="V44" i="18"/>
  <c r="X44" i="18"/>
  <c r="T38" i="18"/>
  <c r="P41" i="18"/>
  <c r="QV52" i="1"/>
  <c r="BD50" i="18"/>
  <c r="AX41" i="18"/>
  <c r="AX48" i="18"/>
  <c r="V65" i="18"/>
  <c r="X51" i="18"/>
  <c r="BJ37" i="18"/>
  <c r="GE57" i="1"/>
  <c r="XI44" i="1"/>
  <c r="XQ44" i="1" s="1"/>
  <c r="AX47" i="18"/>
  <c r="V53" i="18"/>
  <c r="GE33" i="1"/>
  <c r="AZ62" i="18"/>
  <c r="QV37" i="1"/>
  <c r="AV51" i="18"/>
  <c r="R53" i="18"/>
  <c r="X63" i="18"/>
  <c r="T57" i="18"/>
  <c r="FH48" i="1"/>
  <c r="BB54" i="18"/>
  <c r="AZ40" i="18"/>
  <c r="QV48" i="1"/>
  <c r="AV44" i="18"/>
  <c r="V57" i="18"/>
  <c r="T60" i="18"/>
  <c r="P58" i="18"/>
  <c r="BD55" i="18"/>
  <c r="AZ44" i="18"/>
  <c r="XI51" i="1"/>
  <c r="XQ51" i="1" s="1"/>
  <c r="BD61" i="18"/>
  <c r="YM34" i="1"/>
  <c r="YQ34" i="1" s="1"/>
  <c r="YM35" i="1"/>
  <c r="YQ35" i="1" s="1"/>
  <c r="YM29" i="1"/>
  <c r="YQ29" i="1" s="1"/>
  <c r="YM31" i="1"/>
  <c r="YQ31" i="1" s="1"/>
  <c r="YM30" i="1"/>
  <c r="YM28" i="1"/>
  <c r="YQ28" i="1" s="1"/>
  <c r="TZ44" i="1" a="1"/>
  <c r="XB44" i="1" a="1"/>
  <c r="WY43" i="1" a="1"/>
  <c r="TW43" i="1" a="1"/>
  <c r="XA37" i="1" a="1"/>
  <c r="TY37" i="1" a="1"/>
  <c r="FY51" i="1" a="1"/>
  <c r="FZ29" i="1" a="1"/>
  <c r="FZ41" i="1" a="1"/>
  <c r="TZ42" i="1" a="1"/>
  <c r="XB42" i="1" a="1"/>
  <c r="XC48" i="1" a="1"/>
  <c r="UA48" i="1" a="1"/>
  <c r="AAD55" i="1" a="1"/>
  <c r="AAA55" i="1" a="1"/>
  <c r="FY28" i="1" a="1"/>
  <c r="WZ39" i="1" a="1"/>
  <c r="TX39" i="1" a="1"/>
  <c r="GA51" i="1" a="1"/>
  <c r="FD42" i="1" a="1"/>
  <c r="FC29" i="1" a="1"/>
  <c r="TY54" i="1" a="1"/>
  <c r="XA54" i="1" a="1"/>
  <c r="TY49" i="1" a="1"/>
  <c r="XA49" i="1" a="1"/>
  <c r="FD56" i="1" a="1"/>
  <c r="UA45" i="1" a="1"/>
  <c r="XC45" i="1" a="1"/>
  <c r="GA50" i="1" a="1"/>
  <c r="FC55" i="1" a="1"/>
  <c r="XC34" i="1" a="1"/>
  <c r="UA34" i="1" a="1"/>
  <c r="GA46" i="1" a="1"/>
  <c r="GA41" i="1" a="1"/>
  <c r="AAD51" i="1" a="1"/>
  <c r="AAA51" i="1" a="1"/>
  <c r="FD28" i="1" a="1"/>
  <c r="FC34" i="1" a="1"/>
  <c r="XB35" i="1" a="1"/>
  <c r="TZ35" i="1" a="1"/>
  <c r="WY47" i="1" a="1"/>
  <c r="TW47" i="1" a="1"/>
  <c r="TW34" i="1" a="1"/>
  <c r="WY34" i="1" a="1"/>
  <c r="FY37" i="1" a="1"/>
  <c r="FY44" i="1" a="1"/>
  <c r="FZ42" i="1" a="1"/>
  <c r="FC32" i="1" a="1"/>
  <c r="FD41" i="1" a="1"/>
  <c r="FC41" i="1" a="1"/>
  <c r="TX43" i="1" a="1"/>
  <c r="WZ43" i="1" a="1"/>
  <c r="AAA36" i="1" a="1"/>
  <c r="AAD36" i="1" a="1"/>
  <c r="WZ54" i="1" a="1"/>
  <c r="TX54" i="1" a="1"/>
  <c r="AAA39" i="1" a="1"/>
  <c r="AAD39" i="1" a="1"/>
  <c r="XB52" i="1" a="1"/>
  <c r="TZ52" i="1" a="1"/>
  <c r="WZ57" i="1" a="1"/>
  <c r="TX57" i="1" a="1"/>
  <c r="GA53" i="1" a="1"/>
  <c r="TX29" i="1" a="1"/>
  <c r="WZ29" i="1" a="1"/>
  <c r="WZ56" i="1" a="1"/>
  <c r="TX56" i="1" a="1"/>
  <c r="XB45" i="1" a="1"/>
  <c r="TZ45" i="1" a="1"/>
  <c r="TW54" i="1" a="1"/>
  <c r="WY54" i="1" a="1"/>
  <c r="TY39" i="1" a="1"/>
  <c r="XA39" i="1" a="1"/>
  <c r="FY46" i="1" a="1"/>
  <c r="FZ52" i="1" a="1"/>
  <c r="FZ45" i="1" a="1"/>
  <c r="AAD50" i="1" a="1"/>
  <c r="AAA50" i="1" a="1"/>
  <c r="XA51" i="1" a="1"/>
  <c r="TY51" i="1" a="1"/>
  <c r="TZ57" i="1" a="1"/>
  <c r="XB57" i="1" a="1"/>
  <c r="GA33" i="1" a="1"/>
  <c r="AAD31" i="1" a="1"/>
  <c r="AAA31" i="1" a="1"/>
  <c r="TZ36" i="1" a="1"/>
  <c r="XB36" i="1" a="1"/>
  <c r="AAD41" i="1" a="1"/>
  <c r="AAA41" i="1" a="1"/>
  <c r="WZ42" i="1" a="1"/>
  <c r="TX42" i="1" a="1"/>
  <c r="FD53" i="1" a="1"/>
  <c r="AAA45" i="1" a="1"/>
  <c r="AAD45" i="1" a="1"/>
  <c r="TX34" i="1" a="1"/>
  <c r="WZ34" i="1" a="1"/>
  <c r="AAD56" i="1" a="1"/>
  <c r="AAA56" i="1" a="1"/>
  <c r="TX40" i="1" a="1"/>
  <c r="WZ40" i="1" a="1"/>
  <c r="FC50" i="1" a="1"/>
  <c r="FC56" i="1" a="1"/>
  <c r="XB40" i="1" a="1"/>
  <c r="TZ40" i="1" a="1"/>
  <c r="TW35" i="1" a="1"/>
  <c r="WY35" i="1" a="1"/>
  <c r="XA40" i="1" a="1"/>
  <c r="TY40" i="1" a="1"/>
  <c r="FY48" i="1" a="1"/>
  <c r="FZ33" i="1" a="1"/>
  <c r="TW56" i="1" a="1"/>
  <c r="WY56" i="1" a="1"/>
  <c r="XA30" i="1" a="1"/>
  <c r="TY30" i="1" a="1"/>
  <c r="XC30" i="1" a="1"/>
  <c r="UA30" i="1" a="1"/>
  <c r="FY47" i="1" a="1"/>
  <c r="TY50" i="1" a="1"/>
  <c r="XA50" i="1" a="1"/>
  <c r="TZ48" i="1" a="1"/>
  <c r="XB48" i="1" a="1"/>
  <c r="GA45" i="1" a="1"/>
  <c r="XB47" i="1" a="1"/>
  <c r="TZ47" i="1" a="1"/>
  <c r="FC46" i="1" a="1"/>
  <c r="FC40" i="1" a="1"/>
  <c r="FD40" i="1" a="1"/>
  <c r="TY55" i="1" a="1"/>
  <c r="XA55" i="1" a="1"/>
  <c r="WZ52" i="1" a="1"/>
  <c r="TX52" i="1" a="1"/>
  <c r="XC36" i="1" a="1"/>
  <c r="UA36" i="1" a="1"/>
  <c r="XB49" i="1" a="1"/>
  <c r="TZ49" i="1" a="1"/>
  <c r="NT56" i="1" a="1"/>
  <c r="NE56" i="1" a="1"/>
  <c r="NE49" i="1" a="1"/>
  <c r="NT49" i="1" a="1"/>
  <c r="NR23" i="1" a="1"/>
  <c r="NV40" i="1" a="1"/>
  <c r="ABC49" i="1" a="1"/>
  <c r="ABC50" i="1" a="1"/>
  <c r="ABC28" i="1" a="1"/>
  <c r="ABC39" i="1" a="1"/>
  <c r="ABC38" i="1" a="1"/>
  <c r="ABC43" i="1" a="1"/>
  <c r="ABC45" i="1" a="1"/>
  <c r="EQ32" i="1" a="1"/>
  <c r="LH32" i="1" a="1"/>
  <c r="NV52" i="1" a="1"/>
  <c r="DV33" i="1" a="1"/>
  <c r="DV30" i="1" a="1"/>
  <c r="ABC54" i="1" a="1"/>
  <c r="EQ46" i="1" a="1"/>
  <c r="NV46" i="1" a="1"/>
  <c r="EQ57" i="1" a="1"/>
  <c r="ABC52" i="1" a="1"/>
  <c r="ABC29" i="1" a="1"/>
  <c r="NV37" i="1" a="1"/>
  <c r="DV36" i="1" a="1"/>
  <c r="ABC37" i="1" a="1"/>
  <c r="ABC40" i="1" a="1"/>
  <c r="ABC31" i="1" a="1"/>
  <c r="ABC41" i="1" a="1"/>
  <c r="EQ54" i="1" a="1"/>
  <c r="ABC33" i="1" a="1"/>
  <c r="DV32" i="1" a="1"/>
  <c r="DV50" i="1" a="1"/>
  <c r="NV35" i="1" a="1"/>
  <c r="EQ41" i="1" a="1"/>
  <c r="ABC46" i="1" a="1"/>
  <c r="EQ35" i="1" a="1"/>
  <c r="ABC30" i="1" a="1"/>
  <c r="NV53" i="1" a="1"/>
  <c r="DV45" i="1" a="1"/>
  <c r="ABC56" i="1" a="1"/>
  <c r="NV30" i="1" a="1"/>
  <c r="ABC36" i="1" a="1"/>
  <c r="DV57" i="1" a="1"/>
  <c r="NV31" i="1" a="1"/>
  <c r="DV55" i="1" a="1"/>
  <c r="ABC42" i="1" a="1"/>
  <c r="NV55" i="1" a="1"/>
  <c r="ABC32" i="1" a="1"/>
  <c r="DV28" i="1" a="1"/>
  <c r="TZ29" i="1" a="1"/>
  <c r="XB29" i="1" a="1"/>
  <c r="TW52" i="1" a="1"/>
  <c r="WY52" i="1" a="1"/>
  <c r="WY41" i="1" a="1"/>
  <c r="TW41" i="1" a="1"/>
  <c r="FY41" i="1" a="1"/>
  <c r="FY49" i="1" a="1"/>
  <c r="FZ54" i="1" a="1"/>
  <c r="XA53" i="1" a="1"/>
  <c r="TY53" i="1" a="1"/>
  <c r="XC54" i="1" a="1"/>
  <c r="UA54" i="1" a="1"/>
  <c r="AAA43" i="1" a="1"/>
  <c r="AAD43" i="1" a="1"/>
  <c r="GA55" i="1" a="1"/>
  <c r="FD50" i="1" a="1"/>
  <c r="XA36" i="1" a="1"/>
  <c r="TY36" i="1" a="1"/>
  <c r="FD43" i="1" a="1"/>
  <c r="AAD40" i="1" a="1"/>
  <c r="AAA40" i="1" a="1"/>
  <c r="FC54" i="1" a="1"/>
  <c r="GA28" i="1" a="1"/>
  <c r="WZ49" i="1" a="1"/>
  <c r="TX49" i="1" a="1"/>
  <c r="WZ28" i="1" a="1"/>
  <c r="TX28" i="1" a="1"/>
  <c r="XC41" i="1" a="1"/>
  <c r="UA41" i="1" a="1"/>
  <c r="FC39" i="1" a="1"/>
  <c r="WZ41" i="1" a="1"/>
  <c r="TX41" i="1" a="1"/>
  <c r="XB39" i="1" a="1"/>
  <c r="TZ39" i="1" a="1"/>
  <c r="TW29" i="1" a="1"/>
  <c r="WY29" i="1" a="1"/>
  <c r="WY46" i="1" a="1"/>
  <c r="TW46" i="1" a="1"/>
  <c r="FY33" i="1" a="1"/>
  <c r="FZ37" i="1" a="1"/>
  <c r="FZ44" i="1" a="1"/>
  <c r="AAD54" i="1" a="1"/>
  <c r="AAA54" i="1" a="1"/>
  <c r="GA40" i="1" a="1"/>
  <c r="FD32" i="1" a="1"/>
  <c r="WY42" i="1" a="1"/>
  <c r="TW42" i="1" a="1"/>
  <c r="TY43" i="1" a="1"/>
  <c r="XA43" i="1" a="1"/>
  <c r="FY45" i="1" a="1"/>
  <c r="FZ28" i="1" a="1"/>
  <c r="FC38" i="1" a="1"/>
  <c r="FZ53" i="1" a="1"/>
  <c r="XC47" i="1" a="1"/>
  <c r="UA47" i="1" a="1"/>
  <c r="XC37" i="1" a="1"/>
  <c r="UA37" i="1" a="1"/>
  <c r="TZ51" i="1" a="1"/>
  <c r="XB51" i="1" a="1"/>
  <c r="AAD35" i="1" a="1"/>
  <c r="AAA35" i="1" a="1"/>
  <c r="TY32" i="1" a="1"/>
  <c r="XA32" i="1" a="1"/>
  <c r="FC30" i="1" a="1"/>
  <c r="GA29" i="1" a="1"/>
  <c r="XB41" i="1" a="1"/>
  <c r="TZ41" i="1" a="1"/>
  <c r="WY31" i="1" a="1"/>
  <c r="TW31" i="1" a="1"/>
  <c r="TY31" i="1" a="1"/>
  <c r="XA31" i="1" a="1"/>
  <c r="FY34" i="1" a="1"/>
  <c r="FZ47" i="1" a="1"/>
  <c r="GA44" i="1" a="1"/>
  <c r="FD48" i="1" a="1"/>
  <c r="TY28" i="1" a="1"/>
  <c r="XA28" i="1" a="1"/>
  <c r="FC53" i="1" a="1"/>
  <c r="XC52" i="1" a="1"/>
  <c r="UA52" i="1" a="1"/>
  <c r="XC42" i="1" a="1"/>
  <c r="UA42" i="1" a="1"/>
  <c r="FC33" i="1" a="1"/>
  <c r="XC33" i="1" a="1"/>
  <c r="UA33" i="1" a="1"/>
  <c r="AAD52" i="1" a="1"/>
  <c r="AAA52" i="1" a="1"/>
  <c r="UA51" i="1" a="1"/>
  <c r="XC51" i="1" a="1"/>
  <c r="AAA46" i="1" a="1"/>
  <c r="AAD46" i="1" a="1"/>
  <c r="FD38" i="1" a="1"/>
  <c r="TY45" i="1" a="1"/>
  <c r="XA45" i="1" a="1"/>
  <c r="FD31" i="1" a="1"/>
  <c r="XC55" i="1" a="1"/>
  <c r="UA55" i="1" a="1"/>
  <c r="FZ57" i="1" a="1"/>
  <c r="XC49" i="1" a="1"/>
  <c r="UA49" i="1" a="1"/>
  <c r="FZ46" i="1" a="1"/>
  <c r="FD37" i="1" a="1"/>
  <c r="FD30" i="1" a="1"/>
  <c r="TX38" i="1" a="1"/>
  <c r="WZ38" i="1" a="1"/>
  <c r="TZ54" i="1" a="1"/>
  <c r="XB54" i="1" a="1"/>
  <c r="TW44" i="1" a="1"/>
  <c r="WY44" i="1" a="1"/>
  <c r="FY40" i="1" a="1"/>
  <c r="FY32" i="1" a="1"/>
  <c r="FZ51" i="1" a="1"/>
  <c r="FC57" i="1" a="1"/>
  <c r="XC43" i="1" a="1"/>
  <c r="UA43" i="1" a="1"/>
  <c r="FD45" i="1" a="1"/>
  <c r="XC38" i="1" a="1"/>
  <c r="UA38" i="1" a="1"/>
  <c r="AAD49" i="1" a="1"/>
  <c r="AAA49" i="1" a="1"/>
  <c r="FC42" i="1" a="1"/>
  <c r="FD49" i="1" a="1"/>
  <c r="TZ34" i="1" a="1"/>
  <c r="XB34" i="1" a="1"/>
  <c r="AAA48" i="1" a="1"/>
  <c r="AAD48" i="1" a="1"/>
  <c r="TX30" i="1" a="1"/>
  <c r="WZ30" i="1" a="1"/>
  <c r="TX47" i="1" a="1"/>
  <c r="WZ47" i="1" a="1"/>
  <c r="FY29" i="1" a="1"/>
  <c r="NV28" i="1" a="1"/>
  <c r="ABC48" i="1" a="1"/>
  <c r="NV54" i="1" a="1"/>
  <c r="NV34" i="1" a="1"/>
  <c r="NV29" i="1" a="1"/>
  <c r="EQ47" i="1" a="1"/>
  <c r="NV39" i="1" a="1"/>
  <c r="ABC47" i="1" a="1"/>
  <c r="NV43" i="1" a="1"/>
  <c r="ABC51" i="1" a="1"/>
  <c r="NV33" i="1" a="1"/>
  <c r="NV50" i="1" a="1"/>
  <c r="XB30" i="1" a="1"/>
  <c r="TZ30" i="1" a="1"/>
  <c r="TW36" i="1" a="1"/>
  <c r="WY36" i="1" a="1"/>
  <c r="WY57" i="1" a="1"/>
  <c r="TW57" i="1" a="1"/>
  <c r="FY36" i="1" a="1"/>
  <c r="FY35" i="1" a="1"/>
  <c r="FZ40" i="1" a="1"/>
  <c r="FD34" i="1" a="1"/>
  <c r="FC31" i="1" a="1"/>
  <c r="UA31" i="1" a="1"/>
  <c r="XC31" i="1" a="1"/>
  <c r="GA48" i="1" a="1"/>
  <c r="TX48" i="1" a="1"/>
  <c r="WZ48" i="1" a="1"/>
  <c r="TW48" i="1" a="1"/>
  <c r="WY48" i="1" a="1"/>
  <c r="XA57" i="1" a="1"/>
  <c r="TY57" i="1" a="1"/>
  <c r="GA39" i="1" a="1"/>
  <c r="WZ31" i="1" a="1"/>
  <c r="TX31" i="1" a="1"/>
  <c r="TZ38" i="1" a="1"/>
  <c r="XB38" i="1" a="1"/>
  <c r="XA35" i="1" a="1"/>
  <c r="TY35" i="1" a="1"/>
  <c r="XA48" i="1" a="1"/>
  <c r="TY48" i="1" a="1"/>
  <c r="FD35" i="1" a="1"/>
  <c r="GA38" i="1" a="1"/>
  <c r="TZ31" i="1" a="1"/>
  <c r="XB31" i="1" a="1"/>
  <c r="TW50" i="1" a="1"/>
  <c r="WY50" i="1" a="1"/>
  <c r="XA44" i="1" a="1"/>
  <c r="TY44" i="1" a="1"/>
  <c r="FY38" i="1" a="1"/>
  <c r="FZ31" i="1" a="1"/>
  <c r="FY39" i="1" a="1"/>
  <c r="UA32" i="1" a="1"/>
  <c r="XC32" i="1" a="1"/>
  <c r="FZ56" i="1" a="1"/>
  <c r="FD57" i="1" a="1"/>
  <c r="WY53" i="1" a="1"/>
  <c r="TW53" i="1" a="1"/>
  <c r="GA56" i="1" a="1"/>
  <c r="GA43" i="1" a="1"/>
  <c r="FZ49" i="1" a="1"/>
  <c r="TW38" i="1" a="1"/>
  <c r="WY38" i="1" a="1"/>
  <c r="FC28" i="1" a="1"/>
  <c r="TX33" i="1" a="1"/>
  <c r="WZ33" i="1" a="1"/>
  <c r="FC49" i="1" a="1"/>
  <c r="XB53" i="1" a="1"/>
  <c r="TZ53" i="1" a="1"/>
  <c r="WY39" i="1" a="1"/>
  <c r="TW39" i="1" a="1"/>
  <c r="FY53" i="1" a="1"/>
  <c r="FY50" i="1" a="1"/>
  <c r="FZ50" i="1" a="1"/>
  <c r="XA52" i="1" a="1"/>
  <c r="TY52" i="1" a="1"/>
  <c r="AAD29" i="1" a="1"/>
  <c r="AAA29" i="1" a="1"/>
  <c r="FZ39" i="1" a="1"/>
  <c r="WY30" i="1" a="1"/>
  <c r="TW30" i="1" a="1"/>
  <c r="AAD57" i="1" a="1"/>
  <c r="AAA57" i="1" a="1"/>
  <c r="GA47" i="1" a="1"/>
  <c r="FC51" i="1" a="1"/>
  <c r="FC47" i="1" a="1"/>
  <c r="WZ36" i="1" a="1"/>
  <c r="TX36" i="1" a="1"/>
  <c r="XA46" i="1" a="1"/>
  <c r="TY46" i="1" a="1"/>
  <c r="XB33" i="1" a="1"/>
  <c r="TZ33" i="1" a="1"/>
  <c r="FD47" i="1" a="1"/>
  <c r="TZ55" i="1" a="1"/>
  <c r="XB55" i="1" a="1"/>
  <c r="TW51" i="1" a="1"/>
  <c r="WY51" i="1" a="1"/>
  <c r="WY49" i="1" a="1"/>
  <c r="TW49" i="1" a="1"/>
  <c r="FY54" i="1" a="1"/>
  <c r="FY31" i="1" a="1"/>
  <c r="FZ38" i="1" a="1"/>
  <c r="AAD28" i="1" a="1"/>
  <c r="AAA28" i="1" a="1"/>
  <c r="XA29" i="1" a="1"/>
  <c r="TY29" i="1" a="1"/>
  <c r="UA39" i="1" a="1"/>
  <c r="XC39" i="1" a="1"/>
  <c r="AAA34" i="1" a="1"/>
  <c r="AAD34" i="1" a="1"/>
  <c r="AAD32" i="1" a="1"/>
  <c r="AAA32" i="1" a="1"/>
  <c r="WZ46" i="1" a="1"/>
  <c r="TX46" i="1" a="1"/>
  <c r="GA31" i="1" a="1"/>
  <c r="FD33" i="1" a="1"/>
  <c r="FC44" i="1" a="1"/>
  <c r="UA57" i="1" a="1"/>
  <c r="XC57" i="1" a="1"/>
  <c r="FY52" i="1" a="1"/>
  <c r="XC28" i="1" a="1"/>
  <c r="UA28" i="1" a="1"/>
  <c r="GA54" i="1" a="1"/>
  <c r="AAD37" i="1" a="1"/>
  <c r="AAA37" i="1" a="1"/>
  <c r="UA44" i="1" a="1"/>
  <c r="XC44" i="1" a="1"/>
  <c r="WZ50" i="1" a="1"/>
  <c r="TX50" i="1" a="1"/>
  <c r="QL23" i="1" a="1"/>
  <c r="NE41" i="1" a="1"/>
  <c r="NT41" i="1" a="1"/>
  <c r="PM23" i="1" a="1"/>
  <c r="NV36" i="1" a="1"/>
  <c r="ABC55" i="1" a="1"/>
  <c r="ABC35" i="1" a="1"/>
  <c r="NV38" i="1" a="1"/>
  <c r="EQ39" i="1" a="1"/>
  <c r="NV47" i="1" a="1"/>
  <c r="NV42" i="1" a="1"/>
  <c r="DV42" i="1" a="1"/>
  <c r="NV48" i="1" a="1"/>
  <c r="DV53" i="1" a="1"/>
  <c r="ABC57" i="1" a="1"/>
  <c r="TZ37" i="1" a="1"/>
  <c r="XB37" i="1" a="1"/>
  <c r="TW32" i="1" a="1"/>
  <c r="WY32" i="1" a="1"/>
  <c r="XA42" i="1" a="1"/>
  <c r="TY42" i="1" a="1"/>
  <c r="FY42" i="1" a="1"/>
  <c r="FZ35" i="1" a="1"/>
  <c r="FZ34" i="1" a="1"/>
  <c r="AAD53" i="1" a="1"/>
  <c r="AAA53" i="1" a="1"/>
  <c r="FC52" i="1" a="1"/>
  <c r="GA32" i="1" a="1"/>
  <c r="TX37" i="1" a="1"/>
  <c r="WZ37" i="1" a="1"/>
  <c r="GA57" i="1" a="1"/>
  <c r="AAD33" i="1" a="1"/>
  <c r="AAA33" i="1" a="1"/>
  <c r="TZ50" i="1" a="1"/>
  <c r="XB50" i="1" a="1"/>
  <c r="FC37" i="1" a="1"/>
  <c r="FZ43" i="1" a="1"/>
  <c r="FD39" i="1" a="1"/>
  <c r="AAA30" i="1" a="1"/>
  <c r="AAD30" i="1" a="1"/>
  <c r="FD44" i="1" a="1"/>
  <c r="TW55" i="1" a="1"/>
  <c r="WY55" i="1" a="1"/>
  <c r="TY47" i="1" a="1"/>
  <c r="XA47" i="1" a="1"/>
  <c r="GA37" i="1" a="1"/>
  <c r="TZ28" i="1" a="1"/>
  <c r="XB28" i="1" a="1"/>
  <c r="TW37" i="1" a="1"/>
  <c r="WY37" i="1" a="1"/>
  <c r="TY38" i="1" a="1"/>
  <c r="XA38" i="1" a="1"/>
  <c r="FY56" i="1" a="1"/>
  <c r="FZ55" i="1" a="1"/>
  <c r="AAA44" i="1" a="1"/>
  <c r="AAD44" i="1" a="1"/>
  <c r="TX55" i="1" a="1"/>
  <c r="WZ55" i="1" a="1"/>
  <c r="AAA38" i="1" a="1"/>
  <c r="AAD38" i="1" a="1"/>
  <c r="GA49" i="1" a="1"/>
  <c r="TX35" i="1" a="1"/>
  <c r="WZ35" i="1" a="1"/>
  <c r="FC36" i="1" a="1"/>
  <c r="FD51" i="1" a="1"/>
  <c r="FD55" i="1" a="1"/>
  <c r="AAD42" i="1" a="1"/>
  <c r="AAA42" i="1" a="1"/>
  <c r="FD46" i="1" a="1"/>
  <c r="XA34" i="1" a="1"/>
  <c r="TY34" i="1" a="1"/>
  <c r="TZ43" i="1" a="1"/>
  <c r="XB43" i="1" a="1"/>
  <c r="XC56" i="1" a="1"/>
  <c r="UA56" i="1" a="1"/>
  <c r="WZ32" i="1" a="1"/>
  <c r="TX32" i="1" a="1"/>
  <c r="XC29" i="1" a="1"/>
  <c r="UA29" i="1" a="1"/>
  <c r="FY57" i="1" a="1"/>
  <c r="FD36" i="1" a="1"/>
  <c r="WY28" i="1" a="1"/>
  <c r="TW28" i="1" a="1"/>
  <c r="WY45" i="1" a="1"/>
  <c r="TW45" i="1" a="1"/>
  <c r="FY55" i="1" a="1"/>
  <c r="FZ32" i="1" a="1"/>
  <c r="FZ30" i="1" a="1"/>
  <c r="FC35" i="1" a="1"/>
  <c r="WZ44" i="1" a="1"/>
  <c r="TX44" i="1" a="1"/>
  <c r="XC50" i="1" a="1"/>
  <c r="UA50" i="1" a="1"/>
  <c r="TZ56" i="1" a="1"/>
  <c r="XB56" i="1" a="1"/>
  <c r="GA35" i="1" a="1"/>
  <c r="XA33" i="1" a="1"/>
  <c r="TY33" i="1" a="1"/>
  <c r="FD29" i="1" a="1"/>
  <c r="FD52" i="1" a="1"/>
  <c r="GA52" i="1" a="1"/>
  <c r="GA42" i="1" a="1"/>
  <c r="TX51" i="1" a="1"/>
  <c r="WZ51" i="1" a="1"/>
  <c r="XB46" i="1" a="1"/>
  <c r="TZ46" i="1" a="1"/>
  <c r="WY40" i="1" a="1"/>
  <c r="TW40" i="1" a="1"/>
  <c r="TW33" i="1" a="1"/>
  <c r="WY33" i="1" a="1"/>
  <c r="FY30" i="1" a="1"/>
  <c r="FZ36" i="1" a="1"/>
  <c r="FZ48" i="1" a="1"/>
  <c r="FY43" i="1" a="1"/>
  <c r="UA40" i="1" a="1"/>
  <c r="XC40" i="1" a="1"/>
  <c r="XB32" i="1" a="1"/>
  <c r="TZ32" i="1" a="1"/>
  <c r="AAA47" i="1" a="1"/>
  <c r="AAD47" i="1" a="1"/>
  <c r="GA30" i="1" a="1"/>
  <c r="FD54" i="1" a="1"/>
  <c r="FC45" i="1" a="1"/>
  <c r="FC43" i="1" a="1"/>
  <c r="UA53" i="1" a="1"/>
  <c r="XC53" i="1" a="1"/>
  <c r="GA34" i="1" a="1"/>
  <c r="TY56" i="1" a="1"/>
  <c r="XA56" i="1" a="1"/>
  <c r="FC48" i="1" a="1"/>
  <c r="XC35" i="1" a="1"/>
  <c r="UA35" i="1" a="1"/>
  <c r="GA36" i="1" a="1"/>
  <c r="TY41" i="1" a="1"/>
  <c r="XA41" i="1" a="1"/>
  <c r="XC46" i="1" a="1"/>
  <c r="UA46" i="1" a="1"/>
  <c r="TX45" i="1" a="1"/>
  <c r="WZ45" i="1" a="1"/>
  <c r="TX53" i="1" a="1"/>
  <c r="WZ53" i="1" a="1"/>
  <c r="NV51" i="1" a="1"/>
  <c r="ABC34" i="1" a="1"/>
  <c r="ABC53" i="1" a="1"/>
  <c r="ABC44" i="1" a="1"/>
  <c r="WZ53" i="1" l="1"/>
  <c r="TX53" i="1"/>
  <c r="WZ45" i="1"/>
  <c r="TX45" i="1"/>
  <c r="UA46" i="1"/>
  <c r="XC46" i="1"/>
  <c r="XA41" i="1"/>
  <c r="TY41" i="1"/>
  <c r="GA36" i="1"/>
  <c r="UA35" i="1"/>
  <c r="XC35" i="1"/>
  <c r="FC48" i="1"/>
  <c r="XA56" i="1"/>
  <c r="TY56" i="1"/>
  <c r="GA34" i="1"/>
  <c r="XC53" i="1"/>
  <c r="UA53" i="1"/>
  <c r="FC43" i="1"/>
  <c r="FC45" i="1"/>
  <c r="FD54" i="1"/>
  <c r="GA30" i="1"/>
  <c r="AAD47" i="1"/>
  <c r="BH55" i="18" s="1"/>
  <c r="AAA47" i="1"/>
  <c r="TZ32" i="1"/>
  <c r="XB32" i="1"/>
  <c r="XC40" i="1"/>
  <c r="UA40" i="1"/>
  <c r="FY43" i="1"/>
  <c r="FZ48" i="1"/>
  <c r="FZ36" i="1"/>
  <c r="FY30" i="1"/>
  <c r="WY33" i="1"/>
  <c r="TW33" i="1"/>
  <c r="TW40" i="1"/>
  <c r="WY40" i="1"/>
  <c r="TZ46" i="1"/>
  <c r="XB46" i="1"/>
  <c r="WZ51" i="1"/>
  <c r="TX51" i="1"/>
  <c r="GA42" i="1"/>
  <c r="GA52" i="1"/>
  <c r="FD52" i="1"/>
  <c r="FD29" i="1"/>
  <c r="TY33" i="1"/>
  <c r="XA33" i="1"/>
  <c r="GA35" i="1"/>
  <c r="XB56" i="1"/>
  <c r="TZ56" i="1"/>
  <c r="UA50" i="1"/>
  <c r="XC50" i="1"/>
  <c r="TX44" i="1"/>
  <c r="WZ44" i="1"/>
  <c r="FC35" i="1"/>
  <c r="FZ30" i="1"/>
  <c r="FZ32" i="1"/>
  <c r="FY55" i="1"/>
  <c r="TW45" i="1"/>
  <c r="WY45" i="1"/>
  <c r="TW28" i="1"/>
  <c r="WY28" i="1"/>
  <c r="FD36" i="1"/>
  <c r="FY57" i="1"/>
  <c r="UA29" i="1"/>
  <c r="XC29" i="1"/>
  <c r="TX32" i="1"/>
  <c r="WZ32" i="1"/>
  <c r="UA56" i="1"/>
  <c r="XC56" i="1"/>
  <c r="XB43" i="1"/>
  <c r="TZ43" i="1"/>
  <c r="TY34" i="1"/>
  <c r="XA34" i="1"/>
  <c r="FD46" i="1"/>
  <c r="AAA42" i="1"/>
  <c r="AAD42" i="1"/>
  <c r="BH50" i="18" s="1"/>
  <c r="FD55" i="1"/>
  <c r="FD51" i="1"/>
  <c r="FC36" i="1"/>
  <c r="WZ35" i="1"/>
  <c r="TX35" i="1"/>
  <c r="GA49" i="1"/>
  <c r="AAD38" i="1"/>
  <c r="BH46" i="18" s="1"/>
  <c r="AAA38" i="1"/>
  <c r="WZ55" i="1"/>
  <c r="TX55" i="1"/>
  <c r="AAD44" i="1"/>
  <c r="BH52" i="18" s="1"/>
  <c r="AAA44" i="1"/>
  <c r="FZ55" i="1"/>
  <c r="FY56" i="1"/>
  <c r="XA38" i="1"/>
  <c r="TY38" i="1"/>
  <c r="WY37" i="1"/>
  <c r="TW37" i="1"/>
  <c r="XB28" i="1"/>
  <c r="TZ28" i="1"/>
  <c r="GA37" i="1"/>
  <c r="XA47" i="1"/>
  <c r="TY47" i="1"/>
  <c r="WY55" i="1"/>
  <c r="TW55" i="1"/>
  <c r="FD44" i="1"/>
  <c r="AAD30" i="1"/>
  <c r="BH38" i="18" s="1"/>
  <c r="AAA30" i="1"/>
  <c r="FD39" i="1"/>
  <c r="FZ43" i="1"/>
  <c r="FC37" i="1"/>
  <c r="XB50" i="1"/>
  <c r="TZ50" i="1"/>
  <c r="AAA33" i="1"/>
  <c r="AAD33" i="1"/>
  <c r="BH41" i="18" s="1"/>
  <c r="GA57" i="1"/>
  <c r="WZ37" i="1"/>
  <c r="TX37" i="1"/>
  <c r="GA32" i="1"/>
  <c r="FC52" i="1"/>
  <c r="AAA53" i="1"/>
  <c r="AAD53" i="1"/>
  <c r="BH61" i="18" s="1"/>
  <c r="FZ34" i="1"/>
  <c r="FZ35" i="1"/>
  <c r="FY42" i="1"/>
  <c r="TY42" i="1"/>
  <c r="XA42" i="1"/>
  <c r="WY32" i="1"/>
  <c r="TW32" i="1"/>
  <c r="XB37" i="1"/>
  <c r="TZ37" i="1"/>
  <c r="PM23" i="1"/>
  <c r="NT41" i="1"/>
  <c r="ON41" i="1" s="1"/>
  <c r="OU41" i="1" s="1"/>
  <c r="NE41" i="1"/>
  <c r="QL23" i="1"/>
  <c r="TX50" i="1"/>
  <c r="WZ50" i="1"/>
  <c r="XC44" i="1"/>
  <c r="UA44" i="1"/>
  <c r="AAA37" i="1"/>
  <c r="AAD37" i="1"/>
  <c r="BH45" i="18" s="1"/>
  <c r="GA54" i="1"/>
  <c r="UA28" i="1"/>
  <c r="XC28" i="1"/>
  <c r="FY52" i="1"/>
  <c r="XC57" i="1"/>
  <c r="UA57" i="1"/>
  <c r="FC44" i="1"/>
  <c r="FD33" i="1"/>
  <c r="GA31" i="1"/>
  <c r="TX46" i="1"/>
  <c r="WZ46" i="1"/>
  <c r="AAA32" i="1"/>
  <c r="AAD32" i="1"/>
  <c r="BH40" i="18" s="1"/>
  <c r="AAD34" i="1"/>
  <c r="BH42" i="18" s="1"/>
  <c r="AAA34" i="1"/>
  <c r="XC39" i="1"/>
  <c r="UA39" i="1"/>
  <c r="TY29" i="1"/>
  <c r="XA29" i="1"/>
  <c r="AAA28" i="1"/>
  <c r="AAD28" i="1"/>
  <c r="BH36" i="18" s="1"/>
  <c r="FZ38" i="1"/>
  <c r="FY31" i="1"/>
  <c r="FY54" i="1"/>
  <c r="TW49" i="1"/>
  <c r="WY49" i="1"/>
  <c r="WY51" i="1"/>
  <c r="TW51" i="1"/>
  <c r="XB55" i="1"/>
  <c r="TZ55" i="1"/>
  <c r="FD47" i="1"/>
  <c r="TZ33" i="1"/>
  <c r="XB33" i="1"/>
  <c r="TY46" i="1"/>
  <c r="XA46" i="1"/>
  <c r="TX36" i="1"/>
  <c r="WZ36" i="1"/>
  <c r="FC47" i="1"/>
  <c r="FC51" i="1"/>
  <c r="GA47" i="1"/>
  <c r="AAA57" i="1"/>
  <c r="AAD57" i="1"/>
  <c r="BH65" i="18" s="1"/>
  <c r="TW30" i="1"/>
  <c r="WY30" i="1"/>
  <c r="FZ39" i="1"/>
  <c r="AAA29" i="1"/>
  <c r="AAD29" i="1"/>
  <c r="BH37" i="18" s="1"/>
  <c r="TY52" i="1"/>
  <c r="XA52" i="1"/>
  <c r="FZ50" i="1"/>
  <c r="FY50" i="1"/>
  <c r="FY53" i="1"/>
  <c r="TW39" i="1"/>
  <c r="WY39" i="1"/>
  <c r="TZ53" i="1"/>
  <c r="XB53" i="1"/>
  <c r="FC49" i="1"/>
  <c r="WZ33" i="1"/>
  <c r="TX33" i="1"/>
  <c r="FC28" i="1"/>
  <c r="WY38" i="1"/>
  <c r="TW38" i="1"/>
  <c r="FZ49" i="1"/>
  <c r="GA43" i="1"/>
  <c r="GA56" i="1"/>
  <c r="TW53" i="1"/>
  <c r="WY53" i="1"/>
  <c r="FD57" i="1"/>
  <c r="FZ56" i="1"/>
  <c r="XC32" i="1"/>
  <c r="UA32" i="1"/>
  <c r="FY39" i="1"/>
  <c r="FZ31" i="1"/>
  <c r="FY38" i="1"/>
  <c r="TY44" i="1"/>
  <c r="XA44" i="1"/>
  <c r="WY50" i="1"/>
  <c r="TW50" i="1"/>
  <c r="XB31" i="1"/>
  <c r="TZ31" i="1"/>
  <c r="GA38" i="1"/>
  <c r="FD35" i="1"/>
  <c r="TY48" i="1"/>
  <c r="XA48" i="1"/>
  <c r="TY35" i="1"/>
  <c r="XA35" i="1"/>
  <c r="XB38" i="1"/>
  <c r="TZ38" i="1"/>
  <c r="TX31" i="1"/>
  <c r="WZ31" i="1"/>
  <c r="GA39" i="1"/>
  <c r="TY57" i="1"/>
  <c r="XA57" i="1"/>
  <c r="WY48" i="1"/>
  <c r="TW48" i="1"/>
  <c r="WZ48" i="1"/>
  <c r="TX48" i="1"/>
  <c r="GA48" i="1"/>
  <c r="XC31" i="1"/>
  <c r="UA31" i="1"/>
  <c r="FC31" i="1"/>
  <c r="FD34" i="1"/>
  <c r="FZ40" i="1"/>
  <c r="FY35" i="1"/>
  <c r="FY36" i="1"/>
  <c r="TW57" i="1"/>
  <c r="WY57" i="1"/>
  <c r="WY36" i="1"/>
  <c r="TW36" i="1"/>
  <c r="TZ30" i="1"/>
  <c r="XB30" i="1"/>
  <c r="FY29" i="1"/>
  <c r="WZ47" i="1"/>
  <c r="TX47" i="1"/>
  <c r="WZ30" i="1"/>
  <c r="TX30" i="1"/>
  <c r="AAD48" i="1"/>
  <c r="BH56" i="18" s="1"/>
  <c r="AAA48" i="1"/>
  <c r="XB34" i="1"/>
  <c r="TZ34" i="1"/>
  <c r="FD49" i="1"/>
  <c r="FC42" i="1"/>
  <c r="AAA49" i="1"/>
  <c r="AAD49" i="1"/>
  <c r="BH57" i="18" s="1"/>
  <c r="UA38" i="1"/>
  <c r="XC38" i="1"/>
  <c r="FD45" i="1"/>
  <c r="UA43" i="1"/>
  <c r="XC43" i="1"/>
  <c r="FC57" i="1"/>
  <c r="FZ51" i="1"/>
  <c r="FY32" i="1"/>
  <c r="FY40" i="1"/>
  <c r="WY44" i="1"/>
  <c r="TW44" i="1"/>
  <c r="XB54" i="1"/>
  <c r="TZ54" i="1"/>
  <c r="WZ38" i="1"/>
  <c r="TX38" i="1"/>
  <c r="FD30" i="1"/>
  <c r="FD37" i="1"/>
  <c r="FZ46" i="1"/>
  <c r="UA49" i="1"/>
  <c r="XC49" i="1"/>
  <c r="FZ57" i="1"/>
  <c r="UA55" i="1"/>
  <c r="XC55" i="1"/>
  <c r="FD31" i="1"/>
  <c r="XA45" i="1"/>
  <c r="TY45" i="1"/>
  <c r="FD38" i="1"/>
  <c r="AAD46" i="1"/>
  <c r="BH54" i="18" s="1"/>
  <c r="AAA46" i="1"/>
  <c r="XC51" i="1"/>
  <c r="UA51" i="1"/>
  <c r="AAA52" i="1"/>
  <c r="AAD52" i="1"/>
  <c r="BH60" i="18" s="1"/>
  <c r="UA33" i="1"/>
  <c r="XC33" i="1"/>
  <c r="FC33" i="1"/>
  <c r="UA42" i="1"/>
  <c r="XC42" i="1"/>
  <c r="UA52" i="1"/>
  <c r="XC52" i="1"/>
  <c r="FC53" i="1"/>
  <c r="XA28" i="1"/>
  <c r="TY28" i="1"/>
  <c r="FD48" i="1"/>
  <c r="GA44" i="1"/>
  <c r="FZ47" i="1"/>
  <c r="FY34" i="1"/>
  <c r="XA31" i="1"/>
  <c r="TY31" i="1"/>
  <c r="TW31" i="1"/>
  <c r="WY31" i="1"/>
  <c r="TZ41" i="1"/>
  <c r="XB41" i="1"/>
  <c r="GA29" i="1"/>
  <c r="FC30" i="1"/>
  <c r="XA32" i="1"/>
  <c r="TY32" i="1"/>
  <c r="AAA35" i="1"/>
  <c r="AAD35" i="1"/>
  <c r="BH43" i="18" s="1"/>
  <c r="XB51" i="1"/>
  <c r="TZ51" i="1"/>
  <c r="UA37" i="1"/>
  <c r="XC37" i="1"/>
  <c r="UA47" i="1"/>
  <c r="XC47" i="1"/>
  <c r="FZ53" i="1"/>
  <c r="FC38" i="1"/>
  <c r="FZ28" i="1"/>
  <c r="FY45" i="1"/>
  <c r="XA43" i="1"/>
  <c r="TY43" i="1"/>
  <c r="TW42" i="1"/>
  <c r="WY42" i="1"/>
  <c r="FD32" i="1"/>
  <c r="GA40" i="1"/>
  <c r="AAA54" i="1"/>
  <c r="AAD54" i="1"/>
  <c r="BH62" i="18" s="1"/>
  <c r="FZ44" i="1"/>
  <c r="FZ37" i="1"/>
  <c r="FY33" i="1"/>
  <c r="TW46" i="1"/>
  <c r="WY46" i="1"/>
  <c r="WY29" i="1"/>
  <c r="TW29" i="1"/>
  <c r="TZ39" i="1"/>
  <c r="XB39" i="1"/>
  <c r="TX41" i="1"/>
  <c r="WZ41" i="1"/>
  <c r="FC39" i="1"/>
  <c r="UA41" i="1"/>
  <c r="XC41" i="1"/>
  <c r="TX28" i="1"/>
  <c r="WZ28" i="1"/>
  <c r="TX49" i="1"/>
  <c r="WZ49" i="1"/>
  <c r="GA28" i="1"/>
  <c r="FC54" i="1"/>
  <c r="FG54" i="1" s="1"/>
  <c r="FI54" i="1" s="1"/>
  <c r="AAA40" i="1"/>
  <c r="AAD40" i="1"/>
  <c r="BH48" i="18" s="1"/>
  <c r="FD43" i="1"/>
  <c r="TY36" i="1"/>
  <c r="XA36" i="1"/>
  <c r="FD50" i="1"/>
  <c r="GA55" i="1"/>
  <c r="AAD43" i="1"/>
  <c r="BH51" i="18" s="1"/>
  <c r="AAA43" i="1"/>
  <c r="UA54" i="1"/>
  <c r="XC54" i="1"/>
  <c r="TY53" i="1"/>
  <c r="XA53" i="1"/>
  <c r="FZ54" i="1"/>
  <c r="FY49" i="1"/>
  <c r="FY41" i="1"/>
  <c r="TW41" i="1"/>
  <c r="WY41" i="1"/>
  <c r="WY52" i="1"/>
  <c r="TW52" i="1"/>
  <c r="XB29" i="1"/>
  <c r="TZ29" i="1"/>
  <c r="NR23" i="1"/>
  <c r="NT49" i="1"/>
  <c r="ON49" i="1" s="1"/>
  <c r="OU49" i="1" s="1"/>
  <c r="NE49" i="1"/>
  <c r="NE56" i="1"/>
  <c r="NT56" i="1"/>
  <c r="ON56" i="1" s="1"/>
  <c r="OU56" i="1" s="1"/>
  <c r="TZ49" i="1"/>
  <c r="XB49" i="1"/>
  <c r="UA36" i="1"/>
  <c r="XC36" i="1"/>
  <c r="TX52" i="1"/>
  <c r="WZ52" i="1"/>
  <c r="XA55" i="1"/>
  <c r="TY55" i="1"/>
  <c r="FD40" i="1"/>
  <c r="FC40" i="1"/>
  <c r="FC46" i="1"/>
  <c r="TZ47" i="1"/>
  <c r="XB47" i="1"/>
  <c r="GA45" i="1"/>
  <c r="XB48" i="1"/>
  <c r="TZ48" i="1"/>
  <c r="XA50" i="1"/>
  <c r="TY50" i="1"/>
  <c r="FY47" i="1"/>
  <c r="UA30" i="1"/>
  <c r="XC30" i="1"/>
  <c r="TY30" i="1"/>
  <c r="XA30" i="1"/>
  <c r="WY56" i="1"/>
  <c r="TW56" i="1"/>
  <c r="FZ33" i="1"/>
  <c r="FY48" i="1"/>
  <c r="TY40" i="1"/>
  <c r="XA40" i="1"/>
  <c r="WY35" i="1"/>
  <c r="TW35" i="1"/>
  <c r="TZ40" i="1"/>
  <c r="XB40" i="1"/>
  <c r="FC56" i="1"/>
  <c r="FC50" i="1"/>
  <c r="FG50" i="1" s="1"/>
  <c r="WZ40" i="1"/>
  <c r="TX40" i="1"/>
  <c r="AAA56" i="1"/>
  <c r="AAD56" i="1"/>
  <c r="BH64" i="18" s="1"/>
  <c r="WZ34" i="1"/>
  <c r="TX34" i="1"/>
  <c r="AAD45" i="1"/>
  <c r="BH53" i="18" s="1"/>
  <c r="AAA45" i="1"/>
  <c r="FD53" i="1"/>
  <c r="TX42" i="1"/>
  <c r="WZ42" i="1"/>
  <c r="AAA41" i="1"/>
  <c r="AAD41" i="1"/>
  <c r="BH49" i="18" s="1"/>
  <c r="XB36" i="1"/>
  <c r="TZ36" i="1"/>
  <c r="AAA31" i="1"/>
  <c r="AAD31" i="1"/>
  <c r="BH39" i="18" s="1"/>
  <c r="GA33" i="1"/>
  <c r="XB57" i="1"/>
  <c r="TZ57" i="1"/>
  <c r="TY51" i="1"/>
  <c r="XA51" i="1"/>
  <c r="AAA50" i="1"/>
  <c r="AAD50" i="1"/>
  <c r="BH58" i="18" s="1"/>
  <c r="FZ45" i="1"/>
  <c r="FZ52" i="1"/>
  <c r="FY46" i="1"/>
  <c r="XA39" i="1"/>
  <c r="TY39" i="1"/>
  <c r="WY54" i="1"/>
  <c r="TW54" i="1"/>
  <c r="TZ45" i="1"/>
  <c r="XB45" i="1"/>
  <c r="TX56" i="1"/>
  <c r="WZ56" i="1"/>
  <c r="WZ29" i="1"/>
  <c r="TX29" i="1"/>
  <c r="GA53" i="1"/>
  <c r="TX57" i="1"/>
  <c r="WZ57" i="1"/>
  <c r="TZ52" i="1"/>
  <c r="XB52" i="1"/>
  <c r="AAD39" i="1"/>
  <c r="BH47" i="18" s="1"/>
  <c r="AAA39" i="1"/>
  <c r="TX54" i="1"/>
  <c r="WZ54" i="1"/>
  <c r="AAD36" i="1"/>
  <c r="BH44" i="18" s="1"/>
  <c r="AAA36" i="1"/>
  <c r="WZ43" i="1"/>
  <c r="TX43" i="1"/>
  <c r="FC41" i="1"/>
  <c r="FD41" i="1"/>
  <c r="FC32" i="1"/>
  <c r="FZ42" i="1"/>
  <c r="FY44" i="1"/>
  <c r="FY37" i="1"/>
  <c r="WY34" i="1"/>
  <c r="TW34" i="1"/>
  <c r="TW47" i="1"/>
  <c r="WY47" i="1"/>
  <c r="TZ35" i="1"/>
  <c r="XB35" i="1"/>
  <c r="FC34" i="1"/>
  <c r="FD28" i="1"/>
  <c r="AAA51" i="1"/>
  <c r="AAD51" i="1"/>
  <c r="BH59" i="18" s="1"/>
  <c r="GA41" i="1"/>
  <c r="GA46" i="1"/>
  <c r="UA34" i="1"/>
  <c r="XC34" i="1"/>
  <c r="FC55" i="1"/>
  <c r="GA50" i="1"/>
  <c r="XC45" i="1"/>
  <c r="UA45" i="1"/>
  <c r="FD56" i="1"/>
  <c r="XA49" i="1"/>
  <c r="TY49" i="1"/>
  <c r="XA54" i="1"/>
  <c r="TY54" i="1"/>
  <c r="FC29" i="1"/>
  <c r="FD42" i="1"/>
  <c r="GA51" i="1"/>
  <c r="TX39" i="1"/>
  <c r="WZ39" i="1"/>
  <c r="FY28" i="1"/>
  <c r="AAA55" i="1"/>
  <c r="AAD55" i="1"/>
  <c r="BH63" i="18" s="1"/>
  <c r="UA48" i="1"/>
  <c r="XC48" i="1"/>
  <c r="XB42" i="1"/>
  <c r="TZ42" i="1"/>
  <c r="FZ41" i="1"/>
  <c r="FZ29" i="1"/>
  <c r="FY51" i="1"/>
  <c r="TY37" i="1"/>
  <c r="XA37" i="1"/>
  <c r="TW43" i="1"/>
  <c r="WY43" i="1"/>
  <c r="XB44" i="1"/>
  <c r="TZ44" i="1"/>
  <c r="EJ50" i="1"/>
  <c r="EK50" i="1"/>
  <c r="NN30" i="1"/>
  <c r="NQ30" i="1"/>
  <c r="NQ45" i="1"/>
  <c r="NN45" i="1"/>
  <c r="NQ57" i="1"/>
  <c r="NN57" i="1"/>
  <c r="NQ33" i="1"/>
  <c r="NN33" i="1"/>
  <c r="NN40" i="1"/>
  <c r="NQ40" i="1"/>
  <c r="NQ37" i="1"/>
  <c r="NN37" i="1"/>
  <c r="NQ42" i="1"/>
  <c r="NN42" i="1"/>
  <c r="NQ55" i="1"/>
  <c r="NN55" i="1"/>
  <c r="EJ49" i="1"/>
  <c r="EK49" i="1"/>
  <c r="PI50" i="1"/>
  <c r="PL50" i="1"/>
  <c r="PL46" i="1"/>
  <c r="PI46" i="1"/>
  <c r="PL43" i="1"/>
  <c r="PI43" i="1"/>
  <c r="PL44" i="1"/>
  <c r="PI44" i="1"/>
  <c r="PI38" i="1"/>
  <c r="PL38" i="1"/>
  <c r="PL34" i="1"/>
  <c r="PI34" i="1"/>
  <c r="PL39" i="1"/>
  <c r="PI39" i="1"/>
  <c r="EJ34" i="1"/>
  <c r="EK34" i="1"/>
  <c r="GT31" i="1"/>
  <c r="HD31" i="1" s="1"/>
  <c r="EO31" i="1"/>
  <c r="KE49" i="1"/>
  <c r="KB49" i="1" a="1"/>
  <c r="KB49" i="1" s="1"/>
  <c r="KC49" i="1" s="1" a="1"/>
  <c r="KC49" i="1" s="1"/>
  <c r="KD49" i="1" s="1" a="1"/>
  <c r="KD49" i="1" s="1"/>
  <c r="MY57" i="1"/>
  <c r="NB57" i="1" a="1"/>
  <c r="NB57" i="1" s="1"/>
  <c r="AL33" i="18"/>
  <c r="EK28" i="1"/>
  <c r="EJ28" i="1"/>
  <c r="QH50" i="1"/>
  <c r="QK50" i="1"/>
  <c r="QH44" i="1"/>
  <c r="QK44" i="1"/>
  <c r="QH45" i="1"/>
  <c r="QK45" i="1"/>
  <c r="QH32" i="1"/>
  <c r="QK32" i="1"/>
  <c r="QK57" i="1"/>
  <c r="QH57" i="1"/>
  <c r="QK41" i="1"/>
  <c r="QH41" i="1"/>
  <c r="QH36" i="1"/>
  <c r="QK36" i="1"/>
  <c r="EK42" i="1"/>
  <c r="EJ42" i="1"/>
  <c r="EJ45" i="1"/>
  <c r="EK45" i="1"/>
  <c r="EK30" i="1"/>
  <c r="EJ30" i="1"/>
  <c r="KE52" i="1"/>
  <c r="KB52" i="1" a="1"/>
  <c r="KB52" i="1" s="1"/>
  <c r="KC52" i="1" s="1" a="1"/>
  <c r="KC52" i="1" s="1"/>
  <c r="KD52" i="1" s="1" a="1"/>
  <c r="KD52" i="1" s="1"/>
  <c r="KB47" i="1" a="1"/>
  <c r="KB47" i="1" s="1"/>
  <c r="KC47" i="1" s="1" a="1"/>
  <c r="KC47" i="1" s="1"/>
  <c r="KD47" i="1" s="1" a="1"/>
  <c r="KD47" i="1" s="1"/>
  <c r="KE47" i="1"/>
  <c r="KE57" i="1"/>
  <c r="KB57" i="1" a="1"/>
  <c r="KB57" i="1" s="1"/>
  <c r="KC57" i="1" s="1" a="1"/>
  <c r="KC57" i="1" s="1"/>
  <c r="KD57" i="1" s="1" a="1"/>
  <c r="KD57" i="1" s="1"/>
  <c r="QV47" i="1"/>
  <c r="EJ51" i="1"/>
  <c r="EK51" i="1"/>
  <c r="EJ37" i="1"/>
  <c r="EK37" i="1"/>
  <c r="NQ41" i="1"/>
  <c r="NN41" i="1"/>
  <c r="NQ53" i="1"/>
  <c r="NN53" i="1"/>
  <c r="NQ49" i="1"/>
  <c r="NN49" i="1"/>
  <c r="NQ44" i="1"/>
  <c r="NN44" i="1"/>
  <c r="NN50" i="1"/>
  <c r="NQ50" i="1"/>
  <c r="NQ47" i="1"/>
  <c r="NN47" i="1"/>
  <c r="NQ38" i="1"/>
  <c r="NN38" i="1"/>
  <c r="EJ44" i="1"/>
  <c r="EK44" i="1"/>
  <c r="PL40" i="1"/>
  <c r="PI40" i="1"/>
  <c r="PI30" i="1"/>
  <c r="PL30" i="1"/>
  <c r="PI57" i="1"/>
  <c r="PL57" i="1"/>
  <c r="PL35" i="1"/>
  <c r="PI35" i="1"/>
  <c r="PI49" i="1"/>
  <c r="PL49" i="1"/>
  <c r="PI53" i="1"/>
  <c r="PL53" i="1"/>
  <c r="PL36" i="1"/>
  <c r="PI36" i="1"/>
  <c r="KE37" i="1"/>
  <c r="KB37" i="1" a="1"/>
  <c r="KB37" i="1" s="1"/>
  <c r="KC37" i="1" s="1" a="1"/>
  <c r="KC37" i="1" s="1"/>
  <c r="KD37" i="1" s="1" a="1"/>
  <c r="KD37" i="1" s="1"/>
  <c r="KE56" i="1"/>
  <c r="KB56" i="1" a="1"/>
  <c r="KB56" i="1" s="1"/>
  <c r="KC56" i="1" s="1" a="1"/>
  <c r="KC56" i="1" s="1"/>
  <c r="KD56" i="1" s="1" a="1"/>
  <c r="KD56" i="1" s="1"/>
  <c r="KB50" i="1" a="1"/>
  <c r="KB50" i="1" s="1"/>
  <c r="KC50" i="1" s="1" a="1"/>
  <c r="KC50" i="1" s="1"/>
  <c r="KD50" i="1" s="1" a="1"/>
  <c r="KD50" i="1" s="1"/>
  <c r="KE50" i="1"/>
  <c r="QH28" i="1"/>
  <c r="QK28" i="1"/>
  <c r="QK49" i="1"/>
  <c r="QH49" i="1"/>
  <c r="QH52" i="1"/>
  <c r="QK52" i="1"/>
  <c r="QK53" i="1"/>
  <c r="QH53" i="1"/>
  <c r="QH40" i="1"/>
  <c r="QK40" i="1"/>
  <c r="QH30" i="1"/>
  <c r="QK30" i="1"/>
  <c r="QH38" i="1"/>
  <c r="QK38" i="1"/>
  <c r="EK43" i="1"/>
  <c r="EJ43" i="1"/>
  <c r="EK52" i="1"/>
  <c r="EJ52" i="1"/>
  <c r="EJ29" i="1"/>
  <c r="EK29" i="1"/>
  <c r="NN34" i="1"/>
  <c r="NQ34" i="1"/>
  <c r="NQ43" i="1"/>
  <c r="NN43" i="1"/>
  <c r="NN31" i="1"/>
  <c r="NQ31" i="1"/>
  <c r="NN36" i="1"/>
  <c r="NQ36" i="1"/>
  <c r="NQ46" i="1"/>
  <c r="NN46" i="1"/>
  <c r="NQ51" i="1"/>
  <c r="NN51" i="1"/>
  <c r="NN52" i="1"/>
  <c r="NQ52" i="1"/>
  <c r="NN35" i="1"/>
  <c r="NQ35" i="1"/>
  <c r="EK40" i="1"/>
  <c r="EJ40" i="1"/>
  <c r="KB30" i="1" a="1"/>
  <c r="KB30" i="1" s="1"/>
  <c r="KC30" i="1" s="1" a="1"/>
  <c r="KC30" i="1" s="1"/>
  <c r="KD30" i="1" s="1" a="1"/>
  <c r="KD30" i="1" s="1"/>
  <c r="KE30" i="1"/>
  <c r="PI41" i="1"/>
  <c r="PL41" i="1"/>
  <c r="PL45" i="1"/>
  <c r="PI45" i="1"/>
  <c r="PL32" i="1"/>
  <c r="PI32" i="1"/>
  <c r="PI42" i="1"/>
  <c r="PL42" i="1"/>
  <c r="PL33" i="1"/>
  <c r="PI33" i="1"/>
  <c r="PI37" i="1"/>
  <c r="PL37" i="1"/>
  <c r="PI55" i="1"/>
  <c r="PL55" i="1"/>
  <c r="PI56" i="1"/>
  <c r="PL56" i="1"/>
  <c r="GT48" i="1"/>
  <c r="HD48" i="1" s="1"/>
  <c r="EO48" i="1"/>
  <c r="KB31" i="1" a="1"/>
  <c r="KB31" i="1" s="1"/>
  <c r="KC31" i="1" s="1" a="1"/>
  <c r="KC31" i="1" s="1"/>
  <c r="KE31" i="1"/>
  <c r="EK56" i="1"/>
  <c r="EJ56" i="1"/>
  <c r="KB46" i="1" a="1"/>
  <c r="KB46" i="1" s="1"/>
  <c r="KC46" i="1" s="1" a="1"/>
  <c r="KC46" i="1" s="1"/>
  <c r="KD46" i="1" s="1" a="1"/>
  <c r="KD46" i="1" s="1"/>
  <c r="KE46" i="1"/>
  <c r="KB29" i="1" a="1"/>
  <c r="KB29" i="1" s="1"/>
  <c r="KC29" i="1" s="1" a="1"/>
  <c r="KC29" i="1" s="1"/>
  <c r="KD29" i="1" s="1" a="1"/>
  <c r="KD29" i="1" s="1"/>
  <c r="KE29" i="1"/>
  <c r="KB55" i="1" a="1"/>
  <c r="KB55" i="1" s="1"/>
  <c r="KC55" i="1" s="1" a="1"/>
  <c r="KC55" i="1" s="1"/>
  <c r="KD55" i="1" s="1" a="1"/>
  <c r="KD55" i="1" s="1"/>
  <c r="KE55" i="1"/>
  <c r="QH55" i="1"/>
  <c r="QK55" i="1"/>
  <c r="QH43" i="1"/>
  <c r="QK43" i="1"/>
  <c r="QH56" i="1"/>
  <c r="QK56" i="1"/>
  <c r="QH46" i="1"/>
  <c r="QK46" i="1"/>
  <c r="QK42" i="1"/>
  <c r="QH42" i="1"/>
  <c r="QK29" i="1"/>
  <c r="QH29" i="1"/>
  <c r="QH35" i="1"/>
  <c r="QK35" i="1"/>
  <c r="QH48" i="1"/>
  <c r="QK48" i="1"/>
  <c r="EJ55" i="1"/>
  <c r="EK55" i="1"/>
  <c r="KE43" i="1"/>
  <c r="KB43" i="1" a="1"/>
  <c r="KB43" i="1" s="1"/>
  <c r="KC43" i="1" s="1" a="1"/>
  <c r="KC43" i="1" s="1"/>
  <c r="KD43" i="1" s="1" a="1"/>
  <c r="KD43" i="1" s="1"/>
  <c r="KB40" i="1" a="1"/>
  <c r="KB40" i="1" s="1"/>
  <c r="KC40" i="1" s="1" a="1"/>
  <c r="KC40" i="1" s="1"/>
  <c r="KD40" i="1" s="1" a="1"/>
  <c r="KD40" i="1" s="1"/>
  <c r="KE40" i="1"/>
  <c r="KB54" i="1" a="1"/>
  <c r="KB54" i="1" s="1"/>
  <c r="KC54" i="1" s="1" a="1"/>
  <c r="KC54" i="1" s="1"/>
  <c r="KD54" i="1" s="1" a="1"/>
  <c r="KD54" i="1" s="1"/>
  <c r="KE54" i="1"/>
  <c r="KE33" i="1"/>
  <c r="KB33" i="1" a="1"/>
  <c r="KB33" i="1" s="1"/>
  <c r="KC33" i="1" s="1" a="1"/>
  <c r="KC33" i="1" s="1"/>
  <c r="KD33" i="1" s="1" a="1"/>
  <c r="KD33" i="1" s="1"/>
  <c r="KB41" i="1" a="1"/>
  <c r="KB41" i="1" s="1"/>
  <c r="KC41" i="1" s="1" a="1"/>
  <c r="KC41" i="1" s="1"/>
  <c r="KD41" i="1" s="1" a="1"/>
  <c r="KD41" i="1" s="1"/>
  <c r="KE41" i="1"/>
  <c r="EK38" i="1"/>
  <c r="EJ38" i="1"/>
  <c r="NQ39" i="1"/>
  <c r="NN39" i="1"/>
  <c r="NN56" i="1"/>
  <c r="NQ56" i="1"/>
  <c r="NQ32" i="1"/>
  <c r="NN32" i="1"/>
  <c r="NN29" i="1"/>
  <c r="NQ29" i="1"/>
  <c r="NQ54" i="1"/>
  <c r="NN54" i="1"/>
  <c r="NQ48" i="1"/>
  <c r="NN48" i="1"/>
  <c r="NQ28" i="1"/>
  <c r="NN28" i="1"/>
  <c r="PI28" i="1"/>
  <c r="PL28" i="1"/>
  <c r="PL29" i="1"/>
  <c r="PI29" i="1"/>
  <c r="PL51" i="1"/>
  <c r="PI51" i="1"/>
  <c r="PL52" i="1"/>
  <c r="PI52" i="1"/>
  <c r="PI31" i="1"/>
  <c r="PL31" i="1"/>
  <c r="PI54" i="1"/>
  <c r="PL54" i="1"/>
  <c r="PI47" i="1"/>
  <c r="PL47" i="1"/>
  <c r="PL48" i="1"/>
  <c r="PI48" i="1"/>
  <c r="KB34" i="1" a="1"/>
  <c r="KB34" i="1" s="1"/>
  <c r="KC34" i="1" s="1" a="1"/>
  <c r="KC34" i="1" s="1"/>
  <c r="KD34" i="1" s="1" a="1"/>
  <c r="KD34" i="1" s="1"/>
  <c r="KE34" i="1"/>
  <c r="EK36" i="1"/>
  <c r="EJ36" i="1"/>
  <c r="KE39" i="1"/>
  <c r="KB39" i="1" a="1"/>
  <c r="KB39" i="1" s="1"/>
  <c r="KC39" i="1" s="1" a="1"/>
  <c r="KC39" i="1" s="1"/>
  <c r="KD39" i="1" s="1" a="1"/>
  <c r="KD39" i="1" s="1"/>
  <c r="KB38" i="1" a="1"/>
  <c r="KB38" i="1" s="1"/>
  <c r="KC38" i="1" s="1" a="1"/>
  <c r="KC38" i="1" s="1"/>
  <c r="KD38" i="1" s="1" a="1"/>
  <c r="KD38" i="1" s="1"/>
  <c r="KE38" i="1"/>
  <c r="QK47" i="1"/>
  <c r="QH47" i="1"/>
  <c r="QK54" i="1"/>
  <c r="QH54" i="1"/>
  <c r="QH31" i="1"/>
  <c r="QK31" i="1"/>
  <c r="QH51" i="1"/>
  <c r="QK51" i="1"/>
  <c r="QK33" i="1"/>
  <c r="QH33" i="1"/>
  <c r="QK34" i="1"/>
  <c r="QH34" i="1"/>
  <c r="QH37" i="1"/>
  <c r="QK37" i="1"/>
  <c r="QH39" i="1"/>
  <c r="QK39" i="1"/>
  <c r="EO53" i="1"/>
  <c r="GT53" i="1"/>
  <c r="HD53" i="1" s="1"/>
  <c r="EK33" i="1"/>
  <c r="EJ33" i="1"/>
  <c r="KE51" i="1"/>
  <c r="KB51" i="1" a="1"/>
  <c r="KB51" i="1" s="1"/>
  <c r="KC51" i="1" s="1" a="1"/>
  <c r="KC51" i="1" s="1"/>
  <c r="KD51" i="1" s="1" a="1"/>
  <c r="KD51" i="1" s="1"/>
  <c r="QV45" i="1"/>
  <c r="GE38" i="1"/>
  <c r="DT41" i="1"/>
  <c r="EC41" i="1" s="1"/>
  <c r="GD46" i="1"/>
  <c r="FG53" i="1"/>
  <c r="NV28" i="1"/>
  <c r="OJ28" i="1" s="1"/>
  <c r="GD38" i="1"/>
  <c r="GF38" i="1" s="1"/>
  <c r="GC38" i="1" s="1"/>
  <c r="GD47" i="1"/>
  <c r="GF47" i="1" s="1"/>
  <c r="FG37" i="1"/>
  <c r="FG33" i="1"/>
  <c r="FI33" i="1" s="1"/>
  <c r="FG55" i="1"/>
  <c r="GD39" i="1"/>
  <c r="GF39" i="1" s="1"/>
  <c r="GC39" i="1" s="1"/>
  <c r="FG49" i="1"/>
  <c r="FI49" i="1" s="1"/>
  <c r="FF49" i="1" s="1"/>
  <c r="FG44" i="1"/>
  <c r="FI44" i="1" s="1"/>
  <c r="FE44" i="1" s="1"/>
  <c r="FG36" i="1"/>
  <c r="FI36" i="1" s="1"/>
  <c r="FF36" i="1" s="1"/>
  <c r="GD53" i="1"/>
  <c r="GF53" i="1" s="1"/>
  <c r="GD43" i="1"/>
  <c r="GF43" i="1" s="1"/>
  <c r="GD28" i="1"/>
  <c r="GF28" i="1" s="1"/>
  <c r="GB28" i="1" s="1"/>
  <c r="FG46" i="1"/>
  <c r="FI46" i="1" s="1"/>
  <c r="FG43" i="1"/>
  <c r="FI43" i="1" s="1"/>
  <c r="FE43" i="1" s="1"/>
  <c r="FG28" i="1"/>
  <c r="FI28" i="1" s="1"/>
  <c r="FE28" i="1" s="1"/>
  <c r="FG40" i="1"/>
  <c r="FI40" i="1" s="1"/>
  <c r="FF40" i="1" s="1"/>
  <c r="FG34" i="1"/>
  <c r="FG32" i="1"/>
  <c r="GD45" i="1"/>
  <c r="GF45" i="1" s="1"/>
  <c r="GB45" i="1" s="1"/>
  <c r="GD33" i="1"/>
  <c r="FG51" i="1"/>
  <c r="FI51" i="1" s="1"/>
  <c r="GD52" i="1"/>
  <c r="GF52" i="1" s="1"/>
  <c r="FG41" i="1"/>
  <c r="FI41" i="1" s="1"/>
  <c r="FE41" i="1" s="1"/>
  <c r="KM35" i="1" a="1"/>
  <c r="KM35" i="1" s="1"/>
  <c r="FI55" i="1"/>
  <c r="FF55" i="1" s="1"/>
  <c r="GD32" i="1"/>
  <c r="GF32" i="1" s="1"/>
  <c r="GB32" i="1" s="1"/>
  <c r="GD48" i="1"/>
  <c r="GF48" i="1" s="1"/>
  <c r="EQ46" i="1"/>
  <c r="ABC54" i="1"/>
  <c r="EQ41" i="1"/>
  <c r="DV30" i="1"/>
  <c r="ABC57" i="1"/>
  <c r="DV33" i="1"/>
  <c r="DV28" i="1"/>
  <c r="NV43" i="1"/>
  <c r="OJ43" i="1" s="1"/>
  <c r="NV50" i="1"/>
  <c r="OJ50" i="1" s="1"/>
  <c r="NV52" i="1"/>
  <c r="OJ52" i="1" s="1"/>
  <c r="NV33" i="1"/>
  <c r="OJ33" i="1" s="1"/>
  <c r="NV47" i="1"/>
  <c r="OJ47" i="1" s="1"/>
  <c r="NV35" i="1"/>
  <c r="OJ35" i="1" s="1"/>
  <c r="LH32" i="1"/>
  <c r="ABC32" i="1"/>
  <c r="ABC56" i="1"/>
  <c r="DV50" i="1"/>
  <c r="ABC51" i="1"/>
  <c r="ABC47" i="1"/>
  <c r="EQ32" i="1"/>
  <c r="DV53" i="1"/>
  <c r="DV32" i="1"/>
  <c r="DV45" i="1"/>
  <c r="ABC33" i="1"/>
  <c r="ABC45" i="1"/>
  <c r="ABC44" i="1"/>
  <c r="EQ54" i="1"/>
  <c r="NV48" i="1"/>
  <c r="OJ48" i="1" s="1"/>
  <c r="NV34" i="1"/>
  <c r="OJ34" i="1" s="1"/>
  <c r="NV39" i="1"/>
  <c r="OJ39" i="1" s="1"/>
  <c r="NV55" i="1"/>
  <c r="OJ55" i="1" s="1"/>
  <c r="NV53" i="1"/>
  <c r="OJ53" i="1" s="1"/>
  <c r="ABC41" i="1"/>
  <c r="EQ39" i="1"/>
  <c r="ABC31" i="1"/>
  <c r="ABC43" i="1"/>
  <c r="ABC42" i="1"/>
  <c r="ABC30" i="1"/>
  <c r="ABC40" i="1"/>
  <c r="DV42" i="1"/>
  <c r="ABC37" i="1"/>
  <c r="ABC38" i="1"/>
  <c r="DV55" i="1"/>
  <c r="EQ47" i="1"/>
  <c r="DV36" i="1"/>
  <c r="EQ35" i="1"/>
  <c r="NV38" i="1"/>
  <c r="OJ38" i="1" s="1"/>
  <c r="NV54" i="1"/>
  <c r="OJ54" i="1" s="1"/>
  <c r="NV31" i="1"/>
  <c r="OJ31" i="1" s="1"/>
  <c r="NV37" i="1"/>
  <c r="OJ37" i="1" s="1"/>
  <c r="ABC29" i="1"/>
  <c r="DV57" i="1"/>
  <c r="ABC46" i="1"/>
  <c r="ABC52" i="1"/>
  <c r="ABC39" i="1"/>
  <c r="ABC53" i="1"/>
  <c r="ABC35" i="1"/>
  <c r="ABC55" i="1"/>
  <c r="ABC48" i="1"/>
  <c r="ABC28" i="1"/>
  <c r="ABC34" i="1"/>
  <c r="ABC50" i="1"/>
  <c r="ABC36" i="1"/>
  <c r="EQ57" i="1"/>
  <c r="ABC49" i="1"/>
  <c r="NV29" i="1"/>
  <c r="OJ29" i="1" s="1"/>
  <c r="NV51" i="1"/>
  <c r="OJ51" i="1" s="1"/>
  <c r="NV46" i="1"/>
  <c r="OJ46" i="1" s="1"/>
  <c r="NV42" i="1"/>
  <c r="OJ42" i="1" s="1"/>
  <c r="NV30" i="1"/>
  <c r="OJ30" i="1" s="1"/>
  <c r="NV40" i="1"/>
  <c r="OJ40" i="1" s="1"/>
  <c r="NV36" i="1"/>
  <c r="OJ36" i="1" s="1"/>
  <c r="EY46" i="1"/>
  <c r="EX46" i="1"/>
  <c r="GS54" i="1"/>
  <c r="DT54" i="1"/>
  <c r="HC53" i="1"/>
  <c r="EX41" i="1"/>
  <c r="GS34" i="1"/>
  <c r="DT34" i="1"/>
  <c r="ED30" i="1"/>
  <c r="EC30" i="1"/>
  <c r="DT51" i="1"/>
  <c r="GS51" i="1"/>
  <c r="DT35" i="1"/>
  <c r="GS35" i="1"/>
  <c r="GS46" i="1"/>
  <c r="DT46" i="1"/>
  <c r="HC45" i="1"/>
  <c r="DT38" i="1"/>
  <c r="GS38" i="1"/>
  <c r="EC33" i="1"/>
  <c r="ED33" i="1"/>
  <c r="EC28" i="1"/>
  <c r="N22" i="21" s="1" a="1"/>
  <c r="N22" i="21" s="1"/>
  <c r="ED28" i="1"/>
  <c r="O22" i="21" s="1" a="1"/>
  <c r="O22" i="21" s="1"/>
  <c r="KM28" i="1" a="1"/>
  <c r="KM28" i="1" s="1"/>
  <c r="XH36" i="1"/>
  <c r="XJ36" i="1" s="1"/>
  <c r="XF36" i="1"/>
  <c r="XO36" i="1" s="1"/>
  <c r="XE36" i="1"/>
  <c r="XN36" i="1" s="1"/>
  <c r="XD36" i="1"/>
  <c r="UD29" i="1"/>
  <c r="UC29" i="1"/>
  <c r="UB29" i="1"/>
  <c r="AL51" i="18"/>
  <c r="AL58" i="18"/>
  <c r="AL60" i="18"/>
  <c r="UB31" i="1"/>
  <c r="UD31" i="1"/>
  <c r="UC31" i="1"/>
  <c r="FE36" i="1"/>
  <c r="UB55" i="1"/>
  <c r="UD55" i="1"/>
  <c r="UC55" i="1"/>
  <c r="GF46" i="1"/>
  <c r="UC41" i="1"/>
  <c r="UD41" i="1"/>
  <c r="UB41" i="1"/>
  <c r="UB40" i="1"/>
  <c r="UD40" i="1"/>
  <c r="UC40" i="1"/>
  <c r="FF46" i="1"/>
  <c r="FE46" i="1"/>
  <c r="XF39" i="1"/>
  <c r="XO39" i="1" s="1"/>
  <c r="XE39" i="1"/>
  <c r="XN39" i="1" s="1"/>
  <c r="XD39" i="1"/>
  <c r="XH39" i="1"/>
  <c r="XJ39" i="1" s="1"/>
  <c r="UB52" i="1"/>
  <c r="UC52" i="1"/>
  <c r="UD52" i="1"/>
  <c r="UD33" i="1"/>
  <c r="UB33" i="1"/>
  <c r="UC33" i="1"/>
  <c r="XE49" i="1"/>
  <c r="XN49" i="1" s="1"/>
  <c r="XH49" i="1"/>
  <c r="XJ49" i="1" s="1"/>
  <c r="XD49" i="1"/>
  <c r="XF49" i="1"/>
  <c r="XO49" i="1" s="1"/>
  <c r="AL41" i="18"/>
  <c r="UB56" i="1"/>
  <c r="UD56" i="1"/>
  <c r="UC56" i="1"/>
  <c r="XH28" i="1"/>
  <c r="XJ28" i="1" s="1"/>
  <c r="XD28" i="1"/>
  <c r="XE28" i="1"/>
  <c r="XN28" i="1" s="1"/>
  <c r="XF28" i="1"/>
  <c r="XO28" i="1" s="1"/>
  <c r="XE38" i="1"/>
  <c r="XN38" i="1" s="1"/>
  <c r="XF38" i="1"/>
  <c r="XO38" i="1" s="1"/>
  <c r="XD38" i="1"/>
  <c r="XH38" i="1"/>
  <c r="XJ38" i="1" s="1"/>
  <c r="XD50" i="1"/>
  <c r="XH50" i="1"/>
  <c r="XJ50" i="1" s="1"/>
  <c r="XF50" i="1"/>
  <c r="XO50" i="1" s="1"/>
  <c r="XE50" i="1"/>
  <c r="XN50" i="1" s="1"/>
  <c r="XF45" i="1"/>
  <c r="XO45" i="1" s="1"/>
  <c r="XE45" i="1"/>
  <c r="XN45" i="1" s="1"/>
  <c r="XH45" i="1"/>
  <c r="XJ45" i="1" s="1"/>
  <c r="XD45" i="1"/>
  <c r="FE40" i="1"/>
  <c r="UD34" i="1"/>
  <c r="UB34" i="1"/>
  <c r="UC34" i="1"/>
  <c r="AL55" i="18"/>
  <c r="AL43" i="18"/>
  <c r="KK45" i="1" a="1"/>
  <c r="KK45" i="1" s="1"/>
  <c r="KJ45" i="1"/>
  <c r="KM45" i="1" s="1" a="1"/>
  <c r="KM45" i="1" s="1"/>
  <c r="LB45" i="1" s="1"/>
  <c r="LE45" i="1" s="1"/>
  <c r="ED50" i="1"/>
  <c r="EC50" i="1"/>
  <c r="KK44" i="1" a="1"/>
  <c r="KK44" i="1" s="1"/>
  <c r="KJ44" i="1"/>
  <c r="KM44" i="1" s="1" a="1"/>
  <c r="KM44" i="1" s="1"/>
  <c r="LB44" i="1" s="1"/>
  <c r="LE44" i="1" s="1"/>
  <c r="DT29" i="1"/>
  <c r="GS29" i="1"/>
  <c r="GS39" i="1"/>
  <c r="DT39" i="1"/>
  <c r="EX32" i="1"/>
  <c r="EY32" i="1"/>
  <c r="EC53" i="1"/>
  <c r="ED53" i="1"/>
  <c r="EC32" i="1"/>
  <c r="ED32" i="1"/>
  <c r="KN32" i="1" a="1"/>
  <c r="KN32" i="1" s="1"/>
  <c r="LC32" i="1" s="1"/>
  <c r="LF32" i="1" s="1"/>
  <c r="HC42" i="1"/>
  <c r="EC45" i="1"/>
  <c r="ED45" i="1"/>
  <c r="KD31" i="1" a="1"/>
  <c r="KD31" i="1" s="1"/>
  <c r="HC55" i="1"/>
  <c r="EX54" i="1"/>
  <c r="EY54" i="1"/>
  <c r="GS47" i="1"/>
  <c r="DT47" i="1"/>
  <c r="DT44" i="1"/>
  <c r="GS44" i="1"/>
  <c r="FI50" i="1"/>
  <c r="UD36" i="1"/>
  <c r="UC36" i="1"/>
  <c r="UB36" i="1"/>
  <c r="XD43" i="1"/>
  <c r="XH43" i="1"/>
  <c r="XJ43" i="1" s="1"/>
  <c r="XE43" i="1"/>
  <c r="XN43" i="1" s="1"/>
  <c r="XF43" i="1"/>
  <c r="XO43" i="1" s="1"/>
  <c r="GD30" i="1"/>
  <c r="GF30" i="1" s="1"/>
  <c r="UB32" i="1"/>
  <c r="UC32" i="1"/>
  <c r="UD32" i="1"/>
  <c r="FG52" i="1"/>
  <c r="FI52" i="1" s="1"/>
  <c r="GD41" i="1"/>
  <c r="GF41" i="1" s="1"/>
  <c r="AL56" i="18"/>
  <c r="UB51" i="1"/>
  <c r="UD51" i="1"/>
  <c r="UC51" i="1"/>
  <c r="XH31" i="1"/>
  <c r="XJ31" i="1" s="1"/>
  <c r="XE31" i="1"/>
  <c r="XN31" i="1" s="1"/>
  <c r="XD31" i="1"/>
  <c r="XF31" i="1"/>
  <c r="XO31" i="1" s="1"/>
  <c r="GD57" i="1"/>
  <c r="GF57" i="1" s="1"/>
  <c r="OR32" i="1"/>
  <c r="UD53" i="1"/>
  <c r="UC53" i="1"/>
  <c r="UB53" i="1"/>
  <c r="UD47" i="1"/>
  <c r="UC47" i="1"/>
  <c r="UB47" i="1"/>
  <c r="UD42" i="1"/>
  <c r="UB42" i="1"/>
  <c r="UC42" i="1"/>
  <c r="XH40" i="1"/>
  <c r="XJ40" i="1" s="1"/>
  <c r="XE40" i="1"/>
  <c r="XN40" i="1" s="1"/>
  <c r="XD40" i="1"/>
  <c r="XF40" i="1"/>
  <c r="XO40" i="1" s="1"/>
  <c r="AL42" i="18"/>
  <c r="AL47" i="18"/>
  <c r="GD40" i="1"/>
  <c r="GF40" i="1" s="1"/>
  <c r="XD37" i="1"/>
  <c r="XE37" i="1"/>
  <c r="XN37" i="1" s="1"/>
  <c r="XF37" i="1"/>
  <c r="XO37" i="1" s="1"/>
  <c r="XH37" i="1"/>
  <c r="XJ37" i="1" s="1"/>
  <c r="FG38" i="1"/>
  <c r="FI38" i="1" s="1"/>
  <c r="XF48" i="1"/>
  <c r="XO48" i="1" s="1"/>
  <c r="XH48" i="1"/>
  <c r="XJ48" i="1" s="1"/>
  <c r="XE48" i="1"/>
  <c r="XN48" i="1" s="1"/>
  <c r="XD48" i="1"/>
  <c r="GD36" i="1"/>
  <c r="GF36" i="1" s="1"/>
  <c r="XH52" i="1"/>
  <c r="XJ52" i="1" s="1"/>
  <c r="XD52" i="1"/>
  <c r="XF52" i="1"/>
  <c r="XO52" i="1" s="1"/>
  <c r="XE52" i="1"/>
  <c r="XN52" i="1" s="1"/>
  <c r="XF33" i="1"/>
  <c r="XO33" i="1" s="1"/>
  <c r="XH33" i="1"/>
  <c r="XJ33" i="1" s="1"/>
  <c r="XE33" i="1"/>
  <c r="XN33" i="1" s="1"/>
  <c r="XD33" i="1"/>
  <c r="GD44" i="1"/>
  <c r="GF44" i="1" s="1"/>
  <c r="FG42" i="1"/>
  <c r="FI42" i="1" s="1"/>
  <c r="XD44" i="1"/>
  <c r="XE44" i="1"/>
  <c r="XN44" i="1" s="1"/>
  <c r="XF44" i="1"/>
  <c r="XO44" i="1" s="1"/>
  <c r="XH44" i="1"/>
  <c r="XJ44" i="1" s="1"/>
  <c r="OR44" i="1"/>
  <c r="GD54" i="1"/>
  <c r="GF54" i="1" s="1"/>
  <c r="UD38" i="1"/>
  <c r="UC38" i="1"/>
  <c r="UB38" i="1"/>
  <c r="FG35" i="1"/>
  <c r="FI35" i="1" s="1"/>
  <c r="UB45" i="1"/>
  <c r="UD45" i="1"/>
  <c r="UC45" i="1"/>
  <c r="GD56" i="1"/>
  <c r="GF56" i="1" s="1"/>
  <c r="GD29" i="1"/>
  <c r="GF29" i="1" s="1"/>
  <c r="FG29" i="1"/>
  <c r="FI29" i="1" s="1"/>
  <c r="FG47" i="1"/>
  <c r="FI47" i="1" s="1"/>
  <c r="AL63" i="18"/>
  <c r="AL61" i="18"/>
  <c r="HC50" i="1"/>
  <c r="KK42" i="1" a="1"/>
  <c r="KK42" i="1" s="1"/>
  <c r="KL42" i="1" s="1" a="1"/>
  <c r="KL42" i="1" s="1"/>
  <c r="KJ42" i="1"/>
  <c r="KM42" i="1" s="1" a="1"/>
  <c r="KM42" i="1" s="1"/>
  <c r="LB42" i="1" s="1"/>
  <c r="LE42" i="1" s="1"/>
  <c r="EY39" i="1"/>
  <c r="EX39" i="1"/>
  <c r="GS40" i="1"/>
  <c r="DT40" i="1"/>
  <c r="HC32" i="1"/>
  <c r="GS43" i="1"/>
  <c r="DT43" i="1"/>
  <c r="EC42" i="1"/>
  <c r="DT56" i="1"/>
  <c r="GS56" i="1"/>
  <c r="ED55" i="1"/>
  <c r="EC55" i="1"/>
  <c r="EY47" i="1"/>
  <c r="EX47" i="1"/>
  <c r="EC36" i="1"/>
  <c r="ED36" i="1"/>
  <c r="EY35" i="1"/>
  <c r="EX35" i="1"/>
  <c r="KM48" i="1" a="1"/>
  <c r="KM48" i="1" s="1"/>
  <c r="KM53" i="1" a="1"/>
  <c r="KM53" i="1" s="1"/>
  <c r="GD49" i="1"/>
  <c r="GF49" i="1" s="1"/>
  <c r="UD43" i="1"/>
  <c r="UC43" i="1"/>
  <c r="UB43" i="1"/>
  <c r="XE32" i="1"/>
  <c r="XN32" i="1" s="1"/>
  <c r="XD32" i="1"/>
  <c r="XF32" i="1"/>
  <c r="XO32" i="1" s="1"/>
  <c r="XH32" i="1"/>
  <c r="XJ32" i="1" s="1"/>
  <c r="GD42" i="1"/>
  <c r="GF42" i="1" s="1"/>
  <c r="XD30" i="1"/>
  <c r="XE30" i="1"/>
  <c r="XN30" i="1" s="1"/>
  <c r="XF30" i="1"/>
  <c r="XO30" i="1" s="1"/>
  <c r="XH30" i="1"/>
  <c r="XJ30" i="1" s="1"/>
  <c r="AL46" i="18"/>
  <c r="AL62" i="18"/>
  <c r="AL39" i="18"/>
  <c r="XD51" i="1"/>
  <c r="XH51" i="1"/>
  <c r="XJ51" i="1" s="1"/>
  <c r="XF51" i="1"/>
  <c r="XO51" i="1" s="1"/>
  <c r="XE51" i="1"/>
  <c r="XN51" i="1" s="1"/>
  <c r="GD31" i="1"/>
  <c r="GF31" i="1" s="1"/>
  <c r="OR45" i="1"/>
  <c r="GC47" i="1"/>
  <c r="GB47" i="1"/>
  <c r="UD46" i="1"/>
  <c r="UC46" i="1"/>
  <c r="UB46" i="1"/>
  <c r="FF54" i="1"/>
  <c r="FE54" i="1"/>
  <c r="XH53" i="1"/>
  <c r="XJ53" i="1" s="1"/>
  <c r="XF53" i="1"/>
  <c r="XO53" i="1" s="1"/>
  <c r="XD53" i="1"/>
  <c r="XE53" i="1"/>
  <c r="XN53" i="1" s="1"/>
  <c r="XD47" i="1"/>
  <c r="XF47" i="1"/>
  <c r="XO47" i="1" s="1"/>
  <c r="XE47" i="1"/>
  <c r="XN47" i="1" s="1"/>
  <c r="XH47" i="1"/>
  <c r="XJ47" i="1" s="1"/>
  <c r="XH42" i="1"/>
  <c r="XJ42" i="1" s="1"/>
  <c r="XD42" i="1"/>
  <c r="XF42" i="1"/>
  <c r="XO42" i="1" s="1"/>
  <c r="XE42" i="1"/>
  <c r="XN42" i="1" s="1"/>
  <c r="UD35" i="1"/>
  <c r="UB35" i="1"/>
  <c r="UC35" i="1"/>
  <c r="UD37" i="1"/>
  <c r="UB37" i="1"/>
  <c r="UC37" i="1"/>
  <c r="XH54" i="1"/>
  <c r="XJ54" i="1" s="1"/>
  <c r="XE54" i="1"/>
  <c r="XN54" i="1" s="1"/>
  <c r="XF54" i="1"/>
  <c r="XO54" i="1" s="1"/>
  <c r="XD54" i="1"/>
  <c r="FI37" i="1"/>
  <c r="UC48" i="1"/>
  <c r="UD48" i="1"/>
  <c r="UB48" i="1"/>
  <c r="OR28" i="1"/>
  <c r="UB57" i="1"/>
  <c r="UD57" i="1"/>
  <c r="UC57" i="1"/>
  <c r="FG56" i="1"/>
  <c r="FI56" i="1" s="1"/>
  <c r="GD55" i="1"/>
  <c r="GF55" i="1" s="1"/>
  <c r="UD44" i="1"/>
  <c r="UB44" i="1"/>
  <c r="UC44" i="1"/>
  <c r="GD37" i="1"/>
  <c r="GF37" i="1" s="1"/>
  <c r="FG57" i="1"/>
  <c r="FI57" i="1" s="1"/>
  <c r="AL45" i="18"/>
  <c r="ED57" i="1"/>
  <c r="EC57" i="1"/>
  <c r="KJ36" i="1"/>
  <c r="KM36" i="1" s="1" a="1"/>
  <c r="KM36" i="1" s="1"/>
  <c r="LB36" i="1" s="1"/>
  <c r="LE36" i="1" s="1"/>
  <c r="KK36" i="1" a="1"/>
  <c r="KK36" i="1" s="1"/>
  <c r="KL36" i="1" s="1" a="1"/>
  <c r="KL36" i="1" s="1"/>
  <c r="HC57" i="1"/>
  <c r="GS52" i="1"/>
  <c r="DT52" i="1"/>
  <c r="HC41" i="1"/>
  <c r="DT48" i="1"/>
  <c r="GS48" i="1"/>
  <c r="DT31" i="1"/>
  <c r="GS31" i="1"/>
  <c r="HC30" i="1"/>
  <c r="EY57" i="1"/>
  <c r="EX57" i="1"/>
  <c r="GS37" i="1"/>
  <c r="DT37" i="1"/>
  <c r="GS49" i="1"/>
  <c r="DT49" i="1"/>
  <c r="HC36" i="1"/>
  <c r="HC33" i="1"/>
  <c r="HC28" i="1"/>
  <c r="XD29" i="1"/>
  <c r="XF29" i="1"/>
  <c r="XO29" i="1" s="1"/>
  <c r="XH29" i="1"/>
  <c r="XJ29" i="1" s="1"/>
  <c r="XE29" i="1"/>
  <c r="XN29" i="1" s="1"/>
  <c r="UC30" i="1"/>
  <c r="UB30" i="1"/>
  <c r="UD30" i="1"/>
  <c r="AL37" i="18"/>
  <c r="XF55" i="1"/>
  <c r="XO55" i="1" s="1"/>
  <c r="XE55" i="1"/>
  <c r="XN55" i="1" s="1"/>
  <c r="XD55" i="1"/>
  <c r="XH55" i="1"/>
  <c r="XJ55" i="1" s="1"/>
  <c r="FI34" i="1"/>
  <c r="FG39" i="1"/>
  <c r="FI39" i="1" s="1"/>
  <c r="XF41" i="1"/>
  <c r="XO41" i="1" s="1"/>
  <c r="XE41" i="1"/>
  <c r="XN41" i="1" s="1"/>
  <c r="XD41" i="1"/>
  <c r="XH41" i="1"/>
  <c r="XJ41" i="1" s="1"/>
  <c r="FI32" i="1"/>
  <c r="XF46" i="1"/>
  <c r="XO46" i="1" s="1"/>
  <c r="XH46" i="1"/>
  <c r="XJ46" i="1" s="1"/>
  <c r="XE46" i="1"/>
  <c r="XN46" i="1" s="1"/>
  <c r="XD46" i="1"/>
  <c r="GD35" i="1"/>
  <c r="GF35" i="1" s="1"/>
  <c r="FI53" i="1"/>
  <c r="AL59" i="18"/>
  <c r="XD35" i="1"/>
  <c r="XF35" i="1"/>
  <c r="XO35" i="1" s="1"/>
  <c r="XE35" i="1"/>
  <c r="XN35" i="1" s="1"/>
  <c r="XH35" i="1"/>
  <c r="XJ35" i="1" s="1"/>
  <c r="FG30" i="1"/>
  <c r="FI30" i="1" s="1"/>
  <c r="UD54" i="1"/>
  <c r="UB54" i="1"/>
  <c r="UC54" i="1"/>
  <c r="GD51" i="1"/>
  <c r="GF51" i="1" s="1"/>
  <c r="UB39" i="1"/>
  <c r="UD39" i="1"/>
  <c r="UC39" i="1"/>
  <c r="GD50" i="1"/>
  <c r="GF50" i="1" s="1"/>
  <c r="XF57" i="1"/>
  <c r="XO57" i="1" s="1"/>
  <c r="XE57" i="1"/>
  <c r="XN57" i="1" s="1"/>
  <c r="XH57" i="1"/>
  <c r="XJ57" i="1" s="1"/>
  <c r="XD57" i="1"/>
  <c r="FG45" i="1"/>
  <c r="FI45" i="1" s="1"/>
  <c r="UC49" i="1"/>
  <c r="UB49" i="1"/>
  <c r="UD49" i="1"/>
  <c r="AL54" i="18"/>
  <c r="AL50" i="18"/>
  <c r="XH56" i="1"/>
  <c r="XJ56" i="1" s="1"/>
  <c r="XE56" i="1"/>
  <c r="XN56" i="1" s="1"/>
  <c r="XD56" i="1"/>
  <c r="XF56" i="1"/>
  <c r="XO56" i="1" s="1"/>
  <c r="FG48" i="1"/>
  <c r="FI48" i="1" s="1"/>
  <c r="GF33" i="1"/>
  <c r="GD34" i="1"/>
  <c r="GF34" i="1" s="1"/>
  <c r="UD28" i="1"/>
  <c r="UB28" i="1"/>
  <c r="UC28" i="1"/>
  <c r="FE51" i="1"/>
  <c r="FF51" i="1"/>
  <c r="UC50" i="1"/>
  <c r="UD50" i="1"/>
  <c r="UB50" i="1"/>
  <c r="XF34" i="1"/>
  <c r="XO34" i="1" s="1"/>
  <c r="XD34" i="1"/>
  <c r="XH34" i="1"/>
  <c r="XJ34" i="1" s="1"/>
  <c r="XE34" i="1"/>
  <c r="XN34" i="1" s="1"/>
  <c r="AL38" i="18"/>
  <c r="AL48" i="18"/>
  <c r="AL44" i="18"/>
  <c r="NV41" i="1" a="1"/>
  <c r="PM50" i="1" a="1"/>
  <c r="PM38" i="1" a="1"/>
  <c r="EQ31" i="1" a="1"/>
  <c r="NE57" i="1" a="1"/>
  <c r="NT57" i="1" a="1"/>
  <c r="QL57" i="1" a="1"/>
  <c r="NR50" i="1" a="1"/>
  <c r="PM57" i="1" a="1"/>
  <c r="PM49" i="1" a="1"/>
  <c r="QL28" i="1" a="1"/>
  <c r="QL52" i="1" a="1"/>
  <c r="QL40" i="1" a="1"/>
  <c r="QL38" i="1" a="1"/>
  <c r="NR34" i="1" a="1"/>
  <c r="NR31" i="1" a="1"/>
  <c r="NR52" i="1" a="1"/>
  <c r="PM41" i="1" a="1"/>
  <c r="PM55" i="1" a="1"/>
  <c r="EQ48" i="1" a="1"/>
  <c r="QL55" i="1" a="1"/>
  <c r="QL56" i="1" a="1"/>
  <c r="QL35" i="1" a="1"/>
  <c r="NR56" i="1" a="1"/>
  <c r="NR29" i="1" a="1"/>
  <c r="PM28" i="1" a="1"/>
  <c r="PM31" i="1" a="1"/>
  <c r="PM47" i="1" a="1"/>
  <c r="QL31" i="1" a="1"/>
  <c r="QL37" i="1" a="1"/>
  <c r="DV41" i="1" a="1"/>
  <c r="DV34" i="1" a="1"/>
  <c r="DZ28" i="1"/>
  <c r="DZ53" i="1"/>
  <c r="ER54" i="1"/>
  <c r="DZ36" i="1"/>
  <c r="LJ32" i="1" a="1"/>
  <c r="ES54" i="1" a="1"/>
  <c r="EP46" i="1"/>
  <c r="DW28" i="1"/>
  <c r="DU53" i="1"/>
  <c r="EU54" i="1"/>
  <c r="EU39" i="1"/>
  <c r="DW42" i="1"/>
  <c r="ES46" i="1" a="1"/>
  <c r="DU30" i="1"/>
  <c r="ER32" i="1"/>
  <c r="DW32" i="1"/>
  <c r="EP39" i="1"/>
  <c r="DW55" i="1"/>
  <c r="EU35" i="1"/>
  <c r="ES35" i="1" a="1"/>
  <c r="DV54" i="1" a="1"/>
  <c r="DZ33" i="1"/>
  <c r="DV39" i="1" a="1"/>
  <c r="DU36" i="1"/>
  <c r="DX53" i="1" a="1"/>
  <c r="DV51" i="1" a="1"/>
  <c r="DW45" i="1"/>
  <c r="DU57" i="1"/>
  <c r="EU57" i="1"/>
  <c r="EU32" i="1"/>
  <c r="DU45" i="1"/>
  <c r="ER41" i="1"/>
  <c r="EP54" i="1"/>
  <c r="EP35" i="1"/>
  <c r="ER57" i="1"/>
  <c r="DX55" i="1" a="1"/>
  <c r="NV49" i="1" a="1"/>
  <c r="NR57" i="1" a="1"/>
  <c r="NR42" i="1" a="1"/>
  <c r="PM46" i="1" a="1"/>
  <c r="PM44" i="1" a="1"/>
  <c r="PM34" i="1" a="1"/>
  <c r="QL50" i="1" a="1"/>
  <c r="QL45" i="1" a="1"/>
  <c r="QL36" i="1" a="1"/>
  <c r="NR53" i="1" a="1"/>
  <c r="NR44" i="1" a="1"/>
  <c r="NR47" i="1" a="1"/>
  <c r="PM35" i="1" a="1"/>
  <c r="QL49" i="1" a="1"/>
  <c r="QL53" i="1" a="1"/>
  <c r="NR43" i="1" a="1"/>
  <c r="NR51" i="1" a="1"/>
  <c r="PM45" i="1" a="1"/>
  <c r="QL29" i="1" a="1"/>
  <c r="NR39" i="1" a="1"/>
  <c r="NR32" i="1" a="1"/>
  <c r="NR54" i="1" a="1"/>
  <c r="NR28" i="1" a="1"/>
  <c r="PM29" i="1" a="1"/>
  <c r="PM52" i="1" a="1"/>
  <c r="PM48" i="1" a="1"/>
  <c r="QL54" i="1" a="1"/>
  <c r="QL34" i="1" a="1"/>
  <c r="ES39" i="1" a="1"/>
  <c r="DW30" i="1"/>
  <c r="DW50" i="1"/>
  <c r="DV47" i="1" a="1"/>
  <c r="DV37" i="1" a="1"/>
  <c r="DX30" i="1" a="1"/>
  <c r="DX50" i="1" a="1"/>
  <c r="DZ30" i="1"/>
  <c r="DZ50" i="1"/>
  <c r="DU32" i="1"/>
  <c r="DV44" i="1" a="1"/>
  <c r="DV40" i="1" a="1"/>
  <c r="DV56" i="1" a="1"/>
  <c r="DZ41" i="1"/>
  <c r="EP47" i="1"/>
  <c r="ES41" i="1" a="1"/>
  <c r="EP41" i="1"/>
  <c r="DU28" i="1"/>
  <c r="ER39" i="1"/>
  <c r="DZ42" i="1"/>
  <c r="DV52" i="1" a="1"/>
  <c r="EP57" i="1"/>
  <c r="DU42" i="1"/>
  <c r="ER35" i="1"/>
  <c r="LH36" i="1" a="1"/>
  <c r="DV38" i="1" a="1"/>
  <c r="DX57" i="1" a="1"/>
  <c r="DX42" i="1" a="1"/>
  <c r="DU55" i="1"/>
  <c r="DV31" i="1" a="1"/>
  <c r="LH42" i="1" a="1"/>
  <c r="DX32" i="1" a="1"/>
  <c r="DZ32" i="1"/>
  <c r="DV49" i="1" a="1"/>
  <c r="NV56" i="1" a="1"/>
  <c r="NR30" i="1" a="1"/>
  <c r="NR40" i="1" a="1"/>
  <c r="QL41" i="1" a="1"/>
  <c r="PM30" i="1" a="1"/>
  <c r="PM53" i="1" a="1"/>
  <c r="QL30" i="1" a="1"/>
  <c r="NR36" i="1" a="1"/>
  <c r="NR35" i="1" a="1"/>
  <c r="PM42" i="1" a="1"/>
  <c r="PM37" i="1" a="1"/>
  <c r="PM56" i="1" a="1"/>
  <c r="QL43" i="1" a="1"/>
  <c r="QL46" i="1" a="1"/>
  <c r="QL48" i="1" a="1"/>
  <c r="PM54" i="1" a="1"/>
  <c r="QL51" i="1" a="1"/>
  <c r="QL39" i="1" a="1"/>
  <c r="DX33" i="1" a="1"/>
  <c r="ER46" i="1"/>
  <c r="DU50" i="1"/>
  <c r="LT32" i="1" a="1"/>
  <c r="DX36" i="1" a="1"/>
  <c r="DV35" i="1" a="1"/>
  <c r="DW36" i="1"/>
  <c r="DZ45" i="1"/>
  <c r="ES57" i="1" a="1"/>
  <c r="DW53" i="1"/>
  <c r="DU41" i="1"/>
  <c r="ES47" i="1" a="1"/>
  <c r="DU33" i="1"/>
  <c r="EU47" i="1"/>
  <c r="DV48" i="1" a="1"/>
  <c r="DX45" i="1" a="1"/>
  <c r="EU46" i="1"/>
  <c r="DW33" i="1"/>
  <c r="LH44" i="1" a="1"/>
  <c r="ER47" i="1"/>
  <c r="NR45" i="1" a="1"/>
  <c r="NR33" i="1" a="1"/>
  <c r="NR37" i="1" a="1"/>
  <c r="NR55" i="1" a="1"/>
  <c r="PM43" i="1" a="1"/>
  <c r="PM39" i="1" a="1"/>
  <c r="QL44" i="1" a="1"/>
  <c r="QL32" i="1" a="1"/>
  <c r="NR41" i="1" a="1"/>
  <c r="NR49" i="1" a="1"/>
  <c r="NR38" i="1" a="1"/>
  <c r="PM40" i="1" a="1"/>
  <c r="PM36" i="1" a="1"/>
  <c r="NR46" i="1" a="1"/>
  <c r="PM32" i="1" a="1"/>
  <c r="PM33" i="1" a="1"/>
  <c r="QL42" i="1" a="1"/>
  <c r="NR48" i="1" a="1"/>
  <c r="PM51" i="1" a="1"/>
  <c r="QL47" i="1" a="1"/>
  <c r="QL33" i="1" a="1"/>
  <c r="EQ53" i="1" a="1"/>
  <c r="ES32" i="1" a="1"/>
  <c r="EU41" i="1"/>
  <c r="DW41" i="1"/>
  <c r="DZ57" i="1"/>
  <c r="DX28" i="1" a="1"/>
  <c r="DV46" i="1" a="1"/>
  <c r="EP32" i="1"/>
  <c r="DW57" i="1"/>
  <c r="DZ55" i="1"/>
  <c r="DV29" i="1" a="1"/>
  <c r="DV43" i="1" a="1"/>
  <c r="LH45" i="1" a="1"/>
  <c r="EQ53" i="1" l="1"/>
  <c r="QL33" i="1"/>
  <c r="QL47" i="1"/>
  <c r="PM51" i="1"/>
  <c r="NR48" i="1"/>
  <c r="QL42" i="1"/>
  <c r="PM33" i="1"/>
  <c r="PM32" i="1"/>
  <c r="NR46" i="1"/>
  <c r="PM36" i="1"/>
  <c r="PM40" i="1"/>
  <c r="NR38" i="1"/>
  <c r="NR49" i="1"/>
  <c r="NR41" i="1"/>
  <c r="QL32" i="1"/>
  <c r="QL44" i="1"/>
  <c r="PM39" i="1"/>
  <c r="PM43" i="1"/>
  <c r="NR55" i="1"/>
  <c r="NR37" i="1"/>
  <c r="NR33" i="1"/>
  <c r="NR45" i="1"/>
  <c r="QL39" i="1"/>
  <c r="QL51" i="1"/>
  <c r="PM54" i="1"/>
  <c r="QL48" i="1"/>
  <c r="QL46" i="1"/>
  <c r="QL43" i="1"/>
  <c r="PM56" i="1"/>
  <c r="PM37" i="1"/>
  <c r="PM42" i="1"/>
  <c r="NR35" i="1"/>
  <c r="NR36" i="1"/>
  <c r="QL30" i="1"/>
  <c r="PM53" i="1"/>
  <c r="PM30" i="1"/>
  <c r="QL41" i="1"/>
  <c r="NR40" i="1"/>
  <c r="NR30" i="1"/>
  <c r="NV56" i="1"/>
  <c r="OJ56" i="1" s="1"/>
  <c r="OR56" i="1" s="1"/>
  <c r="QL34" i="1"/>
  <c r="QL54" i="1"/>
  <c r="PM48" i="1"/>
  <c r="PM52" i="1"/>
  <c r="PM29" i="1"/>
  <c r="NR28" i="1"/>
  <c r="NR54" i="1"/>
  <c r="NR32" i="1"/>
  <c r="NR39" i="1"/>
  <c r="QL29" i="1"/>
  <c r="PM45" i="1"/>
  <c r="NR51" i="1"/>
  <c r="NR43" i="1"/>
  <c r="QL53" i="1"/>
  <c r="QL49" i="1"/>
  <c r="PM35" i="1"/>
  <c r="NR47" i="1"/>
  <c r="NR44" i="1"/>
  <c r="NR53" i="1"/>
  <c r="QL36" i="1"/>
  <c r="QL45" i="1"/>
  <c r="QL50" i="1"/>
  <c r="PM34" i="1"/>
  <c r="PM44" i="1"/>
  <c r="PM46" i="1"/>
  <c r="NR42" i="1"/>
  <c r="NR57" i="1"/>
  <c r="NV49" i="1"/>
  <c r="OJ49" i="1" s="1"/>
  <c r="OR49" i="1" s="1"/>
  <c r="QL37" i="1"/>
  <c r="QL31" i="1"/>
  <c r="PM47" i="1"/>
  <c r="PM31" i="1"/>
  <c r="PM28" i="1"/>
  <c r="NR29" i="1"/>
  <c r="NR56" i="1"/>
  <c r="QL35" i="1"/>
  <c r="QL56" i="1"/>
  <c r="QL55" i="1"/>
  <c r="EQ48" i="1"/>
  <c r="PM55" i="1"/>
  <c r="PM41" i="1"/>
  <c r="NR52" i="1"/>
  <c r="NR31" i="1"/>
  <c r="NR34" i="1"/>
  <c r="QL38" i="1"/>
  <c r="QL40" i="1"/>
  <c r="QL52" i="1"/>
  <c r="QL28" i="1"/>
  <c r="PM49" i="1"/>
  <c r="PM57" i="1"/>
  <c r="NR50" i="1"/>
  <c r="QL57" i="1"/>
  <c r="NT57" i="1"/>
  <c r="ON57" i="1" s="1"/>
  <c r="OU57" i="1" s="1"/>
  <c r="NE57" i="1"/>
  <c r="EQ31" i="1"/>
  <c r="PM38" i="1"/>
  <c r="PM50" i="1"/>
  <c r="NV41" i="1"/>
  <c r="OJ41" i="1" s="1"/>
  <c r="OR41" i="1" s="1"/>
  <c r="KI51" i="1"/>
  <c r="KF51" i="1" a="1"/>
  <c r="KF51" i="1" s="1"/>
  <c r="KH51" i="1"/>
  <c r="EY53" i="1"/>
  <c r="EX53" i="1"/>
  <c r="KI39" i="1"/>
  <c r="KF39" i="1" a="1"/>
  <c r="KF39" i="1" s="1"/>
  <c r="KH39" i="1"/>
  <c r="KI33" i="1"/>
  <c r="KH33" i="1"/>
  <c r="KF33" i="1" a="1"/>
  <c r="KF33" i="1" s="1"/>
  <c r="GT55" i="1"/>
  <c r="HD55" i="1" s="1"/>
  <c r="EO55" i="1"/>
  <c r="KI56" i="1"/>
  <c r="KF56" i="1" a="1"/>
  <c r="KF56" i="1" s="1"/>
  <c r="KG56" i="1" s="1" a="1"/>
  <c r="KG56" i="1" s="1"/>
  <c r="KH56" i="1"/>
  <c r="GT51" i="1"/>
  <c r="HD51" i="1" s="1"/>
  <c r="EO51" i="1"/>
  <c r="KI47" i="1"/>
  <c r="KF47" i="1" a="1"/>
  <c r="KF47" i="1" s="1"/>
  <c r="KG47" i="1" s="1" a="1"/>
  <c r="KG47" i="1" s="1"/>
  <c r="KH47" i="1"/>
  <c r="GT30" i="1"/>
  <c r="HD30" i="1" s="1"/>
  <c r="EO30" i="1"/>
  <c r="EO42" i="1"/>
  <c r="GT42" i="1"/>
  <c r="HD42" i="1" s="1"/>
  <c r="GT28" i="1"/>
  <c r="HD28" i="1" s="1"/>
  <c r="EO28" i="1"/>
  <c r="EO50" i="1"/>
  <c r="GT50" i="1"/>
  <c r="HD50" i="1" s="1"/>
  <c r="NJ28" i="1"/>
  <c r="NJ41" i="1"/>
  <c r="NJ34" i="1"/>
  <c r="NJ47" i="1"/>
  <c r="NJ44" i="1"/>
  <c r="NJ50" i="1"/>
  <c r="NJ39" i="1"/>
  <c r="NJ38" i="1"/>
  <c r="NJ49" i="1"/>
  <c r="NJ56" i="1"/>
  <c r="NJ33" i="1"/>
  <c r="NJ36" i="1"/>
  <c r="NJ54" i="1"/>
  <c r="NJ29" i="1"/>
  <c r="NJ30" i="1"/>
  <c r="NJ53" i="1"/>
  <c r="NJ52" i="1"/>
  <c r="NJ55" i="1"/>
  <c r="NJ57" i="1"/>
  <c r="NJ35" i="1"/>
  <c r="NJ31" i="1"/>
  <c r="NJ46" i="1"/>
  <c r="NJ42" i="1"/>
  <c r="NJ32" i="1"/>
  <c r="NJ43" i="1"/>
  <c r="NJ51" i="1"/>
  <c r="NJ37" i="1"/>
  <c r="NJ45" i="1"/>
  <c r="NJ40" i="1"/>
  <c r="NJ48" i="1"/>
  <c r="FF41" i="1"/>
  <c r="GB38" i="1"/>
  <c r="ED41" i="1"/>
  <c r="GC28" i="1"/>
  <c r="GT33" i="1"/>
  <c r="HD33" i="1" s="1"/>
  <c r="EO33" i="1"/>
  <c r="KI38" i="1"/>
  <c r="KF38" i="1" a="1"/>
  <c r="KF38" i="1" s="1"/>
  <c r="KH38" i="1"/>
  <c r="EO36" i="1"/>
  <c r="GT36" i="1"/>
  <c r="HD36" i="1" s="1"/>
  <c r="KI41" i="1"/>
  <c r="KH41" i="1"/>
  <c r="KF41" i="1" a="1"/>
  <c r="KF41" i="1" s="1"/>
  <c r="KI54" i="1"/>
  <c r="KH54" i="1"/>
  <c r="KF54" i="1" a="1"/>
  <c r="KF54" i="1" s="1"/>
  <c r="KI55" i="1"/>
  <c r="KH55" i="1"/>
  <c r="KF55" i="1" a="1"/>
  <c r="KF55" i="1" s="1"/>
  <c r="KI46" i="1"/>
  <c r="KF46" i="1" a="1"/>
  <c r="KF46" i="1" s="1"/>
  <c r="KH46" i="1"/>
  <c r="KF31" i="1" a="1"/>
  <c r="KF31" i="1" s="1"/>
  <c r="KG31" i="1" s="1" a="1"/>
  <c r="KG31" i="1" s="1"/>
  <c r="KH31" i="1"/>
  <c r="KI31" i="1"/>
  <c r="KI30" i="1"/>
  <c r="KH30" i="1"/>
  <c r="KF30" i="1" a="1"/>
  <c r="KF30" i="1" s="1"/>
  <c r="KG30" i="1" s="1" a="1"/>
  <c r="KG30" i="1" s="1"/>
  <c r="EO43" i="1"/>
  <c r="GT43" i="1"/>
  <c r="HD43" i="1" s="1"/>
  <c r="KI50" i="1"/>
  <c r="KF50" i="1" a="1"/>
  <c r="KF50" i="1" s="1"/>
  <c r="KH50" i="1"/>
  <c r="AL64" i="18"/>
  <c r="PE33" i="1"/>
  <c r="PE49" i="1"/>
  <c r="PE38" i="1"/>
  <c r="PE45" i="1"/>
  <c r="PE48" i="1"/>
  <c r="PE36" i="1"/>
  <c r="PE43" i="1"/>
  <c r="PE52" i="1"/>
  <c r="PE50" i="1"/>
  <c r="PE28" i="1"/>
  <c r="PE39" i="1"/>
  <c r="PE29" i="1"/>
  <c r="PE30" i="1"/>
  <c r="PE55" i="1"/>
  <c r="PE35" i="1"/>
  <c r="PE47" i="1"/>
  <c r="PE44" i="1"/>
  <c r="PE56" i="1"/>
  <c r="PE46" i="1"/>
  <c r="PE42" i="1"/>
  <c r="PE40" i="1"/>
  <c r="PE54" i="1"/>
  <c r="PE34" i="1"/>
  <c r="PE32" i="1"/>
  <c r="PE57" i="1"/>
  <c r="PE31" i="1"/>
  <c r="PE51" i="1"/>
  <c r="PE41" i="1"/>
  <c r="PE37" i="1"/>
  <c r="PE53" i="1"/>
  <c r="FF44" i="1"/>
  <c r="KI43" i="1"/>
  <c r="KF43" i="1" a="1"/>
  <c r="KF43" i="1" s="1"/>
  <c r="KH43" i="1"/>
  <c r="GT29" i="1"/>
  <c r="HD29" i="1" s="1"/>
  <c r="EO29" i="1"/>
  <c r="KI37" i="1"/>
  <c r="KH37" i="1"/>
  <c r="KF37" i="1" a="1"/>
  <c r="KF37" i="1" s="1"/>
  <c r="EO44" i="1"/>
  <c r="GT44" i="1"/>
  <c r="HD44" i="1" s="1"/>
  <c r="EO37" i="1"/>
  <c r="GT37" i="1"/>
  <c r="HD37" i="1" s="1"/>
  <c r="KF49" i="1" a="1"/>
  <c r="KF49" i="1" s="1"/>
  <c r="KG49" i="1" s="1" a="1"/>
  <c r="KG49" i="1" s="1"/>
  <c r="KH49" i="1"/>
  <c r="KI49" i="1"/>
  <c r="GT34" i="1"/>
  <c r="HD34" i="1" s="1"/>
  <c r="EO34" i="1"/>
  <c r="EO49" i="1"/>
  <c r="GT49" i="1"/>
  <c r="HD49" i="1" s="1"/>
  <c r="AL57" i="18"/>
  <c r="QD41" i="1"/>
  <c r="QD53" i="1"/>
  <c r="QD29" i="1"/>
  <c r="QD35" i="1"/>
  <c r="QD49" i="1"/>
  <c r="QD37" i="1"/>
  <c r="QD57" i="1"/>
  <c r="QD36" i="1"/>
  <c r="QD38" i="1"/>
  <c r="QD47" i="1"/>
  <c r="QD39" i="1"/>
  <c r="QD52" i="1"/>
  <c r="QD33" i="1"/>
  <c r="QD30" i="1"/>
  <c r="QD55" i="1"/>
  <c r="QD44" i="1"/>
  <c r="QD48" i="1"/>
  <c r="QD31" i="1"/>
  <c r="QD54" i="1"/>
  <c r="QD28" i="1"/>
  <c r="QD32" i="1"/>
  <c r="QD56" i="1"/>
  <c r="QD50" i="1"/>
  <c r="QD46" i="1"/>
  <c r="QD34" i="1"/>
  <c r="QD51" i="1"/>
  <c r="QD45" i="1"/>
  <c r="QD40" i="1"/>
  <c r="QD42" i="1"/>
  <c r="QD43" i="1"/>
  <c r="KI34" i="1"/>
  <c r="KF34" i="1" a="1"/>
  <c r="KF34" i="1" s="1"/>
  <c r="KH34" i="1"/>
  <c r="GT38" i="1"/>
  <c r="HD38" i="1" s="1"/>
  <c r="EO38" i="1"/>
  <c r="KI40" i="1"/>
  <c r="KF40" i="1" a="1"/>
  <c r="KF40" i="1" s="1"/>
  <c r="KH40" i="1"/>
  <c r="KI29" i="1"/>
  <c r="KF29" i="1" a="1"/>
  <c r="KF29" i="1" s="1"/>
  <c r="KH29" i="1"/>
  <c r="EO56" i="1"/>
  <c r="GT56" i="1"/>
  <c r="HD56" i="1" s="1"/>
  <c r="EY48" i="1"/>
  <c r="EX48" i="1"/>
  <c r="EO40" i="1"/>
  <c r="GT40" i="1"/>
  <c r="HD40" i="1" s="1"/>
  <c r="EO52" i="1"/>
  <c r="GT52" i="1"/>
  <c r="HD52" i="1" s="1"/>
  <c r="KF57" i="1" a="1"/>
  <c r="KF57" i="1" s="1"/>
  <c r="KG57" i="1" s="1" a="1"/>
  <c r="KG57" i="1" s="1"/>
  <c r="KH57" i="1"/>
  <c r="KI57" i="1"/>
  <c r="KI52" i="1"/>
  <c r="KF52" i="1" a="1"/>
  <c r="KF52" i="1" s="1"/>
  <c r="KH52" i="1"/>
  <c r="GT45" i="1"/>
  <c r="HD45" i="1" s="1"/>
  <c r="EO45" i="1"/>
  <c r="EX31" i="1"/>
  <c r="EY31" i="1"/>
  <c r="FG31" i="1"/>
  <c r="FI31" i="1" s="1"/>
  <c r="AL49" i="18"/>
  <c r="DV41" i="1"/>
  <c r="FE49" i="1"/>
  <c r="FF28" i="1"/>
  <c r="GY28" i="1" s="1"/>
  <c r="HH28" i="1" s="1"/>
  <c r="FE55" i="1"/>
  <c r="FJ55" i="1" s="1"/>
  <c r="GC45" i="1"/>
  <c r="FF43" i="1"/>
  <c r="KO32" i="1" a="1"/>
  <c r="KO32" i="1" s="1"/>
  <c r="LD32" i="1" s="1"/>
  <c r="LG32" i="1" s="1"/>
  <c r="GC32" i="1"/>
  <c r="GB39" i="1"/>
  <c r="UE29" i="1"/>
  <c r="UE46" i="1"/>
  <c r="UE50" i="1"/>
  <c r="UE37" i="1"/>
  <c r="UE53" i="1"/>
  <c r="UF53" i="1" s="1" a="1"/>
  <c r="UF53" i="1" s="1"/>
  <c r="UG53" i="1" s="1" a="1"/>
  <c r="UG53" i="1" s="1"/>
  <c r="UE40" i="1"/>
  <c r="UI40" i="1" s="1"/>
  <c r="UM40" i="1" s="1"/>
  <c r="UE41" i="1"/>
  <c r="LB35" i="1"/>
  <c r="LE35" i="1" s="1"/>
  <c r="KN35" i="1" a="1"/>
  <c r="KN35" i="1" s="1"/>
  <c r="UE49" i="1"/>
  <c r="UI49" i="1" s="1"/>
  <c r="UE38" i="1"/>
  <c r="UF38" i="1" s="1" a="1"/>
  <c r="UF38" i="1" s="1"/>
  <c r="UG38" i="1" s="1" a="1"/>
  <c r="UG38" i="1" s="1"/>
  <c r="UE42" i="1"/>
  <c r="UF42" i="1" s="1" a="1"/>
  <c r="UF42" i="1" s="1"/>
  <c r="UG42" i="1" s="1" a="1"/>
  <c r="UG42" i="1" s="1"/>
  <c r="DV49" i="1"/>
  <c r="DV52" i="1"/>
  <c r="DV43" i="1"/>
  <c r="DV39" i="1"/>
  <c r="DV29" i="1"/>
  <c r="LH45" i="1"/>
  <c r="DV51" i="1"/>
  <c r="DV54" i="1"/>
  <c r="ES57" i="1"/>
  <c r="ET57" i="1" s="1"/>
  <c r="EZ57" i="1" s="1"/>
  <c r="ES35" i="1"/>
  <c r="ET35" i="1" s="1"/>
  <c r="EZ35" i="1" s="1"/>
  <c r="DX55" i="1"/>
  <c r="DY55" i="1" s="1"/>
  <c r="EE55" i="1" s="1"/>
  <c r="DX42" i="1"/>
  <c r="DY42" i="1" s="1"/>
  <c r="EE42" i="1" s="1"/>
  <c r="DX32" i="1"/>
  <c r="DY32" i="1" s="1"/>
  <c r="EE32" i="1" s="1"/>
  <c r="ES41" i="1"/>
  <c r="ET41" i="1" s="1"/>
  <c r="EZ41" i="1" s="1"/>
  <c r="EY41" i="1" s="1"/>
  <c r="LH44" i="1"/>
  <c r="DX57" i="1"/>
  <c r="DY57" i="1" s="1"/>
  <c r="EE57" i="1" s="1"/>
  <c r="ES46" i="1"/>
  <c r="ET46" i="1" s="1"/>
  <c r="EZ46" i="1" s="1"/>
  <c r="DV56" i="1"/>
  <c r="DV40" i="1"/>
  <c r="LH42" i="1"/>
  <c r="DV44" i="1"/>
  <c r="DV38" i="1"/>
  <c r="DV46" i="1"/>
  <c r="DV35" i="1"/>
  <c r="DX36" i="1"/>
  <c r="DY36" i="1" s="1"/>
  <c r="EE36" i="1" s="1"/>
  <c r="ES54" i="1"/>
  <c r="ET54" i="1" s="1"/>
  <c r="EZ54" i="1" s="1"/>
  <c r="DX45" i="1"/>
  <c r="DY45" i="1" s="1"/>
  <c r="EE45" i="1" s="1"/>
  <c r="DX53" i="1"/>
  <c r="DY53" i="1" s="1"/>
  <c r="EE53" i="1" s="1"/>
  <c r="DX50" i="1"/>
  <c r="DY50" i="1" s="1"/>
  <c r="EE50" i="1" s="1"/>
  <c r="LJ32" i="1"/>
  <c r="DX28" i="1"/>
  <c r="DY28" i="1" s="1"/>
  <c r="EE28" i="1" s="1"/>
  <c r="DX30" i="1"/>
  <c r="DY30" i="1" s="1"/>
  <c r="EE30" i="1" s="1"/>
  <c r="DV31" i="1"/>
  <c r="DV37" i="1"/>
  <c r="DV48" i="1"/>
  <c r="LH36" i="1"/>
  <c r="DV47" i="1"/>
  <c r="LT32" i="1"/>
  <c r="DV34" i="1"/>
  <c r="ES47" i="1"/>
  <c r="ET47" i="1" s="1"/>
  <c r="EZ47" i="1" s="1"/>
  <c r="ES39" i="1"/>
  <c r="ET39" i="1" s="1"/>
  <c r="EZ39" i="1" s="1"/>
  <c r="ES32" i="1"/>
  <c r="ET32" i="1" s="1"/>
  <c r="EZ32" i="1" s="1"/>
  <c r="DX33" i="1"/>
  <c r="DY33" i="1" s="1"/>
  <c r="EE33" i="1" s="1"/>
  <c r="XP35" i="1"/>
  <c r="XU35" i="1" s="1"/>
  <c r="XT35" i="1"/>
  <c r="XK35" i="1"/>
  <c r="XM34" i="1"/>
  <c r="XG34" i="1"/>
  <c r="UE28" i="1"/>
  <c r="FF48" i="1"/>
  <c r="FE48" i="1"/>
  <c r="XK56" i="1"/>
  <c r="XP56" i="1"/>
  <c r="XU56" i="1" s="1"/>
  <c r="XT56" i="1"/>
  <c r="XM57" i="1"/>
  <c r="XG57" i="1"/>
  <c r="GC50" i="1"/>
  <c r="GB50" i="1"/>
  <c r="GB51" i="1"/>
  <c r="GC51" i="1"/>
  <c r="GY51" i="1" s="1"/>
  <c r="HH51" i="1" s="1"/>
  <c r="FF30" i="1"/>
  <c r="FE30" i="1"/>
  <c r="XM35" i="1"/>
  <c r="XG35" i="1"/>
  <c r="GB35" i="1"/>
  <c r="GC35" i="1"/>
  <c r="XT55" i="1"/>
  <c r="XP55" i="1"/>
  <c r="XU55" i="1" s="1"/>
  <c r="XK55" i="1"/>
  <c r="EC49" i="1"/>
  <c r="ED49" i="1"/>
  <c r="HC37" i="1"/>
  <c r="ED52" i="1"/>
  <c r="EC52" i="1"/>
  <c r="FE57" i="1"/>
  <c r="FF57" i="1"/>
  <c r="GU41" i="1"/>
  <c r="FJ41" i="1"/>
  <c r="UE48" i="1"/>
  <c r="XM54" i="1"/>
  <c r="XG54" i="1"/>
  <c r="UE35" i="1"/>
  <c r="XK47" i="1"/>
  <c r="XP47" i="1"/>
  <c r="XU47" i="1" s="1"/>
  <c r="XT47" i="1"/>
  <c r="GU54" i="1"/>
  <c r="HE54" i="1" s="1"/>
  <c r="FJ54" i="1"/>
  <c r="XT32" i="1"/>
  <c r="XK32" i="1"/>
  <c r="XP32" i="1"/>
  <c r="XU32" i="1" s="1"/>
  <c r="UE43" i="1"/>
  <c r="GC52" i="1"/>
  <c r="GB52" i="1"/>
  <c r="LB48" i="1"/>
  <c r="LE48" i="1" s="1"/>
  <c r="KN48" i="1" a="1"/>
  <c r="KN48" i="1" s="1"/>
  <c r="EC43" i="1"/>
  <c r="ED43" i="1"/>
  <c r="GB56" i="1"/>
  <c r="GC56" i="1"/>
  <c r="FE35" i="1"/>
  <c r="FF35" i="1"/>
  <c r="GB54" i="1"/>
  <c r="GC54" i="1"/>
  <c r="GY54" i="1" s="1"/>
  <c r="HH54" i="1" s="1"/>
  <c r="XP44" i="1"/>
  <c r="XU44" i="1" s="1"/>
  <c r="XT44" i="1"/>
  <c r="XK44" i="1"/>
  <c r="XM33" i="1"/>
  <c r="XG33" i="1"/>
  <c r="XG48" i="1"/>
  <c r="XM48" i="1"/>
  <c r="FE38" i="1"/>
  <c r="FF38" i="1"/>
  <c r="GY38" i="1" s="1"/>
  <c r="HH38" i="1" s="1"/>
  <c r="XM37" i="1"/>
  <c r="XG37" i="1"/>
  <c r="GB57" i="1"/>
  <c r="GC57" i="1"/>
  <c r="XP31" i="1"/>
  <c r="XU31" i="1" s="1"/>
  <c r="XK31" i="1"/>
  <c r="XT31" i="1"/>
  <c r="UE36" i="1"/>
  <c r="HC47" i="1"/>
  <c r="ED39" i="1"/>
  <c r="EC39" i="1"/>
  <c r="EC29" i="1"/>
  <c r="UE34" i="1"/>
  <c r="XT45" i="1"/>
  <c r="XK45" i="1"/>
  <c r="XP45" i="1"/>
  <c r="XU45" i="1" s="1"/>
  <c r="XG49" i="1"/>
  <c r="XM49" i="1"/>
  <c r="XG39" i="1"/>
  <c r="XM39" i="1"/>
  <c r="GG32" i="1"/>
  <c r="GV32" i="1"/>
  <c r="HF32" i="1" s="1"/>
  <c r="GB43" i="1"/>
  <c r="GC43" i="1"/>
  <c r="GY43" i="1" s="1"/>
  <c r="HH43" i="1" s="1"/>
  <c r="GC46" i="1"/>
  <c r="GY46" i="1" s="1"/>
  <c r="HH46" i="1" s="1"/>
  <c r="GB46" i="1"/>
  <c r="UE55" i="1"/>
  <c r="FJ44" i="1"/>
  <c r="GU44" i="1"/>
  <c r="HE44" i="1" s="1"/>
  <c r="EC51" i="1"/>
  <c r="ED51" i="1"/>
  <c r="HC34" i="1"/>
  <c r="EC54" i="1"/>
  <c r="ED54" i="1"/>
  <c r="KN42" i="1" a="1"/>
  <c r="KN42" i="1" s="1"/>
  <c r="LC42" i="1" s="1"/>
  <c r="LF42" i="1" s="1"/>
  <c r="OR40" i="1"/>
  <c r="OR38" i="1"/>
  <c r="OR55" i="1"/>
  <c r="OR48" i="1"/>
  <c r="OR47" i="1"/>
  <c r="OR43" i="1"/>
  <c r="UF49" i="1" a="1"/>
  <c r="UF49" i="1" s="1"/>
  <c r="UG49" i="1" s="1" a="1"/>
  <c r="UG49" i="1" s="1"/>
  <c r="FF53" i="1"/>
  <c r="FE53" i="1"/>
  <c r="XM46" i="1"/>
  <c r="XG46" i="1"/>
  <c r="FE32" i="1"/>
  <c r="FF32" i="1"/>
  <c r="XG55" i="1"/>
  <c r="XM55" i="1"/>
  <c r="XP29" i="1"/>
  <c r="XU29" i="1" s="1"/>
  <c r="XK29" i="1"/>
  <c r="XT29" i="1"/>
  <c r="HC49" i="1"/>
  <c r="HC31" i="1"/>
  <c r="HC52" i="1"/>
  <c r="GC37" i="1"/>
  <c r="GB37" i="1"/>
  <c r="UI37" i="1"/>
  <c r="UF37" i="1" a="1"/>
  <c r="UF37" i="1" s="1"/>
  <c r="UG37" i="1" s="1" a="1"/>
  <c r="UG37" i="1" s="1"/>
  <c r="XG53" i="1"/>
  <c r="XM53" i="1"/>
  <c r="GG47" i="1"/>
  <c r="GV47" i="1"/>
  <c r="HF47" i="1" s="1"/>
  <c r="XP51" i="1"/>
  <c r="XU51" i="1" s="1"/>
  <c r="XT51" i="1"/>
  <c r="XK51" i="1"/>
  <c r="GG38" i="1"/>
  <c r="GV38" i="1"/>
  <c r="HF38" i="1" s="1"/>
  <c r="LB53" i="1"/>
  <c r="LE53" i="1" s="1"/>
  <c r="KN53" i="1" a="1"/>
  <c r="KN53" i="1" s="1"/>
  <c r="HC56" i="1"/>
  <c r="HC43" i="1"/>
  <c r="FF47" i="1"/>
  <c r="GY47" i="1" s="1"/>
  <c r="HH47" i="1" s="1"/>
  <c r="FE47" i="1"/>
  <c r="XP37" i="1"/>
  <c r="XU37" i="1" s="1"/>
  <c r="XT37" i="1"/>
  <c r="XK37" i="1"/>
  <c r="GB40" i="1"/>
  <c r="GC40" i="1"/>
  <c r="GY40" i="1" s="1"/>
  <c r="HH40" i="1" s="1"/>
  <c r="XM40" i="1"/>
  <c r="XG40" i="1"/>
  <c r="HC44" i="1"/>
  <c r="HC39" i="1"/>
  <c r="KL45" i="1" a="1"/>
  <c r="KL45" i="1" s="1"/>
  <c r="KN45" i="1" a="1"/>
  <c r="KN45" i="1" s="1"/>
  <c r="LC45" i="1" s="1"/>
  <c r="LF45" i="1" s="1"/>
  <c r="XT50" i="1"/>
  <c r="XK50" i="1"/>
  <c r="XP50" i="1"/>
  <c r="XU50" i="1" s="1"/>
  <c r="XP38" i="1"/>
  <c r="XU38" i="1" s="1"/>
  <c r="XT38" i="1"/>
  <c r="XK38" i="1"/>
  <c r="XT49" i="1"/>
  <c r="XP49" i="1"/>
  <c r="XU49" i="1" s="1"/>
  <c r="XK49" i="1"/>
  <c r="UF40" i="1" a="1"/>
  <c r="UF40" i="1" s="1"/>
  <c r="UG40" i="1" s="1" a="1"/>
  <c r="UG40" i="1" s="1"/>
  <c r="UI41" i="1"/>
  <c r="UF41" i="1" a="1"/>
  <c r="UF41" i="1" s="1"/>
  <c r="UG41" i="1" s="1" a="1"/>
  <c r="UG41" i="1" s="1"/>
  <c r="GC53" i="1"/>
  <c r="GB53" i="1"/>
  <c r="GV39" i="1"/>
  <c r="HF39" i="1" s="1"/>
  <c r="GG39" i="1"/>
  <c r="FE33" i="1"/>
  <c r="FF33" i="1"/>
  <c r="XP36" i="1"/>
  <c r="XU36" i="1" s="1"/>
  <c r="XT36" i="1"/>
  <c r="XK36" i="1"/>
  <c r="HC38" i="1"/>
  <c r="HC35" i="1"/>
  <c r="HC54" i="1"/>
  <c r="OR46" i="1"/>
  <c r="OR31" i="1"/>
  <c r="OR33" i="1"/>
  <c r="OR50" i="1"/>
  <c r="XK57" i="1"/>
  <c r="XP57" i="1"/>
  <c r="XU57" i="1" s="1"/>
  <c r="XT57" i="1"/>
  <c r="GB34" i="1"/>
  <c r="GC34" i="1"/>
  <c r="XK41" i="1"/>
  <c r="XT41" i="1"/>
  <c r="XP41" i="1"/>
  <c r="XU41" i="1" s="1"/>
  <c r="GB55" i="1"/>
  <c r="GC55" i="1"/>
  <c r="GY55" i="1" s="1"/>
  <c r="HH55" i="1" s="1"/>
  <c r="UE57" i="1"/>
  <c r="XG42" i="1"/>
  <c r="XM42" i="1"/>
  <c r="UF46" i="1" a="1"/>
  <c r="UF46" i="1" s="1"/>
  <c r="UG46" i="1" s="1" a="1"/>
  <c r="UG46" i="1" s="1"/>
  <c r="UI46" i="1"/>
  <c r="UM46" i="1" s="1"/>
  <c r="GC31" i="1"/>
  <c r="GB31" i="1"/>
  <c r="XM51" i="1"/>
  <c r="XG51" i="1"/>
  <c r="XM30" i="1"/>
  <c r="XG30" i="1"/>
  <c r="XG32" i="1"/>
  <c r="XM32" i="1"/>
  <c r="ED56" i="1"/>
  <c r="EC56" i="1"/>
  <c r="EC40" i="1"/>
  <c r="ED40" i="1"/>
  <c r="FE29" i="1"/>
  <c r="FF29" i="1"/>
  <c r="FF42" i="1"/>
  <c r="FE42" i="1"/>
  <c r="XK33" i="1"/>
  <c r="XP33" i="1"/>
  <c r="XU33" i="1" s="1"/>
  <c r="XT33" i="1"/>
  <c r="XG52" i="1"/>
  <c r="XM52" i="1"/>
  <c r="XP48" i="1"/>
  <c r="XU48" i="1" s="1"/>
  <c r="XT48" i="1"/>
  <c r="XK48" i="1"/>
  <c r="UI53" i="1"/>
  <c r="UM53" i="1" s="1"/>
  <c r="XM31" i="1"/>
  <c r="XG31" i="1"/>
  <c r="GC41" i="1"/>
  <c r="GY41" i="1" s="1"/>
  <c r="HH41" i="1" s="1"/>
  <c r="GB41" i="1"/>
  <c r="UE32" i="1"/>
  <c r="XT43" i="1"/>
  <c r="XK43" i="1"/>
  <c r="XP43" i="1"/>
  <c r="XU43" i="1" s="1"/>
  <c r="ED44" i="1"/>
  <c r="EC44" i="1"/>
  <c r="KL44" i="1" a="1"/>
  <c r="KL44" i="1" s="1"/>
  <c r="KN44" i="1" a="1"/>
  <c r="KN44" i="1" s="1"/>
  <c r="LC44" i="1" s="1"/>
  <c r="LF44" i="1" s="1"/>
  <c r="FJ40" i="1"/>
  <c r="GU40" i="1"/>
  <c r="HE40" i="1" s="1"/>
  <c r="XM50" i="1"/>
  <c r="XG50" i="1"/>
  <c r="XG38" i="1"/>
  <c r="XM38" i="1"/>
  <c r="UE33" i="1"/>
  <c r="UE52" i="1"/>
  <c r="FJ46" i="1"/>
  <c r="GU46" i="1"/>
  <c r="HE46" i="1" s="1"/>
  <c r="GU36" i="1"/>
  <c r="FJ36" i="1"/>
  <c r="UF29" i="1" a="1"/>
  <c r="UF29" i="1" s="1"/>
  <c r="UG29" i="1" s="1" a="1"/>
  <c r="UG29" i="1" s="1"/>
  <c r="UI29" i="1"/>
  <c r="XM36" i="1"/>
  <c r="XG36" i="1"/>
  <c r="LB28" i="1"/>
  <c r="LE28" i="1" s="1"/>
  <c r="KN28" i="1" a="1"/>
  <c r="KN28" i="1" s="1"/>
  <c r="ED38" i="1"/>
  <c r="EC38" i="1"/>
  <c r="EC46" i="1"/>
  <c r="ED46" i="1"/>
  <c r="EC35" i="1"/>
  <c r="ED35" i="1"/>
  <c r="KN36" i="1" a="1"/>
  <c r="KN36" i="1" s="1"/>
  <c r="LC36" i="1" s="1"/>
  <c r="LF36" i="1" s="1"/>
  <c r="OR36" i="1"/>
  <c r="OR29" i="1"/>
  <c r="OR34" i="1"/>
  <c r="LR32" i="1"/>
  <c r="LQ32" i="1"/>
  <c r="OR52" i="1"/>
  <c r="UF50" i="1" a="1"/>
  <c r="UF50" i="1" s="1"/>
  <c r="UG50" i="1" s="1" a="1"/>
  <c r="UG50" i="1" s="1"/>
  <c r="UI50" i="1"/>
  <c r="UM50" i="1" s="1"/>
  <c r="GU51" i="1"/>
  <c r="HE51" i="1" s="1"/>
  <c r="FJ51" i="1"/>
  <c r="XG56" i="1"/>
  <c r="XM56" i="1"/>
  <c r="UE54" i="1"/>
  <c r="GV45" i="1"/>
  <c r="HF45" i="1" s="1"/>
  <c r="GG45" i="1"/>
  <c r="FE39" i="1"/>
  <c r="FF39" i="1"/>
  <c r="GY39" i="1" s="1"/>
  <c r="HH39" i="1" s="1"/>
  <c r="UE30" i="1"/>
  <c r="ED31" i="1"/>
  <c r="EC31" i="1"/>
  <c r="HC48" i="1"/>
  <c r="XP34" i="1"/>
  <c r="XU34" i="1" s="1"/>
  <c r="XT34" i="1"/>
  <c r="XK34" i="1"/>
  <c r="GB33" i="1"/>
  <c r="GC33" i="1"/>
  <c r="FE45" i="1"/>
  <c r="FF45" i="1"/>
  <c r="GY45" i="1" s="1"/>
  <c r="HH45" i="1" s="1"/>
  <c r="UE39" i="1"/>
  <c r="XK46" i="1"/>
  <c r="XT46" i="1"/>
  <c r="XP46" i="1"/>
  <c r="XU46" i="1" s="1"/>
  <c r="XM41" i="1"/>
  <c r="XG41" i="1"/>
  <c r="FE34" i="1"/>
  <c r="FF34" i="1"/>
  <c r="XM29" i="1"/>
  <c r="XG29" i="1"/>
  <c r="EC37" i="1"/>
  <c r="ED37" i="1"/>
  <c r="EC48" i="1"/>
  <c r="ED48" i="1"/>
  <c r="UE44" i="1"/>
  <c r="FE56" i="1"/>
  <c r="FF56" i="1"/>
  <c r="FE37" i="1"/>
  <c r="FF37" i="1"/>
  <c r="XP54" i="1"/>
  <c r="XU54" i="1" s="1"/>
  <c r="XT54" i="1"/>
  <c r="XK54" i="1"/>
  <c r="XP42" i="1"/>
  <c r="XU42" i="1" s="1"/>
  <c r="XK42" i="1"/>
  <c r="XT42" i="1"/>
  <c r="XG47" i="1"/>
  <c r="XM47" i="1"/>
  <c r="XT53" i="1"/>
  <c r="XP53" i="1"/>
  <c r="XU53" i="1" s="1"/>
  <c r="XK53" i="1"/>
  <c r="XT30" i="1"/>
  <c r="XP30" i="1"/>
  <c r="XU30" i="1" s="1"/>
  <c r="XK30" i="1"/>
  <c r="GC42" i="1"/>
  <c r="GB42" i="1"/>
  <c r="GC49" i="1"/>
  <c r="GY49" i="1" s="1"/>
  <c r="HH49" i="1" s="1"/>
  <c r="GB49" i="1"/>
  <c r="HC40" i="1"/>
  <c r="GB29" i="1"/>
  <c r="GC29" i="1"/>
  <c r="UE45" i="1"/>
  <c r="XM44" i="1"/>
  <c r="XG44" i="1"/>
  <c r="GB44" i="1"/>
  <c r="GC44" i="1"/>
  <c r="GY44" i="1" s="1"/>
  <c r="HH44" i="1" s="1"/>
  <c r="XK52" i="1"/>
  <c r="XT52" i="1"/>
  <c r="XP52" i="1"/>
  <c r="XU52" i="1" s="1"/>
  <c r="GC36" i="1"/>
  <c r="GY36" i="1" s="1"/>
  <c r="HH36" i="1" s="1"/>
  <c r="GB36" i="1"/>
  <c r="XK40" i="1"/>
  <c r="XT40" i="1"/>
  <c r="XP40" i="1"/>
  <c r="XU40" i="1" s="1"/>
  <c r="UE47" i="1"/>
  <c r="UE51" i="1"/>
  <c r="FF52" i="1"/>
  <c r="FE52" i="1"/>
  <c r="GC30" i="1"/>
  <c r="GB30" i="1"/>
  <c r="XM43" i="1"/>
  <c r="XG43" i="1"/>
  <c r="FF50" i="1"/>
  <c r="FE50" i="1"/>
  <c r="ED47" i="1"/>
  <c r="EC47" i="1"/>
  <c r="HC29" i="1"/>
  <c r="XG45" i="1"/>
  <c r="XM45" i="1"/>
  <c r="FJ28" i="1"/>
  <c r="GU28" i="1"/>
  <c r="XM28" i="1"/>
  <c r="XP28" i="1" s="1"/>
  <c r="XU28" i="1" s="1"/>
  <c r="XG28" i="1"/>
  <c r="XK28" i="1" s="1"/>
  <c r="UE56" i="1"/>
  <c r="GU43" i="1"/>
  <c r="HE43" i="1" s="1"/>
  <c r="FJ43" i="1"/>
  <c r="XT39" i="1"/>
  <c r="XK39" i="1"/>
  <c r="XP39" i="1"/>
  <c r="XU39" i="1" s="1"/>
  <c r="GB48" i="1"/>
  <c r="GC48" i="1"/>
  <c r="GY48" i="1" s="1"/>
  <c r="HH48" i="1" s="1"/>
  <c r="GV28" i="1"/>
  <c r="HF28" i="1" s="1"/>
  <c r="GG28" i="1"/>
  <c r="UE31" i="1"/>
  <c r="FJ49" i="1"/>
  <c r="GU49" i="1"/>
  <c r="HE49" i="1" s="1"/>
  <c r="HC46" i="1"/>
  <c r="HC51" i="1"/>
  <c r="EC34" i="1"/>
  <c r="ED34" i="1"/>
  <c r="OR30" i="1"/>
  <c r="OR42" i="1"/>
  <c r="OR51" i="1"/>
  <c r="OR37" i="1"/>
  <c r="OR54" i="1"/>
  <c r="OR53" i="1"/>
  <c r="OR39" i="1"/>
  <c r="OR35" i="1"/>
  <c r="ES53" i="1" a="1"/>
  <c r="NW48" i="1" a="1"/>
  <c r="NW46" i="1" a="1"/>
  <c r="NW49" i="1" a="1"/>
  <c r="QQ39" i="1" a="1"/>
  <c r="NW33" i="1" a="1"/>
  <c r="QQ54" i="1" a="1"/>
  <c r="QQ56" i="1" a="1"/>
  <c r="NW36" i="1" a="1"/>
  <c r="QS41" i="1" a="1"/>
  <c r="QS34" i="1" a="1"/>
  <c r="QQ29" i="1" a="1"/>
  <c r="NW39" i="1" a="1"/>
  <c r="NW43" i="1" a="1"/>
  <c r="NW47" i="1" a="1"/>
  <c r="QS45" i="1" a="1"/>
  <c r="QQ46" i="1" a="1"/>
  <c r="QS37" i="1" a="1"/>
  <c r="QQ28" i="1" a="1"/>
  <c r="QS56" i="1" a="1"/>
  <c r="QQ41" i="1" a="1"/>
  <c r="QS38" i="1" a="1"/>
  <c r="QQ49" i="1" a="1"/>
  <c r="QQ50" i="1" a="1"/>
  <c r="EQ42" i="1" a="1"/>
  <c r="EQ50" i="1" a="1"/>
  <c r="EQ37" i="1" a="1"/>
  <c r="EQ38" i="1" a="1"/>
  <c r="EQ52" i="1" a="1"/>
  <c r="ER31" i="1"/>
  <c r="DX41" i="1" a="1"/>
  <c r="DX39" i="1" a="1"/>
  <c r="EA45" i="1" a="1"/>
  <c r="EV47" i="1" a="1"/>
  <c r="FL54" i="1" a="1"/>
  <c r="DZ44" i="1"/>
  <c r="DZ35" i="1"/>
  <c r="DW31" i="1"/>
  <c r="DU47" i="1"/>
  <c r="DX29" i="1" a="1"/>
  <c r="EV46" i="1" a="1"/>
  <c r="DU43" i="1"/>
  <c r="LT42" i="1" a="1"/>
  <c r="DU56" i="1"/>
  <c r="DW46" i="1"/>
  <c r="DZ37" i="1"/>
  <c r="FL28" i="1" a="1"/>
  <c r="DX46" i="1" a="1"/>
  <c r="EA53" i="1" a="1"/>
  <c r="DU52" i="1"/>
  <c r="DZ51" i="1"/>
  <c r="DU40" i="1"/>
  <c r="DW38" i="1"/>
  <c r="GI28" i="1" a="1"/>
  <c r="EA33" i="1" a="1"/>
  <c r="LJ44" i="1" a="1"/>
  <c r="DX35" i="1" a="1"/>
  <c r="EA36" i="1" a="1"/>
  <c r="DW49" i="1"/>
  <c r="DW39" i="1"/>
  <c r="DU44" i="1"/>
  <c r="DZ34" i="1"/>
  <c r="DX52" i="1" a="1"/>
  <c r="DW35" i="1"/>
  <c r="DU37" i="1"/>
  <c r="DW34" i="1"/>
  <c r="DX54" i="1" a="1"/>
  <c r="DU49" i="1"/>
  <c r="DZ29" i="1"/>
  <c r="LI32" i="1"/>
  <c r="DW48" i="1"/>
  <c r="EV35" i="1" a="1"/>
  <c r="EV41" i="1" a="1"/>
  <c r="DZ54" i="1"/>
  <c r="DZ46" i="1"/>
  <c r="DX47" i="1" a="1"/>
  <c r="LJ45" i="1" a="1"/>
  <c r="LN32" i="1"/>
  <c r="EV32" i="1" a="1"/>
  <c r="DZ40" i="1"/>
  <c r="QS33" i="1" a="1"/>
  <c r="QS42" i="1" a="1"/>
  <c r="QQ36" i="1" a="1"/>
  <c r="NW41" i="1" a="1"/>
  <c r="QQ43" i="1" a="1"/>
  <c r="NW45" i="1" a="1"/>
  <c r="QS48" i="1" a="1"/>
  <c r="QQ37" i="1" a="1"/>
  <c r="QS30" i="1" a="1"/>
  <c r="NW40" i="1" a="1"/>
  <c r="QS54" i="1" a="1"/>
  <c r="NW28" i="1" a="1"/>
  <c r="QS29" i="1" a="1"/>
  <c r="QS53" i="1" a="1"/>
  <c r="NW44" i="1" a="1"/>
  <c r="QS50" i="1" a="1"/>
  <c r="NW42" i="1" a="1"/>
  <c r="QS31" i="1" a="1"/>
  <c r="NW29" i="1" a="1"/>
  <c r="QS55" i="1" a="1"/>
  <c r="NW52" i="1" a="1"/>
  <c r="QS40" i="1" a="1"/>
  <c r="QQ57" i="1" a="1"/>
  <c r="NV57" i="1" a="1"/>
  <c r="EU53" i="1"/>
  <c r="EQ55" i="1" a="1"/>
  <c r="EQ33" i="1" a="1"/>
  <c r="EQ36" i="1" a="1"/>
  <c r="EQ43" i="1" a="1"/>
  <c r="EU48" i="1"/>
  <c r="EQ45" i="1" a="1"/>
  <c r="EP31" i="1"/>
  <c r="DX51" i="1" a="1"/>
  <c r="EA30" i="1" a="1"/>
  <c r="DX49" i="1" a="1"/>
  <c r="DW44" i="1"/>
  <c r="FL49" i="1" a="1"/>
  <c r="DZ43" i="1"/>
  <c r="GI45" i="1" a="1"/>
  <c r="DW29" i="1"/>
  <c r="DU34" i="1"/>
  <c r="EA41" i="1" a="1"/>
  <c r="EA57" i="1" a="1"/>
  <c r="GI38" i="1" a="1"/>
  <c r="DU35" i="1"/>
  <c r="DX44" i="1" a="1"/>
  <c r="GI32" i="1" a="1"/>
  <c r="DW47" i="1"/>
  <c r="QS47" i="1" a="1"/>
  <c r="QQ33" i="1" a="1"/>
  <c r="QQ40" i="1" a="1"/>
  <c r="QS32" i="1" a="1"/>
  <c r="NW55" i="1" a="1"/>
  <c r="QS39" i="1" a="1"/>
  <c r="QS46" i="1" a="1"/>
  <c r="QQ42" i="1" a="1"/>
  <c r="QQ53" i="1" a="1"/>
  <c r="NW30" i="1" a="1"/>
  <c r="QQ48" i="1" a="1"/>
  <c r="NW54" i="1" a="1"/>
  <c r="QQ45" i="1" a="1"/>
  <c r="QS49" i="1" a="1"/>
  <c r="NW53" i="1" a="1"/>
  <c r="QQ34" i="1" a="1"/>
  <c r="NW57" i="1" a="1"/>
  <c r="QQ47" i="1" a="1"/>
  <c r="NW56" i="1" a="1"/>
  <c r="ES48" i="1" a="1"/>
  <c r="NW31" i="1" a="1"/>
  <c r="QS52" i="1" a="1"/>
  <c r="NW50" i="1" a="1"/>
  <c r="ES31" i="1" a="1"/>
  <c r="EP53" i="1"/>
  <c r="EQ51" i="1" a="1"/>
  <c r="EQ29" i="1" a="1"/>
  <c r="EQ44" i="1" a="1"/>
  <c r="EQ34" i="1" a="1"/>
  <c r="EP48" i="1"/>
  <c r="EQ40" i="1" a="1"/>
  <c r="DX43" i="1" a="1"/>
  <c r="DX40" i="1" a="1"/>
  <c r="DX37" i="1" a="1"/>
  <c r="EA28" i="1" a="1"/>
  <c r="DU29" i="1"/>
  <c r="LH53" i="1" a="1"/>
  <c r="DZ38" i="1"/>
  <c r="DU48" i="1"/>
  <c r="LL32" i="1" a="1"/>
  <c r="LV32" i="1" a="1"/>
  <c r="DZ52" i="1"/>
  <c r="FL55" i="1" a="1"/>
  <c r="EV57" i="1" a="1"/>
  <c r="LJ42" i="1" a="1"/>
  <c r="DU39" i="1"/>
  <c r="FL46" i="1" a="1"/>
  <c r="EA42" i="1" a="1"/>
  <c r="LH48" i="1" a="1"/>
  <c r="QQ51" i="1" a="1"/>
  <c r="QQ32" i="1" a="1"/>
  <c r="NW38" i="1" a="1"/>
  <c r="QS44" i="1" a="1"/>
  <c r="NW37" i="1" a="1"/>
  <c r="QS51" i="1" a="1"/>
  <c r="QS43" i="1" a="1"/>
  <c r="NW35" i="1" a="1"/>
  <c r="QQ30" i="1" a="1"/>
  <c r="QQ52" i="1" a="1"/>
  <c r="NW32" i="1" a="1"/>
  <c r="NW51" i="1" a="1"/>
  <c r="QQ35" i="1" a="1"/>
  <c r="QS36" i="1" a="1"/>
  <c r="QQ44" i="1" a="1"/>
  <c r="QQ31" i="1" a="1"/>
  <c r="QS35" i="1" a="1"/>
  <c r="QQ55" i="1" a="1"/>
  <c r="NW34" i="1" a="1"/>
  <c r="QS28" i="1" a="1"/>
  <c r="QS57" i="1" a="1"/>
  <c r="QQ38" i="1" a="1"/>
  <c r="ER53" i="1"/>
  <c r="EQ30" i="1" a="1"/>
  <c r="EQ28" i="1" a="1"/>
  <c r="EQ49" i="1" a="1"/>
  <c r="EQ56" i="1" a="1"/>
  <c r="ER48" i="1"/>
  <c r="EU31" i="1"/>
  <c r="LH35" i="1" a="1"/>
  <c r="EV54" i="1" a="1"/>
  <c r="DW52" i="1"/>
  <c r="DW51" i="1"/>
  <c r="GI39" i="1" a="1"/>
  <c r="DW56" i="1"/>
  <c r="DU46" i="1"/>
  <c r="DZ48" i="1"/>
  <c r="DX34" i="1" a="1"/>
  <c r="DW54" i="1"/>
  <c r="GI47" i="1" a="1"/>
  <c r="FL36" i="1" a="1"/>
  <c r="FL51" i="1" a="1"/>
  <c r="DZ47" i="1"/>
  <c r="EA50" i="1" a="1"/>
  <c r="DZ49" i="1"/>
  <c r="FL44" i="1" a="1"/>
  <c r="LT45" i="1" a="1"/>
  <c r="DZ56" i="1"/>
  <c r="DU38" i="1"/>
  <c r="DU31" i="1"/>
  <c r="EA55" i="1" a="1"/>
  <c r="DX38" i="1" a="1"/>
  <c r="LJ36" i="1" a="1"/>
  <c r="DW43" i="1"/>
  <c r="DU51" i="1"/>
  <c r="DW40" i="1"/>
  <c r="LK32" i="1"/>
  <c r="FL43" i="1" a="1"/>
  <c r="MF32" i="1" a="1"/>
  <c r="DZ39" i="1"/>
  <c r="LH28" i="1" a="1"/>
  <c r="EV39" i="1" a="1"/>
  <c r="LT36" i="1" a="1"/>
  <c r="EA32" i="1" a="1"/>
  <c r="DX48" i="1" a="1"/>
  <c r="FL40" i="1" a="1"/>
  <c r="DX56" i="1" a="1"/>
  <c r="FL41" i="1" a="1"/>
  <c r="DW37" i="1"/>
  <c r="LT44" i="1" a="1"/>
  <c r="DU54" i="1"/>
  <c r="DZ31" i="1"/>
  <c r="DX31" i="1" a="1"/>
  <c r="EQ56" i="1" l="1"/>
  <c r="EQ49" i="1"/>
  <c r="EQ28" i="1"/>
  <c r="EQ30" i="1"/>
  <c r="QQ38" i="1"/>
  <c r="QS57" i="1"/>
  <c r="QS28" i="1"/>
  <c r="NW34" i="1"/>
  <c r="QQ55" i="1"/>
  <c r="QS35" i="1"/>
  <c r="QQ31" i="1"/>
  <c r="QQ44" i="1"/>
  <c r="QS36" i="1"/>
  <c r="QQ35" i="1"/>
  <c r="QU35" i="1" s="1"/>
  <c r="QW35" i="1" s="1"/>
  <c r="QT35" i="1" s="1"/>
  <c r="NW51" i="1"/>
  <c r="NW32" i="1"/>
  <c r="QQ52" i="1"/>
  <c r="QQ30" i="1"/>
  <c r="NW35" i="1"/>
  <c r="QS43" i="1"/>
  <c r="QS51" i="1"/>
  <c r="NW37" i="1"/>
  <c r="QS44" i="1"/>
  <c r="NW38" i="1"/>
  <c r="QQ32" i="1"/>
  <c r="QQ51" i="1"/>
  <c r="QU51" i="1" s="1"/>
  <c r="QW51" i="1" s="1"/>
  <c r="QT51" i="1" s="1"/>
  <c r="EQ40" i="1"/>
  <c r="EQ34" i="1"/>
  <c r="EQ44" i="1"/>
  <c r="EQ29" i="1"/>
  <c r="EQ51" i="1"/>
  <c r="ES31" i="1"/>
  <c r="ET31" i="1" s="1"/>
  <c r="EZ31" i="1" s="1"/>
  <c r="NW50" i="1"/>
  <c r="QS52" i="1"/>
  <c r="NW31" i="1"/>
  <c r="ES48" i="1"/>
  <c r="ET48" i="1" s="1"/>
  <c r="EZ48" i="1" s="1"/>
  <c r="NW56" i="1"/>
  <c r="QQ47" i="1"/>
  <c r="QU47" i="1" s="1"/>
  <c r="QW47" i="1" s="1"/>
  <c r="QT47" i="1" s="1"/>
  <c r="NW57" i="1"/>
  <c r="QQ34" i="1"/>
  <c r="NW53" i="1"/>
  <c r="QS49" i="1"/>
  <c r="QQ45" i="1"/>
  <c r="NW54" i="1"/>
  <c r="QQ48" i="1"/>
  <c r="NW30" i="1"/>
  <c r="QQ53" i="1"/>
  <c r="QU53" i="1" s="1"/>
  <c r="QW53" i="1" s="1"/>
  <c r="QT53" i="1" s="1"/>
  <c r="QQ42" i="1"/>
  <c r="QU42" i="1" s="1"/>
  <c r="QW42" i="1" s="1"/>
  <c r="QT42" i="1" s="1"/>
  <c r="QS46" i="1"/>
  <c r="QS39" i="1"/>
  <c r="NW55" i="1"/>
  <c r="QS32" i="1"/>
  <c r="QQ40" i="1"/>
  <c r="QQ33" i="1"/>
  <c r="QS47" i="1"/>
  <c r="EQ45" i="1"/>
  <c r="EQ43" i="1"/>
  <c r="EQ36" i="1"/>
  <c r="EQ33" i="1"/>
  <c r="EQ55" i="1"/>
  <c r="NV57" i="1"/>
  <c r="OJ57" i="1" s="1"/>
  <c r="OR57" i="1" s="1"/>
  <c r="QQ57" i="1"/>
  <c r="QS40" i="1"/>
  <c r="NW52" i="1"/>
  <c r="QS55" i="1"/>
  <c r="NW29" i="1"/>
  <c r="QS31" i="1"/>
  <c r="NW42" i="1"/>
  <c r="QS50" i="1"/>
  <c r="NW44" i="1"/>
  <c r="QS53" i="1"/>
  <c r="QS29" i="1"/>
  <c r="NW28" i="1"/>
  <c r="QS54" i="1"/>
  <c r="NW40" i="1"/>
  <c r="QS30" i="1"/>
  <c r="QQ37" i="1"/>
  <c r="QS48" i="1"/>
  <c r="NW45" i="1"/>
  <c r="QQ43" i="1"/>
  <c r="QU43" i="1" s="1"/>
  <c r="QW43" i="1" s="1"/>
  <c r="QT43" i="1" s="1"/>
  <c r="NW41" i="1"/>
  <c r="QQ36" i="1"/>
  <c r="QU36" i="1" s="1"/>
  <c r="QW36" i="1" s="1"/>
  <c r="QT36" i="1" s="1"/>
  <c r="QS42" i="1"/>
  <c r="QS33" i="1"/>
  <c r="EQ52" i="1"/>
  <c r="EQ38" i="1"/>
  <c r="EQ37" i="1"/>
  <c r="EQ50" i="1"/>
  <c r="EQ42" i="1"/>
  <c r="QQ50" i="1"/>
  <c r="QQ49" i="1"/>
  <c r="QS38" i="1"/>
  <c r="QQ41" i="1"/>
  <c r="QS56" i="1"/>
  <c r="QQ28" i="1"/>
  <c r="QU28" i="1" s="1"/>
  <c r="QW28" i="1" s="1"/>
  <c r="QT28" i="1" s="1"/>
  <c r="QS37" i="1"/>
  <c r="QQ46" i="1"/>
  <c r="QU46" i="1" s="1"/>
  <c r="QW46" i="1" s="1"/>
  <c r="QT46" i="1" s="1"/>
  <c r="RL46" i="1" s="1"/>
  <c r="YA46" i="1" s="1"/>
  <c r="YJ46" i="1" s="1"/>
  <c r="QS45" i="1"/>
  <c r="NW47" i="1"/>
  <c r="NW43" i="1"/>
  <c r="NW39" i="1"/>
  <c r="QQ29" i="1"/>
  <c r="QS34" i="1"/>
  <c r="QS41" i="1"/>
  <c r="NW36" i="1"/>
  <c r="QQ56" i="1"/>
  <c r="QU56" i="1" s="1"/>
  <c r="QW56" i="1" s="1"/>
  <c r="QT56" i="1" s="1"/>
  <c r="QQ54" i="1"/>
  <c r="NW33" i="1"/>
  <c r="QQ39" i="1"/>
  <c r="NW49" i="1"/>
  <c r="NW46" i="1"/>
  <c r="NW48" i="1"/>
  <c r="ES53" i="1"/>
  <c r="ET53" i="1" s="1"/>
  <c r="EZ53" i="1" s="1"/>
  <c r="FE31" i="1"/>
  <c r="FF31" i="1"/>
  <c r="EY56" i="1"/>
  <c r="EX56" i="1"/>
  <c r="EX49" i="1"/>
  <c r="EY49" i="1"/>
  <c r="KK37" i="1" a="1"/>
  <c r="KK37" i="1" s="1"/>
  <c r="KL37" i="1" s="1" a="1"/>
  <c r="KL37" i="1" s="1"/>
  <c r="KJ37" i="1"/>
  <c r="KG43" i="1" a="1"/>
  <c r="KG43" i="1" s="1"/>
  <c r="KJ50" i="1"/>
  <c r="KK50" i="1" a="1"/>
  <c r="KK50" i="1" s="1"/>
  <c r="KL50" i="1" s="1" a="1"/>
  <c r="KL50" i="1" s="1"/>
  <c r="KG55" i="1" a="1"/>
  <c r="KG55" i="1" s="1"/>
  <c r="KK41" i="1" a="1"/>
  <c r="KK41" i="1" s="1"/>
  <c r="KL41" i="1" s="1" a="1"/>
  <c r="KL41" i="1" s="1"/>
  <c r="KJ41" i="1"/>
  <c r="KG38" i="1" a="1"/>
  <c r="KG38" i="1" s="1"/>
  <c r="EX28" i="1"/>
  <c r="N23" i="21" s="1" a="1"/>
  <c r="N23" i="21" s="1"/>
  <c r="EY28" i="1"/>
  <c r="O23" i="21" s="1" a="1"/>
  <c r="O23" i="21" s="1"/>
  <c r="EX30" i="1"/>
  <c r="KJ47" i="1"/>
  <c r="KM47" i="1" s="1" a="1"/>
  <c r="KM47" i="1" s="1"/>
  <c r="LB47" i="1" s="1"/>
  <c r="LE47" i="1" s="1"/>
  <c r="KK47" i="1" a="1"/>
  <c r="KK47" i="1" s="1"/>
  <c r="KG33" i="1" a="1"/>
  <c r="KG33" i="1" s="1"/>
  <c r="KG39" i="1" a="1"/>
  <c r="KG39" i="1" s="1"/>
  <c r="KG51" i="1" a="1"/>
  <c r="KG51" i="1" s="1"/>
  <c r="AP46" i="18"/>
  <c r="AT65" i="18"/>
  <c r="AT36" i="18"/>
  <c r="AN42" i="18"/>
  <c r="AP63" i="18"/>
  <c r="AT43" i="18"/>
  <c r="AP39" i="18"/>
  <c r="AP52" i="18"/>
  <c r="AT44" i="18"/>
  <c r="AP43" i="18"/>
  <c r="AN59" i="18"/>
  <c r="AN40" i="18"/>
  <c r="AP60" i="18"/>
  <c r="AP38" i="18"/>
  <c r="AN43" i="18"/>
  <c r="AT51" i="18"/>
  <c r="AT59" i="18"/>
  <c r="AN45" i="18"/>
  <c r="AT52" i="18"/>
  <c r="AN46" i="18"/>
  <c r="AP40" i="18"/>
  <c r="AP59" i="18"/>
  <c r="KG52" i="1" a="1"/>
  <c r="KG52" i="1" s="1"/>
  <c r="KM52" i="1" a="1"/>
  <c r="KM52" i="1" s="1"/>
  <c r="LB52" i="1" s="1"/>
  <c r="LE52" i="1" s="1"/>
  <c r="EX40" i="1"/>
  <c r="EY40" i="1"/>
  <c r="KG40" i="1" a="1"/>
  <c r="KG40" i="1" s="1"/>
  <c r="EY34" i="1"/>
  <c r="EX34" i="1"/>
  <c r="EY44" i="1"/>
  <c r="EX44" i="1"/>
  <c r="EX29" i="1"/>
  <c r="KJ43" i="1"/>
  <c r="KM43" i="1" s="1" a="1"/>
  <c r="KM43" i="1" s="1"/>
  <c r="LB43" i="1" s="1"/>
  <c r="LE43" i="1" s="1"/>
  <c r="KK43" i="1" a="1"/>
  <c r="KK43" i="1" s="1"/>
  <c r="KL43" i="1" s="1" a="1"/>
  <c r="KL43" i="1" s="1"/>
  <c r="KK30" i="1" a="1"/>
  <c r="KK30" i="1" s="1"/>
  <c r="KL30" i="1" s="1" a="1"/>
  <c r="KL30" i="1" s="1"/>
  <c r="KO30" i="1" s="1" a="1"/>
  <c r="KO30" i="1" s="1"/>
  <c r="LD30" i="1" s="1"/>
  <c r="LG30" i="1" s="1"/>
  <c r="KJ30" i="1"/>
  <c r="KM30" i="1" s="1" a="1"/>
  <c r="KM30" i="1" s="1"/>
  <c r="LB30" i="1" s="1"/>
  <c r="LE30" i="1" s="1"/>
  <c r="KK54" i="1" a="1"/>
  <c r="KK54" i="1" s="1"/>
  <c r="KL54" i="1" s="1" a="1"/>
  <c r="KL54" i="1" s="1"/>
  <c r="KJ54" i="1"/>
  <c r="KJ38" i="1"/>
  <c r="KM38" i="1" s="1" a="1"/>
  <c r="KM38" i="1" s="1"/>
  <c r="LB38" i="1" s="1"/>
  <c r="LE38" i="1" s="1"/>
  <c r="KK38" i="1" a="1"/>
  <c r="KK38" i="1" s="1"/>
  <c r="KL38" i="1" s="1" a="1"/>
  <c r="KL38" i="1" s="1"/>
  <c r="EY51" i="1"/>
  <c r="EX51" i="1"/>
  <c r="KJ56" i="1"/>
  <c r="KM56" i="1" s="1" a="1"/>
  <c r="KM56" i="1" s="1"/>
  <c r="LB56" i="1" s="1"/>
  <c r="LE56" i="1" s="1"/>
  <c r="KK56" i="1" a="1"/>
  <c r="KK56" i="1" s="1"/>
  <c r="KL56" i="1" s="1" a="1"/>
  <c r="KL56" i="1" s="1"/>
  <c r="KK39" i="1" a="1"/>
  <c r="KK39" i="1" s="1"/>
  <c r="KL39" i="1" s="1" a="1"/>
  <c r="KL39" i="1" s="1"/>
  <c r="KJ39" i="1"/>
  <c r="KM39" i="1" s="1" a="1"/>
  <c r="KM39" i="1" s="1"/>
  <c r="LB39" i="1" s="1"/>
  <c r="LE39" i="1" s="1"/>
  <c r="KJ51" i="1"/>
  <c r="KM51" i="1" s="1" a="1"/>
  <c r="KM51" i="1" s="1"/>
  <c r="LB51" i="1" s="1"/>
  <c r="LE51" i="1" s="1"/>
  <c r="KK51" i="1" a="1"/>
  <c r="KK51" i="1" s="1"/>
  <c r="KL51" i="1" s="1" a="1"/>
  <c r="KL51" i="1" s="1"/>
  <c r="AN58" i="18"/>
  <c r="AT60" i="18"/>
  <c r="AN39" i="18"/>
  <c r="AN64" i="18"/>
  <c r="AP55" i="18"/>
  <c r="AN65" i="18"/>
  <c r="AP42" i="18"/>
  <c r="AN61" i="18"/>
  <c r="AT57" i="18"/>
  <c r="AP53" i="18"/>
  <c r="AN62" i="18"/>
  <c r="AP56" i="18"/>
  <c r="AN38" i="18"/>
  <c r="AP61" i="18"/>
  <c r="AP50" i="18"/>
  <c r="AT54" i="18"/>
  <c r="AT47" i="18"/>
  <c r="AN63" i="18"/>
  <c r="AT40" i="18"/>
  <c r="AP48" i="18"/>
  <c r="AP41" i="18"/>
  <c r="AT55" i="18"/>
  <c r="GY31" i="1"/>
  <c r="HH31" i="1" s="1"/>
  <c r="EY45" i="1"/>
  <c r="EX45" i="1"/>
  <c r="KJ52" i="1"/>
  <c r="KK52" i="1" a="1"/>
  <c r="KK52" i="1" s="1"/>
  <c r="KL52" i="1" s="1" a="1"/>
  <c r="KL52" i="1" s="1"/>
  <c r="KG29" i="1" a="1"/>
  <c r="KG29" i="1" s="1"/>
  <c r="KJ40" i="1"/>
  <c r="KM40" i="1" s="1" a="1"/>
  <c r="KM40" i="1" s="1"/>
  <c r="LB40" i="1" s="1"/>
  <c r="LE40" i="1" s="1"/>
  <c r="KK40" i="1" a="1"/>
  <c r="KK40" i="1" s="1"/>
  <c r="KL40" i="1" s="1" a="1"/>
  <c r="KL40" i="1" s="1"/>
  <c r="KG34" i="1" a="1"/>
  <c r="KG34" i="1" s="1"/>
  <c r="KG37" i="1" a="1"/>
  <c r="KG37" i="1" s="1"/>
  <c r="KN37" i="1" s="1" a="1"/>
  <c r="KN37" i="1" s="1"/>
  <c r="KM37" i="1" a="1"/>
  <c r="KM37" i="1" s="1"/>
  <c r="LB37" i="1" s="1"/>
  <c r="LE37" i="1" s="1"/>
  <c r="EY43" i="1"/>
  <c r="EX43" i="1"/>
  <c r="KJ31" i="1"/>
  <c r="KM31" i="1" s="1" a="1"/>
  <c r="KM31" i="1" s="1"/>
  <c r="LB31" i="1" s="1"/>
  <c r="LE31" i="1" s="1"/>
  <c r="KK31" i="1" a="1"/>
  <c r="KK31" i="1" s="1"/>
  <c r="KG46" i="1" a="1"/>
  <c r="KG46" i="1" s="1"/>
  <c r="KM46" i="1" a="1"/>
  <c r="KM46" i="1" s="1"/>
  <c r="LB46" i="1" s="1"/>
  <c r="LE46" i="1" s="1"/>
  <c r="KJ55" i="1"/>
  <c r="KM55" i="1" s="1" a="1"/>
  <c r="KM55" i="1" s="1"/>
  <c r="LB55" i="1" s="1"/>
  <c r="LE55" i="1" s="1"/>
  <c r="KK55" i="1" a="1"/>
  <c r="KK55" i="1" s="1"/>
  <c r="KL55" i="1" s="1" a="1"/>
  <c r="KL55" i="1" s="1"/>
  <c r="KG41" i="1" a="1"/>
  <c r="KG41" i="1" s="1"/>
  <c r="KM41" i="1" a="1"/>
  <c r="KM41" i="1" s="1"/>
  <c r="LB41" i="1" s="1"/>
  <c r="LE41" i="1" s="1"/>
  <c r="EY36" i="1"/>
  <c r="EX36" i="1"/>
  <c r="EY33" i="1"/>
  <c r="EX33" i="1"/>
  <c r="EX55" i="1"/>
  <c r="EY55" i="1"/>
  <c r="KJ33" i="1"/>
  <c r="KM33" i="1" s="1" a="1"/>
  <c r="KM33" i="1" s="1"/>
  <c r="LB33" i="1" s="1"/>
  <c r="LE33" i="1" s="1"/>
  <c r="KK33" i="1" a="1"/>
  <c r="KK33" i="1" s="1"/>
  <c r="KL33" i="1" s="1" a="1"/>
  <c r="KL33" i="1" s="1"/>
  <c r="AL65" i="18"/>
  <c r="AP65" i="18"/>
  <c r="AT48" i="18"/>
  <c r="AN60" i="18"/>
  <c r="AT63" i="18"/>
  <c r="AN37" i="18"/>
  <c r="AT39" i="18"/>
  <c r="AN50" i="18"/>
  <c r="AT58" i="18"/>
  <c r="AN52" i="18"/>
  <c r="AT61" i="18"/>
  <c r="AT37" i="18"/>
  <c r="AN36" i="18"/>
  <c r="AT62" i="18"/>
  <c r="AN48" i="18"/>
  <c r="AT38" i="18"/>
  <c r="AP45" i="18"/>
  <c r="AT56" i="18"/>
  <c r="AN53" i="18"/>
  <c r="AP51" i="18"/>
  <c r="AN49" i="18"/>
  <c r="AP44" i="18"/>
  <c r="AT50" i="18"/>
  <c r="AT41" i="18"/>
  <c r="KJ57" i="1"/>
  <c r="KM57" i="1" s="1" a="1"/>
  <c r="KM57" i="1" s="1"/>
  <c r="LB57" i="1" s="1"/>
  <c r="LE57" i="1" s="1"/>
  <c r="KK57" i="1" a="1"/>
  <c r="KK57" i="1" s="1"/>
  <c r="EY52" i="1"/>
  <c r="EX52" i="1"/>
  <c r="KK29" i="1" a="1"/>
  <c r="KK29" i="1" s="1"/>
  <c r="KL29" i="1" s="1" a="1"/>
  <c r="KL29" i="1" s="1"/>
  <c r="KJ29" i="1"/>
  <c r="KM29" i="1" s="1" a="1"/>
  <c r="KM29" i="1" s="1"/>
  <c r="LB29" i="1" s="1"/>
  <c r="LE29" i="1" s="1"/>
  <c r="EY38" i="1"/>
  <c r="EX38" i="1"/>
  <c r="KK34" i="1" a="1"/>
  <c r="KK34" i="1" s="1"/>
  <c r="KL34" i="1" s="1" a="1"/>
  <c r="KL34" i="1" s="1"/>
  <c r="KJ34" i="1"/>
  <c r="KM34" i="1" s="1" a="1"/>
  <c r="KM34" i="1" s="1"/>
  <c r="LB34" i="1" s="1"/>
  <c r="LE34" i="1" s="1"/>
  <c r="KJ49" i="1"/>
  <c r="KM49" i="1" s="1" a="1"/>
  <c r="KM49" i="1" s="1"/>
  <c r="LB49" i="1" s="1"/>
  <c r="LE49" i="1" s="1"/>
  <c r="KK49" i="1" a="1"/>
  <c r="KK49" i="1" s="1"/>
  <c r="EY37" i="1"/>
  <c r="EX37" i="1"/>
  <c r="KG50" i="1" a="1"/>
  <c r="KG50" i="1" s="1"/>
  <c r="KM50" i="1" a="1"/>
  <c r="KM50" i="1" s="1"/>
  <c r="LB50" i="1" s="1"/>
  <c r="LE50" i="1" s="1"/>
  <c r="KN30" i="1" a="1"/>
  <c r="KN30" i="1" s="1"/>
  <c r="LC30" i="1" s="1"/>
  <c r="LF30" i="1" s="1"/>
  <c r="KK46" i="1" a="1"/>
  <c r="KK46" i="1" s="1"/>
  <c r="KL46" i="1" s="1" a="1"/>
  <c r="KL46" i="1" s="1"/>
  <c r="KJ46" i="1"/>
  <c r="KG54" i="1" a="1"/>
  <c r="KG54" i="1" s="1"/>
  <c r="KN54" i="1" s="1" a="1"/>
  <c r="KN54" i="1" s="1"/>
  <c r="KM54" i="1" a="1"/>
  <c r="KM54" i="1" s="1"/>
  <c r="LB54" i="1" s="1"/>
  <c r="LE54" i="1" s="1"/>
  <c r="EY50" i="1"/>
  <c r="EX50" i="1"/>
  <c r="EX42" i="1"/>
  <c r="EY42" i="1"/>
  <c r="AP58" i="18"/>
  <c r="AP57" i="18"/>
  <c r="AT46" i="18"/>
  <c r="AP49" i="18"/>
  <c r="AT64" i="18"/>
  <c r="AP36" i="18"/>
  <c r="AT45" i="18"/>
  <c r="AP54" i="18"/>
  <c r="AT53" i="18"/>
  <c r="AN55" i="18"/>
  <c r="AN51" i="18"/>
  <c r="AN47" i="18"/>
  <c r="AP37" i="18"/>
  <c r="AT42" i="18"/>
  <c r="AT49" i="18"/>
  <c r="AN44" i="18"/>
  <c r="AP64" i="18"/>
  <c r="AP62" i="18"/>
  <c r="AN41" i="18"/>
  <c r="AP47" i="18"/>
  <c r="AN57" i="18"/>
  <c r="AN54" i="18"/>
  <c r="AN56" i="18"/>
  <c r="GY56" i="1"/>
  <c r="HH56" i="1" s="1"/>
  <c r="GY50" i="1"/>
  <c r="HH50" i="1" s="1"/>
  <c r="UI42" i="1"/>
  <c r="UM42" i="1" s="1"/>
  <c r="DX41" i="1"/>
  <c r="DY41" i="1" s="1"/>
  <c r="EE41" i="1" s="1"/>
  <c r="GU55" i="1"/>
  <c r="YO42" i="1"/>
  <c r="UI38" i="1"/>
  <c r="UL38" i="1" s="1"/>
  <c r="QX46" i="1"/>
  <c r="RG46" i="1" s="1"/>
  <c r="GY32" i="1"/>
  <c r="HH32" i="1" s="1"/>
  <c r="MF32" i="1"/>
  <c r="GY35" i="1"/>
  <c r="HH35" i="1" s="1"/>
  <c r="GY37" i="1"/>
  <c r="HH37" i="1" s="1"/>
  <c r="GY34" i="1"/>
  <c r="HH34" i="1" s="1"/>
  <c r="LH35" i="1"/>
  <c r="LC35" i="1"/>
  <c r="LF35" i="1" s="1"/>
  <c r="KO35" i="1" a="1"/>
  <c r="KO35" i="1" s="1"/>
  <c r="FL43" i="1"/>
  <c r="GI32" i="1"/>
  <c r="LH48" i="1"/>
  <c r="FL41" i="1"/>
  <c r="EV32" i="1"/>
  <c r="DX47" i="1"/>
  <c r="DY47" i="1" s="1"/>
  <c r="EE47" i="1" s="1"/>
  <c r="EA36" i="1"/>
  <c r="LJ36" i="1"/>
  <c r="DX31" i="1"/>
  <c r="DY31" i="1" s="1"/>
  <c r="EE31" i="1" s="1"/>
  <c r="DX35" i="1"/>
  <c r="DY35" i="1" s="1"/>
  <c r="EE35" i="1" s="1"/>
  <c r="DX38" i="1"/>
  <c r="DY38" i="1" s="1"/>
  <c r="EE38" i="1" s="1"/>
  <c r="DX44" i="1"/>
  <c r="DY44" i="1" s="1"/>
  <c r="EE44" i="1" s="1"/>
  <c r="DX56" i="1"/>
  <c r="DY56" i="1" s="1"/>
  <c r="EE56" i="1" s="1"/>
  <c r="LJ44" i="1"/>
  <c r="EA55" i="1"/>
  <c r="EA33" i="1"/>
  <c r="EA42" i="1"/>
  <c r="GI28" i="1"/>
  <c r="GI45" i="1"/>
  <c r="FL46" i="1"/>
  <c r="FL40" i="1"/>
  <c r="LT45" i="1"/>
  <c r="GI38" i="1"/>
  <c r="FL44" i="1"/>
  <c r="EV41" i="1"/>
  <c r="EA53" i="1"/>
  <c r="EA57" i="1"/>
  <c r="DX48" i="1"/>
  <c r="DY48" i="1" s="1"/>
  <c r="EE48" i="1" s="1"/>
  <c r="DX46" i="1"/>
  <c r="DY46" i="1" s="1"/>
  <c r="EE46" i="1" s="1"/>
  <c r="EA50" i="1"/>
  <c r="LJ42" i="1"/>
  <c r="EA41" i="1"/>
  <c r="EV35" i="1"/>
  <c r="LJ45" i="1"/>
  <c r="EA32" i="1"/>
  <c r="EV57" i="1"/>
  <c r="FL49" i="1"/>
  <c r="FL28" i="1"/>
  <c r="FL51" i="1"/>
  <c r="LT36" i="1"/>
  <c r="FL36" i="1"/>
  <c r="LT44" i="1"/>
  <c r="GI47" i="1"/>
  <c r="LT42" i="1"/>
  <c r="FL55" i="1"/>
  <c r="DX34" i="1"/>
  <c r="DY34" i="1" s="1"/>
  <c r="EE34" i="1" s="1"/>
  <c r="LV32" i="1"/>
  <c r="LL32" i="1"/>
  <c r="LM32" i="1" s="1"/>
  <c r="LS32" i="1" s="1"/>
  <c r="EV46" i="1"/>
  <c r="EV39" i="1"/>
  <c r="DX54" i="1"/>
  <c r="DY54" i="1" s="1"/>
  <c r="EE54" i="1" s="1"/>
  <c r="DX29" i="1"/>
  <c r="DY29" i="1" s="1"/>
  <c r="EE29" i="1" s="1"/>
  <c r="DX49" i="1"/>
  <c r="DY49" i="1" s="1"/>
  <c r="EE49" i="1" s="1"/>
  <c r="LH28" i="1"/>
  <c r="GI39" i="1"/>
  <c r="LH53" i="1"/>
  <c r="FL54" i="1"/>
  <c r="EA28" i="1"/>
  <c r="EV47" i="1"/>
  <c r="DX37" i="1"/>
  <c r="DY37" i="1" s="1"/>
  <c r="EE37" i="1" s="1"/>
  <c r="EA30" i="1"/>
  <c r="EV54" i="1"/>
  <c r="DX40" i="1"/>
  <c r="DY40" i="1" s="1"/>
  <c r="EE40" i="1" s="1"/>
  <c r="EA45" i="1"/>
  <c r="DX51" i="1"/>
  <c r="DY51" i="1" s="1"/>
  <c r="EE51" i="1" s="1"/>
  <c r="DX39" i="1"/>
  <c r="DY39" i="1" s="1"/>
  <c r="EE39" i="1" s="1"/>
  <c r="DX43" i="1"/>
  <c r="DY43" i="1" s="1"/>
  <c r="EE43" i="1" s="1"/>
  <c r="DX52" i="1"/>
  <c r="DY52" i="1" s="1"/>
  <c r="EE52" i="1" s="1"/>
  <c r="UN50" i="1"/>
  <c r="UO50" i="1" a="1"/>
  <c r="UO50" i="1" s="1"/>
  <c r="UP50" i="1" s="1" a="1"/>
  <c r="UP50" i="1" s="1"/>
  <c r="UO46" i="1" a="1"/>
  <c r="UO46" i="1" s="1"/>
  <c r="UP46" i="1" s="1" a="1"/>
  <c r="UP46" i="1" s="1"/>
  <c r="UN46" i="1"/>
  <c r="LC37" i="1"/>
  <c r="LF37" i="1" s="1"/>
  <c r="KO37" i="1" a="1"/>
  <c r="KO37" i="1" s="1"/>
  <c r="GG48" i="1"/>
  <c r="GV48" i="1"/>
  <c r="HF48" i="1" s="1"/>
  <c r="FS43" i="1"/>
  <c r="FT43" i="1"/>
  <c r="GG44" i="1"/>
  <c r="GV44" i="1"/>
  <c r="XR42" i="1"/>
  <c r="XS42" i="1" s="1"/>
  <c r="XW42" i="1"/>
  <c r="YB42" i="1" s="1"/>
  <c r="GU34" i="1"/>
  <c r="FJ34" i="1"/>
  <c r="GU45" i="1"/>
  <c r="FJ45" i="1"/>
  <c r="FJ39" i="1"/>
  <c r="GU39" i="1"/>
  <c r="UL29" i="1"/>
  <c r="UJ29" i="1" a="1"/>
  <c r="UJ29" i="1" s="1"/>
  <c r="UK29" i="1" s="1" a="1"/>
  <c r="UK29" i="1" s="1"/>
  <c r="UF32" i="1" a="1"/>
  <c r="UF32" i="1" s="1"/>
  <c r="UG32" i="1" s="1" a="1"/>
  <c r="UG32" i="1" s="1"/>
  <c r="UI32" i="1"/>
  <c r="UM32" i="1" s="1"/>
  <c r="XW48" i="1"/>
  <c r="YB48" i="1" s="1"/>
  <c r="YK48" i="1" s="1"/>
  <c r="XR48" i="1"/>
  <c r="XS48" i="1" s="1"/>
  <c r="FJ42" i="1"/>
  <c r="GU42" i="1"/>
  <c r="GG34" i="1"/>
  <c r="GV34" i="1"/>
  <c r="HF34" i="1" s="1"/>
  <c r="GG53" i="1"/>
  <c r="GV53" i="1"/>
  <c r="HF53" i="1" s="1"/>
  <c r="UJ41" i="1" a="1"/>
  <c r="UJ41" i="1" s="1"/>
  <c r="UK41" i="1" s="1" a="1"/>
  <c r="UK41" i="1" s="1"/>
  <c r="UL41" i="1"/>
  <c r="XR49" i="1"/>
  <c r="XS49" i="1" s="1"/>
  <c r="XW49" i="1"/>
  <c r="YB49" i="1" s="1"/>
  <c r="YK49" i="1" s="1"/>
  <c r="XW37" i="1"/>
  <c r="YB37" i="1" s="1"/>
  <c r="YK37" i="1" s="1"/>
  <c r="XR37" i="1"/>
  <c r="XS37" i="1" s="1"/>
  <c r="UJ37" i="1" a="1"/>
  <c r="UJ37" i="1" s="1"/>
  <c r="UK37" i="1" s="1" a="1"/>
  <c r="UK37" i="1" s="1"/>
  <c r="UL37" i="1"/>
  <c r="UL49" i="1"/>
  <c r="UJ49" i="1" a="1"/>
  <c r="UJ49" i="1" s="1"/>
  <c r="UK49" i="1" s="1" a="1"/>
  <c r="UK49" i="1" s="1"/>
  <c r="GP32" i="1"/>
  <c r="GQ32" i="1"/>
  <c r="UF34" i="1" a="1"/>
  <c r="UF34" i="1" s="1"/>
  <c r="UG34" i="1" s="1" a="1"/>
  <c r="UG34" i="1" s="1"/>
  <c r="UI34" i="1"/>
  <c r="UM34" i="1" s="1"/>
  <c r="UF35" i="1" a="1"/>
  <c r="UF35" i="1" s="1"/>
  <c r="UG35" i="1" s="1" a="1"/>
  <c r="UG35" i="1" s="1"/>
  <c r="UI35" i="1"/>
  <c r="UM35" i="1" s="1"/>
  <c r="FT41" i="1"/>
  <c r="FS41" i="1"/>
  <c r="GU30" i="1"/>
  <c r="FJ30" i="1"/>
  <c r="GG50" i="1"/>
  <c r="GV50" i="1"/>
  <c r="HF50" i="1" s="1"/>
  <c r="XW35" i="1"/>
  <c r="YB35" i="1" s="1"/>
  <c r="YK35" i="1" s="1"/>
  <c r="XR35" i="1"/>
  <c r="XS35" i="1" s="1"/>
  <c r="LR36" i="1"/>
  <c r="LQ36" i="1"/>
  <c r="LR44" i="1"/>
  <c r="LQ44" i="1"/>
  <c r="QX47" i="1"/>
  <c r="RL47" i="1"/>
  <c r="YA47" i="1" s="1"/>
  <c r="YJ47" i="1" s="1"/>
  <c r="GP28" i="1"/>
  <c r="N25" i="21" s="1" a="1"/>
  <c r="N25" i="21" s="1"/>
  <c r="GQ28" i="1"/>
  <c r="O25" i="21" s="1" a="1"/>
  <c r="O25" i="21" s="1"/>
  <c r="HE28" i="1"/>
  <c r="GW28" i="1"/>
  <c r="GX28" i="1"/>
  <c r="GZ28" i="1" s="1"/>
  <c r="GU50" i="1"/>
  <c r="FJ50" i="1"/>
  <c r="GV30" i="1"/>
  <c r="HF30" i="1" s="1"/>
  <c r="GG30" i="1"/>
  <c r="UI51" i="1"/>
  <c r="UM51" i="1" s="1"/>
  <c r="UF51" i="1" a="1"/>
  <c r="UF51" i="1" s="1"/>
  <c r="UG51" i="1" s="1" a="1"/>
  <c r="UG51" i="1" s="1"/>
  <c r="XW40" i="1"/>
  <c r="YB40" i="1" s="1"/>
  <c r="YK40" i="1" s="1"/>
  <c r="XR40" i="1"/>
  <c r="XS40" i="1" s="1"/>
  <c r="GV29" i="1"/>
  <c r="HF29" i="1" s="1"/>
  <c r="GG29" i="1"/>
  <c r="GG42" i="1"/>
  <c r="GV42" i="1"/>
  <c r="HF42" i="1" s="1"/>
  <c r="GU56" i="1"/>
  <c r="FJ56" i="1"/>
  <c r="XW46" i="1"/>
  <c r="YB46" i="1" s="1"/>
  <c r="YK46" i="1" s="1"/>
  <c r="XR46" i="1"/>
  <c r="XS46" i="1" s="1"/>
  <c r="GP45" i="1"/>
  <c r="GQ45" i="1"/>
  <c r="UJ50" i="1" a="1"/>
  <c r="UJ50" i="1" s="1"/>
  <c r="UK50" i="1" s="1" a="1"/>
  <c r="UK50" i="1" s="1"/>
  <c r="UL50" i="1"/>
  <c r="UH29" i="1" a="1"/>
  <c r="UH29" i="1" s="1"/>
  <c r="FS46" i="1"/>
  <c r="FT46" i="1"/>
  <c r="FS40" i="1"/>
  <c r="FT40" i="1"/>
  <c r="GV41" i="1"/>
  <c r="HF41" i="1" s="1"/>
  <c r="GG41" i="1"/>
  <c r="UO53" i="1" a="1"/>
  <c r="UO53" i="1" s="1"/>
  <c r="UP53" i="1" s="1" a="1"/>
  <c r="UP53" i="1" s="1"/>
  <c r="UN53" i="1"/>
  <c r="GY42" i="1"/>
  <c r="HH42" i="1" s="1"/>
  <c r="UL46" i="1"/>
  <c r="UJ46" i="1" a="1"/>
  <c r="UJ46" i="1" s="1"/>
  <c r="UK46" i="1" s="1" a="1"/>
  <c r="UK46" i="1" s="1"/>
  <c r="UI57" i="1"/>
  <c r="UF57" i="1" a="1"/>
  <c r="UF57" i="1" s="1"/>
  <c r="UG57" i="1" s="1" a="1"/>
  <c r="UG57" i="1" s="1"/>
  <c r="RH46" i="1"/>
  <c r="LC54" i="1"/>
  <c r="LF54" i="1" s="1"/>
  <c r="KO54" i="1" a="1"/>
  <c r="KO54" i="1" s="1"/>
  <c r="GY33" i="1"/>
  <c r="HH33" i="1" s="1"/>
  <c r="UO40" i="1" a="1"/>
  <c r="UO40" i="1" s="1"/>
  <c r="UP40" i="1" s="1" a="1"/>
  <c r="UP40" i="1" s="1"/>
  <c r="UN40" i="1"/>
  <c r="UN42" i="1"/>
  <c r="UO42" i="1" a="1"/>
  <c r="UO42" i="1" s="1"/>
  <c r="UP42" i="1" s="1" a="1"/>
  <c r="UP42" i="1" s="1"/>
  <c r="UH38" i="1" a="1"/>
  <c r="UH38" i="1" s="1"/>
  <c r="GQ38" i="1"/>
  <c r="GP38" i="1"/>
  <c r="GG37" i="1"/>
  <c r="GV37" i="1"/>
  <c r="HF37" i="1" s="1"/>
  <c r="XW29" i="1"/>
  <c r="YB29" i="1" s="1"/>
  <c r="YK29" i="1" s="1"/>
  <c r="XR29" i="1"/>
  <c r="XS29" i="1" s="1"/>
  <c r="FJ53" i="1"/>
  <c r="GU53" i="1"/>
  <c r="UH49" i="1" a="1"/>
  <c r="UH49" i="1" s="1"/>
  <c r="QX51" i="1"/>
  <c r="RL51" i="1"/>
  <c r="YA51" i="1" s="1"/>
  <c r="YJ51" i="1" s="1"/>
  <c r="FS44" i="1"/>
  <c r="FT44" i="1"/>
  <c r="UI36" i="1"/>
  <c r="UM36" i="1" s="1"/>
  <c r="UF36" i="1" a="1"/>
  <c r="UF36" i="1" s="1"/>
  <c r="UG36" i="1" s="1" a="1"/>
  <c r="UG36" i="1" s="1"/>
  <c r="FJ35" i="1"/>
  <c r="GU35" i="1"/>
  <c r="GG52" i="1"/>
  <c r="GV52" i="1"/>
  <c r="HF52" i="1" s="1"/>
  <c r="XW32" i="1"/>
  <c r="YB32" i="1" s="1"/>
  <c r="YK32" i="1" s="1"/>
  <c r="XR32" i="1"/>
  <c r="XS32" i="1" s="1"/>
  <c r="HE41" i="1"/>
  <c r="XR55" i="1"/>
  <c r="XS55" i="1" s="1"/>
  <c r="XW55" i="1"/>
  <c r="YB55" i="1" s="1"/>
  <c r="YK55" i="1" s="1"/>
  <c r="GV35" i="1"/>
  <c r="HF35" i="1" s="1"/>
  <c r="GG35" i="1"/>
  <c r="GY30" i="1"/>
  <c r="HH30" i="1" s="1"/>
  <c r="UI28" i="1"/>
  <c r="UM28" i="1" s="1"/>
  <c r="UF28" i="1" a="1"/>
  <c r="UF28" i="1" s="1"/>
  <c r="UG28" i="1" s="1" a="1"/>
  <c r="UG28" i="1" s="1"/>
  <c r="Q22" i="21" a="1"/>
  <c r="Q22" i="21" s="1"/>
  <c r="LQ42" i="1"/>
  <c r="LR42" i="1"/>
  <c r="LQ45" i="1"/>
  <c r="LR45" i="1"/>
  <c r="FS49" i="1"/>
  <c r="FT49" i="1"/>
  <c r="XR39" i="1"/>
  <c r="XS39" i="1" s="1"/>
  <c r="XW39" i="1"/>
  <c r="YB39" i="1" s="1"/>
  <c r="YK39" i="1" s="1"/>
  <c r="UI56" i="1"/>
  <c r="UM56" i="1" s="1"/>
  <c r="UF56" i="1" a="1"/>
  <c r="UF56" i="1" s="1"/>
  <c r="UG56" i="1" s="1" a="1"/>
  <c r="UG56" i="1" s="1"/>
  <c r="FT28" i="1"/>
  <c r="O24" i="21" s="1" a="1"/>
  <c r="O24" i="21" s="1"/>
  <c r="FS28" i="1"/>
  <c r="N24" i="21" s="1" a="1"/>
  <c r="N24" i="21" s="1"/>
  <c r="UF47" i="1" a="1"/>
  <c r="UF47" i="1" s="1"/>
  <c r="UG47" i="1" s="1" a="1"/>
  <c r="UG47" i="1" s="1"/>
  <c r="UI47" i="1"/>
  <c r="UM47" i="1" s="1"/>
  <c r="GV36" i="1"/>
  <c r="HF36" i="1" s="1"/>
  <c r="GG36" i="1"/>
  <c r="XW52" i="1"/>
  <c r="YB52" i="1" s="1"/>
  <c r="YK52" i="1" s="1"/>
  <c r="XR52" i="1"/>
  <c r="XS52" i="1" s="1"/>
  <c r="XW53" i="1"/>
  <c r="YB53" i="1" s="1"/>
  <c r="YK53" i="1" s="1"/>
  <c r="XR53" i="1"/>
  <c r="XS53" i="1" s="1"/>
  <c r="XW54" i="1"/>
  <c r="YB54" i="1" s="1"/>
  <c r="YK54" i="1" s="1"/>
  <c r="XR54" i="1"/>
  <c r="XS54" i="1" s="1"/>
  <c r="FJ37" i="1"/>
  <c r="GU37" i="1"/>
  <c r="UI44" i="1"/>
  <c r="UF44" i="1" a="1"/>
  <c r="UF44" i="1" s="1"/>
  <c r="UG44" i="1" s="1" a="1"/>
  <c r="UG44" i="1" s="1"/>
  <c r="UF39" i="1" a="1"/>
  <c r="UF39" i="1" s="1"/>
  <c r="UG39" i="1" s="1" a="1"/>
  <c r="UG39" i="1" s="1"/>
  <c r="UI39" i="1"/>
  <c r="UM39" i="1" s="1"/>
  <c r="GV33" i="1"/>
  <c r="HF33" i="1" s="1"/>
  <c r="GG33" i="1"/>
  <c r="UF30" i="1" a="1"/>
  <c r="UF30" i="1" s="1"/>
  <c r="UG30" i="1" s="1" a="1"/>
  <c r="UG30" i="1" s="1"/>
  <c r="UI30" i="1"/>
  <c r="FS51" i="1"/>
  <c r="FT51" i="1"/>
  <c r="UH50" i="1" a="1"/>
  <c r="UH50" i="1" s="1"/>
  <c r="LC28" i="1"/>
  <c r="LF28" i="1" s="1"/>
  <c r="KO28" i="1" a="1"/>
  <c r="KO28" i="1" s="1"/>
  <c r="FS36" i="1"/>
  <c r="FT36" i="1"/>
  <c r="UI52" i="1"/>
  <c r="UF52" i="1" a="1"/>
  <c r="UF52" i="1" s="1"/>
  <c r="UG52" i="1" s="1" a="1"/>
  <c r="UG52" i="1" s="1"/>
  <c r="XR43" i="1"/>
  <c r="XS43" i="1" s="1"/>
  <c r="XW43" i="1"/>
  <c r="YB43" i="1" s="1"/>
  <c r="YK43" i="1" s="1"/>
  <c r="UJ53" i="1" a="1"/>
  <c r="UJ53" i="1" s="1"/>
  <c r="UK53" i="1" s="1" a="1"/>
  <c r="UK53" i="1" s="1"/>
  <c r="UL53" i="1"/>
  <c r="GY29" i="1"/>
  <c r="HH29" i="1" s="1"/>
  <c r="GV31" i="1"/>
  <c r="HF31" i="1" s="1"/>
  <c r="GG31" i="1"/>
  <c r="UH46" i="1" a="1"/>
  <c r="UH46" i="1" s="1"/>
  <c r="XR41" i="1"/>
  <c r="XS41" i="1" s="1"/>
  <c r="XW41" i="1"/>
  <c r="YB41" i="1" s="1"/>
  <c r="YK41" i="1" s="1"/>
  <c r="XR36" i="1"/>
  <c r="XS36" i="1" s="1"/>
  <c r="XW36" i="1"/>
  <c r="YB36" i="1" s="1"/>
  <c r="YK36" i="1" s="1"/>
  <c r="GU33" i="1"/>
  <c r="FJ33" i="1"/>
  <c r="UM41" i="1"/>
  <c r="UH40" i="1" a="1"/>
  <c r="UH40" i="1" s="1"/>
  <c r="KO45" i="1" a="1"/>
  <c r="KO45" i="1" s="1"/>
  <c r="LD45" i="1" s="1"/>
  <c r="LG45" i="1" s="1"/>
  <c r="UL42" i="1"/>
  <c r="UJ42" i="1" a="1"/>
  <c r="UJ42" i="1" s="1"/>
  <c r="UK42" i="1" s="1" a="1"/>
  <c r="UK42" i="1" s="1"/>
  <c r="FJ47" i="1"/>
  <c r="GU47" i="1"/>
  <c r="LC53" i="1"/>
  <c r="LF53" i="1" s="1"/>
  <c r="KO53" i="1" a="1"/>
  <c r="KO53" i="1" s="1"/>
  <c r="XW51" i="1"/>
  <c r="YB51" i="1" s="1"/>
  <c r="YK51" i="1" s="1"/>
  <c r="XR51" i="1"/>
  <c r="XS51" i="1" s="1"/>
  <c r="GP47" i="1"/>
  <c r="GQ47" i="1"/>
  <c r="UM37" i="1"/>
  <c r="FJ32" i="1"/>
  <c r="GU32" i="1"/>
  <c r="GY53" i="1"/>
  <c r="HH53" i="1" s="1"/>
  <c r="RL36" i="1"/>
  <c r="YA36" i="1" s="1"/>
  <c r="YJ36" i="1" s="1"/>
  <c r="QX36" i="1"/>
  <c r="RL28" i="1"/>
  <c r="YA28" i="1" s="1"/>
  <c r="YJ28" i="1" s="1"/>
  <c r="QX28" i="1"/>
  <c r="RL53" i="1"/>
  <c r="YA53" i="1" s="1"/>
  <c r="YJ53" i="1" s="1"/>
  <c r="QX53" i="1"/>
  <c r="FT55" i="1"/>
  <c r="FS55" i="1"/>
  <c r="UI55" i="1"/>
  <c r="UF55" i="1" a="1"/>
  <c r="UF55" i="1" s="1"/>
  <c r="UG55" i="1" s="1" a="1"/>
  <c r="UG55" i="1" s="1"/>
  <c r="GG43" i="1"/>
  <c r="GV43" i="1"/>
  <c r="HF43" i="1" s="1"/>
  <c r="XW45" i="1"/>
  <c r="YB45" i="1" s="1"/>
  <c r="YK45" i="1" s="1"/>
  <c r="XR45" i="1"/>
  <c r="XS45" i="1" s="1"/>
  <c r="GG57" i="1"/>
  <c r="GV57" i="1"/>
  <c r="HF57" i="1" s="1"/>
  <c r="FJ38" i="1"/>
  <c r="GU38" i="1"/>
  <c r="GY52" i="1"/>
  <c r="HH52" i="1" s="1"/>
  <c r="GY57" i="1"/>
  <c r="HH57" i="1" s="1"/>
  <c r="XW56" i="1"/>
  <c r="YB56" i="1" s="1"/>
  <c r="YK56" i="1" s="1"/>
  <c r="XR56" i="1"/>
  <c r="XS56" i="1" s="1"/>
  <c r="KO36" i="1" a="1"/>
  <c r="KO36" i="1" s="1"/>
  <c r="LD36" i="1" s="1"/>
  <c r="LG36" i="1" s="1"/>
  <c r="MD32" i="1"/>
  <c r="MC32" i="1"/>
  <c r="UI31" i="1"/>
  <c r="UF31" i="1" a="1"/>
  <c r="UF31" i="1" s="1"/>
  <c r="UG31" i="1" s="1" a="1"/>
  <c r="UG31" i="1" s="1"/>
  <c r="XR28" i="1"/>
  <c r="XS28" i="1" s="1"/>
  <c r="XT28" i="1" s="1"/>
  <c r="XW28" i="1"/>
  <c r="YB28" i="1" s="1"/>
  <c r="YK28" i="1" s="1"/>
  <c r="GU52" i="1"/>
  <c r="FJ52" i="1"/>
  <c r="UF45" i="1" a="1"/>
  <c r="UF45" i="1" s="1"/>
  <c r="UG45" i="1" s="1" a="1"/>
  <c r="UG45" i="1" s="1"/>
  <c r="UI45" i="1"/>
  <c r="GV49" i="1"/>
  <c r="HF49" i="1" s="1"/>
  <c r="GG49" i="1"/>
  <c r="XW30" i="1"/>
  <c r="YB30" i="1" s="1"/>
  <c r="YK30" i="1" s="1"/>
  <c r="XR30" i="1"/>
  <c r="XS30" i="1" s="1"/>
  <c r="XR34" i="1"/>
  <c r="XS34" i="1" s="1"/>
  <c r="XW34" i="1"/>
  <c r="YB34" i="1" s="1"/>
  <c r="YK34" i="1" s="1"/>
  <c r="UI54" i="1"/>
  <c r="UF54" i="1" a="1"/>
  <c r="UF54" i="1" s="1"/>
  <c r="UG54" i="1" s="1" a="1"/>
  <c r="UG54" i="1" s="1"/>
  <c r="UM29" i="1"/>
  <c r="HE36" i="1"/>
  <c r="UF33" i="1" a="1"/>
  <c r="UF33" i="1" s="1"/>
  <c r="UI33" i="1"/>
  <c r="KO44" i="1" a="1"/>
  <c r="KO44" i="1" s="1"/>
  <c r="LD44" i="1" s="1"/>
  <c r="LG44" i="1" s="1"/>
  <c r="UH53" i="1" a="1"/>
  <c r="UH53" i="1" s="1"/>
  <c r="XR33" i="1"/>
  <c r="XS33" i="1" s="1"/>
  <c r="XW33" i="1"/>
  <c r="YB33" i="1" s="1"/>
  <c r="YK33" i="1" s="1"/>
  <c r="FJ29" i="1"/>
  <c r="GU29" i="1"/>
  <c r="GV55" i="1"/>
  <c r="HF55" i="1" s="1"/>
  <c r="GG55" i="1"/>
  <c r="XW57" i="1"/>
  <c r="YB57" i="1" s="1"/>
  <c r="YK57" i="1" s="1"/>
  <c r="XR57" i="1"/>
  <c r="XS57" i="1" s="1"/>
  <c r="GQ39" i="1"/>
  <c r="GP39" i="1"/>
  <c r="UH41" i="1" a="1"/>
  <c r="UH41" i="1" s="1"/>
  <c r="UL40" i="1"/>
  <c r="UJ40" i="1" a="1"/>
  <c r="UJ40" i="1" s="1"/>
  <c r="UK40" i="1" s="1" a="1"/>
  <c r="UK40" i="1" s="1"/>
  <c r="XW38" i="1"/>
  <c r="YB38" i="1" s="1"/>
  <c r="YK38" i="1" s="1"/>
  <c r="XR38" i="1"/>
  <c r="XS38" i="1" s="1"/>
  <c r="XW50" i="1"/>
  <c r="YB50" i="1" s="1"/>
  <c r="YK50" i="1" s="1"/>
  <c r="XR50" i="1"/>
  <c r="XS50" i="1" s="1"/>
  <c r="UH42" i="1" a="1"/>
  <c r="UH42" i="1" s="1"/>
  <c r="GG40" i="1"/>
  <c r="GV40" i="1"/>
  <c r="UM38" i="1"/>
  <c r="UH37" i="1" a="1"/>
  <c r="UH37" i="1" s="1"/>
  <c r="UM49" i="1"/>
  <c r="HE55" i="1"/>
  <c r="GV46" i="1"/>
  <c r="GG46" i="1"/>
  <c r="XR31" i="1"/>
  <c r="XS31" i="1" s="1"/>
  <c r="XW31" i="1"/>
  <c r="YB31" i="1" s="1"/>
  <c r="YK31" i="1" s="1"/>
  <c r="XR44" i="1"/>
  <c r="XS44" i="1" s="1"/>
  <c r="XW44" i="1"/>
  <c r="YB44" i="1" s="1"/>
  <c r="YK44" i="1" s="1"/>
  <c r="GG54" i="1"/>
  <c r="GV54" i="1"/>
  <c r="GV56" i="1"/>
  <c r="HF56" i="1" s="1"/>
  <c r="GG56" i="1"/>
  <c r="LC48" i="1"/>
  <c r="LF48" i="1" s="1"/>
  <c r="KO48" i="1" a="1"/>
  <c r="KO48" i="1" s="1"/>
  <c r="UF43" i="1" a="1"/>
  <c r="UF43" i="1" s="1"/>
  <c r="UG43" i="1" s="1" a="1"/>
  <c r="UG43" i="1" s="1"/>
  <c r="UI43" i="1"/>
  <c r="UM43" i="1" s="1"/>
  <c r="FS54" i="1"/>
  <c r="FT54" i="1"/>
  <c r="XW47" i="1"/>
  <c r="YB47" i="1" s="1"/>
  <c r="YK47" i="1" s="1"/>
  <c r="XR47" i="1"/>
  <c r="XS47" i="1" s="1"/>
  <c r="UF48" i="1" a="1"/>
  <c r="UF48" i="1" s="1"/>
  <c r="UG48" i="1" s="1" a="1"/>
  <c r="UG48" i="1" s="1"/>
  <c r="UI48" i="1"/>
  <c r="FJ57" i="1"/>
  <c r="GU57" i="1"/>
  <c r="GV51" i="1"/>
  <c r="GG51" i="1"/>
  <c r="FJ48" i="1"/>
  <c r="GU48" i="1"/>
  <c r="KO42" i="1" a="1"/>
  <c r="KO42" i="1" s="1"/>
  <c r="LD42" i="1" s="1"/>
  <c r="LG42" i="1" s="1"/>
  <c r="MP32" i="1"/>
  <c r="MO32" i="1"/>
  <c r="EV31" i="1" a="1"/>
  <c r="ES30" i="1" a="1"/>
  <c r="ES34" i="1" a="1"/>
  <c r="ES45" i="1" a="1"/>
  <c r="ES33" i="1" a="1"/>
  <c r="ES38" i="1" a="1"/>
  <c r="EP49" i="1"/>
  <c r="EP28" i="1"/>
  <c r="EU30" i="1"/>
  <c r="ER34" i="1"/>
  <c r="EP44" i="1"/>
  <c r="LH30" i="1" a="1"/>
  <c r="EP51" i="1"/>
  <c r="EP45" i="1"/>
  <c r="EP33" i="1"/>
  <c r="LH57" i="1" a="1"/>
  <c r="LH49" i="1" a="1"/>
  <c r="EU37" i="1"/>
  <c r="LH50" i="1" a="1"/>
  <c r="ER50" i="1"/>
  <c r="EU42" i="1"/>
  <c r="EA54" i="1" a="1"/>
  <c r="FL42" i="1" a="1"/>
  <c r="LK36" i="1"/>
  <c r="GI41" i="1" a="1"/>
  <c r="LI45" i="1"/>
  <c r="LT28" i="1" a="1"/>
  <c r="EW39" i="1"/>
  <c r="LN45" i="1"/>
  <c r="MF36" i="1" a="1"/>
  <c r="LV44" i="1" a="1"/>
  <c r="EW47" i="1"/>
  <c r="FP54" i="1"/>
  <c r="GK39" i="1" a="1"/>
  <c r="LN42" i="1"/>
  <c r="ES56" i="1" a="1"/>
  <c r="ES44" i="1" a="1"/>
  <c r="EV48" i="1" a="1"/>
  <c r="ES55" i="1" a="1"/>
  <c r="ES37" i="1" a="1"/>
  <c r="EU56" i="1"/>
  <c r="ER28" i="1"/>
  <c r="EP30" i="1"/>
  <c r="EP40" i="1"/>
  <c r="EU34" i="1"/>
  <c r="ER44" i="1"/>
  <c r="ER29" i="1"/>
  <c r="LH37" i="1" a="1"/>
  <c r="EP43" i="1"/>
  <c r="EU36" i="1"/>
  <c r="EU33" i="1"/>
  <c r="EP55" i="1"/>
  <c r="EU55" i="1"/>
  <c r="ER52" i="1"/>
  <c r="EU38" i="1"/>
  <c r="LT30" i="1" a="1"/>
  <c r="LH54" i="1" a="1"/>
  <c r="EU50" i="1"/>
  <c r="ER42" i="1"/>
  <c r="QZ46" i="1" a="1"/>
  <c r="LK35" i="1"/>
  <c r="EB55" i="1"/>
  <c r="FN46" i="1" a="1"/>
  <c r="EA49" i="1" a="1"/>
  <c r="LX32" i="1" a="1"/>
  <c r="LJ53" i="1" a="1"/>
  <c r="FL34" i="1" a="1"/>
  <c r="LN44" i="1"/>
  <c r="FL56" i="1" a="1"/>
  <c r="RD46" i="1"/>
  <c r="FL35" i="1" a="1"/>
  <c r="FL37" i="1" a="1"/>
  <c r="FP36" i="1"/>
  <c r="QZ53" i="1" a="1"/>
  <c r="EB50" i="1"/>
  <c r="FN49" i="1" a="1"/>
  <c r="EA38" i="1" a="1"/>
  <c r="LN36" i="1"/>
  <c r="FL50" i="1" a="1"/>
  <c r="RA46" i="1"/>
  <c r="GI33" i="1" a="1"/>
  <c r="GJ47" i="1"/>
  <c r="FK55" i="1"/>
  <c r="GI56" i="1" a="1"/>
  <c r="ML32" i="1"/>
  <c r="EB42" i="1"/>
  <c r="EA56" i="1" a="1"/>
  <c r="EW41" i="1"/>
  <c r="EA48" i="1" a="1"/>
  <c r="EB30" i="1"/>
  <c r="LI36" i="1"/>
  <c r="FP40" i="1"/>
  <c r="GI37" i="1" a="1"/>
  <c r="FP44" i="1"/>
  <c r="FK49" i="1"/>
  <c r="GI31" i="1" a="1"/>
  <c r="GI49" i="1" a="1"/>
  <c r="GJ39" i="1"/>
  <c r="MG32" i="1"/>
  <c r="EA40" i="1" a="1"/>
  <c r="EB33" i="1"/>
  <c r="EA46" i="1" a="1"/>
  <c r="EB53" i="1"/>
  <c r="EA47" i="1" a="1"/>
  <c r="EB45" i="1"/>
  <c r="FL39" i="1" a="1"/>
  <c r="LT54" i="1" a="1"/>
  <c r="FL33" i="1" a="1"/>
  <c r="QZ28" i="1" a="1"/>
  <c r="LZ32" i="1"/>
  <c r="FM54" i="1"/>
  <c r="GK32" i="1" a="1"/>
  <c r="FN28" i="1" a="1"/>
  <c r="GK47" i="1" a="1"/>
  <c r="LT37" i="1" a="1"/>
  <c r="LK44" i="1"/>
  <c r="GM28" i="1"/>
  <c r="FK28" i="1"/>
  <c r="GI54" i="1" a="1"/>
  <c r="LV45" i="1" a="1"/>
  <c r="FN55" i="1" a="1"/>
  <c r="FN54" i="1" a="1"/>
  <c r="GM45" i="1"/>
  <c r="FP49" i="1"/>
  <c r="FL47" i="1" a="1"/>
  <c r="FM44" i="1"/>
  <c r="GI46" i="1" a="1"/>
  <c r="LL44" i="1" a="1"/>
  <c r="EA52" i="1" a="1"/>
  <c r="FL45" i="1" a="1"/>
  <c r="FM41" i="1"/>
  <c r="GJ45" i="1"/>
  <c r="GM38" i="1"/>
  <c r="EW32" i="1"/>
  <c r="FK40" i="1"/>
  <c r="GM47" i="1"/>
  <c r="GM39" i="1"/>
  <c r="ES49" i="1" a="1"/>
  <c r="ES29" i="1" a="1"/>
  <c r="ES43" i="1" a="1"/>
  <c r="EV53" i="1" a="1"/>
  <c r="ES50" i="1" a="1"/>
  <c r="ER56" i="1"/>
  <c r="EU49" i="1"/>
  <c r="ER30" i="1"/>
  <c r="LH47" i="1" a="1"/>
  <c r="LH52" i="1" a="1"/>
  <c r="EU40" i="1"/>
  <c r="EU29" i="1"/>
  <c r="EU51" i="1"/>
  <c r="LH56" i="1" a="1"/>
  <c r="ER45" i="1"/>
  <c r="EU43" i="1"/>
  <c r="LH46" i="1" a="1"/>
  <c r="LH41" i="1" a="1"/>
  <c r="EP36" i="1"/>
  <c r="ER55" i="1"/>
  <c r="EP52" i="1"/>
  <c r="ER38" i="1"/>
  <c r="EP37" i="1"/>
  <c r="MH32" i="1" a="1"/>
  <c r="LN35" i="1"/>
  <c r="EA35" i="1" a="1"/>
  <c r="FK41" i="1"/>
  <c r="GI52" i="1" a="1"/>
  <c r="FM51" i="1"/>
  <c r="GH47" i="1"/>
  <c r="LW32" i="1"/>
  <c r="MI32" i="1"/>
  <c r="GK45" i="1" a="1"/>
  <c r="EB41" i="1"/>
  <c r="EA37" i="1" a="1"/>
  <c r="GH32" i="1"/>
  <c r="GI42" i="1" a="1"/>
  <c r="FK46" i="1"/>
  <c r="GJ38" i="1"/>
  <c r="FK51" i="1"/>
  <c r="FL32" i="1" a="1"/>
  <c r="GI43" i="1" a="1"/>
  <c r="MF44" i="1" a="1"/>
  <c r="LL42" i="1" a="1"/>
  <c r="EW46" i="1"/>
  <c r="GI34" i="1" a="1"/>
  <c r="QY46" i="1"/>
  <c r="EA44" i="1" a="1"/>
  <c r="GM32" i="1"/>
  <c r="GH38" i="1"/>
  <c r="FL53" i="1" a="1"/>
  <c r="FK54" i="1"/>
  <c r="LO32" i="1" a="1"/>
  <c r="LV36" i="1" a="1"/>
  <c r="EA29" i="1" a="1"/>
  <c r="EW54" i="1"/>
  <c r="LK42" i="1"/>
  <c r="GI51" i="1" a="1"/>
  <c r="FN40" i="1" a="1"/>
  <c r="EW57" i="1"/>
  <c r="GI36" i="1" a="1"/>
  <c r="LT53" i="1" a="1"/>
  <c r="FN44" i="1" a="1"/>
  <c r="FM46" i="1"/>
  <c r="LU32" i="1"/>
  <c r="GI44" i="1" a="1"/>
  <c r="LI44" i="1"/>
  <c r="FL38" i="1" a="1"/>
  <c r="MF42" i="1" a="1"/>
  <c r="ES28" i="1" a="1"/>
  <c r="ES40" i="1" a="1"/>
  <c r="ES51" i="1" a="1"/>
  <c r="ES36" i="1" a="1"/>
  <c r="ES52" i="1" a="1"/>
  <c r="ES42" i="1" a="1"/>
  <c r="EP56" i="1"/>
  <c r="ER49" i="1"/>
  <c r="EU28" i="1"/>
  <c r="ER40" i="1"/>
  <c r="EP34" i="1"/>
  <c r="EU44" i="1"/>
  <c r="EP29" i="1"/>
  <c r="ER51" i="1"/>
  <c r="EU45" i="1"/>
  <c r="ER43" i="1"/>
  <c r="LH31" i="1" a="1"/>
  <c r="ER36" i="1"/>
  <c r="ER33" i="1"/>
  <c r="EU52" i="1"/>
  <c r="EP38" i="1"/>
  <c r="ER37" i="1"/>
  <c r="EP50" i="1"/>
  <c r="EP42" i="1"/>
  <c r="LJ35" i="1" a="1"/>
  <c r="LT35" i="1" a="1"/>
  <c r="EA31" i="1" a="1"/>
  <c r="GK38" i="1" a="1"/>
  <c r="EB28" i="1"/>
  <c r="GI48" i="1" a="1"/>
  <c r="FL30" i="1" a="1"/>
  <c r="LI42" i="1"/>
  <c r="FM49" i="1"/>
  <c r="GH39" i="1"/>
  <c r="EB36" i="1"/>
  <c r="EA51" i="1" a="1"/>
  <c r="LL45" i="1" a="1"/>
  <c r="FN36" i="1" a="1"/>
  <c r="FP43" i="1"/>
  <c r="GI50" i="1" a="1"/>
  <c r="QZ47" i="1" a="1"/>
  <c r="GH45" i="1"/>
  <c r="FM40" i="1"/>
  <c r="FM28" i="1"/>
  <c r="QZ36" i="1" a="1"/>
  <c r="GI57" i="1" a="1"/>
  <c r="FL52" i="1" a="1"/>
  <c r="GI55" i="1" a="1"/>
  <c r="FL57" i="1" a="1"/>
  <c r="EA34" i="1" a="1"/>
  <c r="LL36" i="1" a="1"/>
  <c r="EW35" i="1"/>
  <c r="FN51" i="1" a="1"/>
  <c r="LV42" i="1" a="1"/>
  <c r="LJ28" i="1" a="1"/>
  <c r="EA39" i="1" a="1"/>
  <c r="FK43" i="1"/>
  <c r="GJ32" i="1"/>
  <c r="GI29" i="1" a="1"/>
  <c r="GI35" i="1" a="1"/>
  <c r="LK45" i="1"/>
  <c r="FP51" i="1"/>
  <c r="FM55" i="1"/>
  <c r="LJ48" i="1" a="1"/>
  <c r="GK28" i="1" a="1"/>
  <c r="FP41" i="1"/>
  <c r="GH28" i="1"/>
  <c r="FP46" i="1"/>
  <c r="FP55" i="1"/>
  <c r="LI35" i="1"/>
  <c r="FN41" i="1" a="1"/>
  <c r="FM43" i="1"/>
  <c r="GI53" i="1" a="1"/>
  <c r="GJ28" i="1"/>
  <c r="FK44" i="1"/>
  <c r="FP28" i="1"/>
  <c r="EB57" i="1"/>
  <c r="FK36" i="1"/>
  <c r="GI40" i="1" a="1"/>
  <c r="FL48" i="1" a="1"/>
  <c r="EB32" i="1"/>
  <c r="QZ51" i="1" a="1"/>
  <c r="FL29" i="1" a="1"/>
  <c r="FN43" i="1" a="1"/>
  <c r="EA43" i="1" a="1"/>
  <c r="GI30" i="1" a="1"/>
  <c r="FM36" i="1"/>
  <c r="LH43" i="1" a="1"/>
  <c r="LH40" i="1" a="1"/>
  <c r="LH29" i="1" a="1"/>
  <c r="LH34" i="1" a="1"/>
  <c r="MF45" i="1" a="1"/>
  <c r="LT48" i="1" a="1"/>
  <c r="LH55" i="1" a="1"/>
  <c r="LH39" i="1" a="1"/>
  <c r="LH33" i="1" a="1"/>
  <c r="LH38" i="1" a="1"/>
  <c r="LH51" i="1" a="1"/>
  <c r="MF30" i="1" a="1"/>
  <c r="MF30" i="1" l="1"/>
  <c r="LH51" i="1"/>
  <c r="LH38" i="1"/>
  <c r="LH33" i="1"/>
  <c r="LH39" i="1"/>
  <c r="LH55" i="1"/>
  <c r="LH34" i="1"/>
  <c r="LH29" i="1"/>
  <c r="LH40" i="1"/>
  <c r="LH43" i="1"/>
  <c r="LH31" i="1"/>
  <c r="ES42" i="1"/>
  <c r="ET42" i="1" s="1"/>
  <c r="EZ42" i="1" s="1"/>
  <c r="ES52" i="1"/>
  <c r="ET52" i="1" s="1"/>
  <c r="EZ52" i="1" s="1"/>
  <c r="ES36" i="1"/>
  <c r="ET36" i="1" s="1"/>
  <c r="EZ36" i="1" s="1"/>
  <c r="ES51" i="1"/>
  <c r="ET51" i="1" s="1"/>
  <c r="EZ51" i="1" s="1"/>
  <c r="ES40" i="1"/>
  <c r="ET40" i="1" s="1"/>
  <c r="EZ40" i="1" s="1"/>
  <c r="ES28" i="1"/>
  <c r="ET28" i="1" s="1"/>
  <c r="EZ28" i="1" s="1"/>
  <c r="Q23" i="21" s="1" a="1"/>
  <c r="Q23" i="21" s="1"/>
  <c r="LH41" i="1"/>
  <c r="LH46" i="1"/>
  <c r="LH56" i="1"/>
  <c r="LH52" i="1"/>
  <c r="LH47" i="1"/>
  <c r="ES50" i="1"/>
  <c r="ET50" i="1" s="1"/>
  <c r="EZ50" i="1" s="1"/>
  <c r="EV53" i="1"/>
  <c r="ES43" i="1"/>
  <c r="ET43" i="1" s="1"/>
  <c r="EZ43" i="1" s="1"/>
  <c r="ES29" i="1"/>
  <c r="ET29" i="1" s="1"/>
  <c r="EZ29" i="1" s="1"/>
  <c r="EY29" i="1" s="1"/>
  <c r="ES49" i="1"/>
  <c r="ET49" i="1" s="1"/>
  <c r="EZ49" i="1" s="1"/>
  <c r="LH54" i="1"/>
  <c r="LT30" i="1"/>
  <c r="LH37" i="1"/>
  <c r="ES37" i="1"/>
  <c r="ET37" i="1" s="1"/>
  <c r="EZ37" i="1" s="1"/>
  <c r="ES55" i="1"/>
  <c r="ET55" i="1" s="1"/>
  <c r="EZ55" i="1" s="1"/>
  <c r="EV48" i="1"/>
  <c r="ES44" i="1"/>
  <c r="ET44" i="1" s="1"/>
  <c r="EZ44" i="1" s="1"/>
  <c r="ES56" i="1"/>
  <c r="ET56" i="1" s="1"/>
  <c r="EZ56" i="1" s="1"/>
  <c r="LH50" i="1"/>
  <c r="LH49" i="1"/>
  <c r="LH57" i="1"/>
  <c r="LH30" i="1"/>
  <c r="ES38" i="1"/>
  <c r="ET38" i="1" s="1"/>
  <c r="EZ38" i="1" s="1"/>
  <c r="ES33" i="1"/>
  <c r="ET33" i="1" s="1"/>
  <c r="EZ33" i="1" s="1"/>
  <c r="ES45" i="1"/>
  <c r="ET45" i="1" s="1"/>
  <c r="EZ45" i="1" s="1"/>
  <c r="ES34" i="1"/>
  <c r="ET34" i="1" s="1"/>
  <c r="EZ34" i="1" s="1"/>
  <c r="ES30" i="1"/>
  <c r="ET30" i="1" s="1"/>
  <c r="EZ30" i="1" s="1"/>
  <c r="EY30" i="1" s="1"/>
  <c r="EV31" i="1"/>
  <c r="KN50" i="1" a="1"/>
  <c r="KN50" i="1" s="1"/>
  <c r="KN39" i="1" a="1"/>
  <c r="KN39" i="1" s="1"/>
  <c r="KL47" i="1" a="1"/>
  <c r="KL47" i="1" s="1"/>
  <c r="KN47" i="1" a="1"/>
  <c r="KN47" i="1" s="1"/>
  <c r="LC47" i="1" s="1"/>
  <c r="LF47" i="1" s="1"/>
  <c r="KN38" i="1" a="1"/>
  <c r="KN38" i="1" s="1"/>
  <c r="KN55" i="1" a="1"/>
  <c r="KN55" i="1" s="1"/>
  <c r="QU39" i="1"/>
  <c r="QW39" i="1" s="1"/>
  <c r="QT39" i="1" s="1"/>
  <c r="OK36" i="1"/>
  <c r="NX36" i="1"/>
  <c r="OK39" i="1"/>
  <c r="NX39" i="1"/>
  <c r="QU41" i="1"/>
  <c r="QW41" i="1" s="1"/>
  <c r="QT41" i="1" s="1"/>
  <c r="OK41" i="1"/>
  <c r="NX41" i="1"/>
  <c r="QU37" i="1"/>
  <c r="QW37" i="1" s="1"/>
  <c r="QT37" i="1" s="1"/>
  <c r="OK28" i="1"/>
  <c r="NX28" i="1"/>
  <c r="OK55" i="1"/>
  <c r="NX55" i="1"/>
  <c r="QU45" i="1"/>
  <c r="QW45" i="1" s="1"/>
  <c r="QT45" i="1" s="1"/>
  <c r="OK57" i="1"/>
  <c r="NX57" i="1"/>
  <c r="OK31" i="1"/>
  <c r="NX31" i="1"/>
  <c r="OK35" i="1"/>
  <c r="NX35" i="1"/>
  <c r="OK51" i="1"/>
  <c r="NX51" i="1"/>
  <c r="QU31" i="1"/>
  <c r="QW31" i="1" s="1"/>
  <c r="QT31" i="1" s="1"/>
  <c r="KN34" i="1" a="1"/>
  <c r="KN34" i="1" s="1"/>
  <c r="LC34" i="1" s="1"/>
  <c r="LF34" i="1" s="1"/>
  <c r="KN29" i="1" a="1"/>
  <c r="KN29" i="1" s="1"/>
  <c r="KN43" i="1" a="1"/>
  <c r="KN43" i="1" s="1"/>
  <c r="OK48" i="1"/>
  <c r="NX48" i="1"/>
  <c r="OK33" i="1"/>
  <c r="NX33" i="1"/>
  <c r="NX43" i="1"/>
  <c r="OK43" i="1"/>
  <c r="QX43" i="1"/>
  <c r="RL43" i="1"/>
  <c r="YA43" i="1" s="1"/>
  <c r="YJ43" i="1" s="1"/>
  <c r="NX42" i="1"/>
  <c r="OK42" i="1"/>
  <c r="OK52" i="1"/>
  <c r="NX52" i="1"/>
  <c r="QU33" i="1"/>
  <c r="QW33" i="1" s="1"/>
  <c r="QT33" i="1" s="1"/>
  <c r="OK30" i="1"/>
  <c r="NX30" i="1"/>
  <c r="OK37" i="1"/>
  <c r="NX37" i="1"/>
  <c r="QU30" i="1"/>
  <c r="QW30" i="1" s="1"/>
  <c r="QT30" i="1" s="1"/>
  <c r="RL35" i="1"/>
  <c r="YA35" i="1" s="1"/>
  <c r="YJ35" i="1" s="1"/>
  <c r="QX35" i="1"/>
  <c r="KL49" i="1" a="1"/>
  <c r="KL49" i="1" s="1"/>
  <c r="KN49" i="1" a="1"/>
  <c r="KN49" i="1" s="1"/>
  <c r="LC49" i="1" s="1"/>
  <c r="LF49" i="1" s="1"/>
  <c r="KL57" i="1" a="1"/>
  <c r="KL57" i="1" s="1"/>
  <c r="KN57" i="1" a="1"/>
  <c r="KN57" i="1" s="1"/>
  <c r="LC57" i="1" s="1"/>
  <c r="LF57" i="1" s="1"/>
  <c r="KN41" i="1" a="1"/>
  <c r="KN41" i="1" s="1"/>
  <c r="KN46" i="1" a="1"/>
  <c r="KN46" i="1" s="1"/>
  <c r="KN52" i="1" a="1"/>
  <c r="KN52" i="1" s="1"/>
  <c r="KN51" i="1" a="1"/>
  <c r="KN51" i="1" s="1"/>
  <c r="KN33" i="1" a="1"/>
  <c r="KN33" i="1" s="1"/>
  <c r="OK46" i="1"/>
  <c r="NX46" i="1"/>
  <c r="QU54" i="1"/>
  <c r="QW54" i="1" s="1"/>
  <c r="QT54" i="1" s="1"/>
  <c r="OK47" i="1"/>
  <c r="NX47" i="1"/>
  <c r="QU49" i="1"/>
  <c r="QW49" i="1" s="1"/>
  <c r="QT49" i="1" s="1"/>
  <c r="OK45" i="1"/>
  <c r="NX45" i="1"/>
  <c r="OK40" i="1"/>
  <c r="NX40" i="1"/>
  <c r="QU40" i="1"/>
  <c r="QW40" i="1" s="1"/>
  <c r="QT40" i="1" s="1"/>
  <c r="QU48" i="1"/>
  <c r="QW48" i="1" s="1"/>
  <c r="QT48" i="1" s="1"/>
  <c r="NX53" i="1"/>
  <c r="OK53" i="1"/>
  <c r="OK56" i="1"/>
  <c r="NX56" i="1"/>
  <c r="OK50" i="1"/>
  <c r="NX50" i="1"/>
  <c r="QU32" i="1"/>
  <c r="QW32" i="1" s="1"/>
  <c r="QT32" i="1" s="1"/>
  <c r="QU52" i="1"/>
  <c r="QW52" i="1" s="1"/>
  <c r="QT52" i="1" s="1"/>
  <c r="QU55" i="1"/>
  <c r="QW55" i="1" s="1"/>
  <c r="QT55" i="1" s="1"/>
  <c r="QU38" i="1"/>
  <c r="QW38" i="1" s="1"/>
  <c r="QT38" i="1" s="1"/>
  <c r="KL31" i="1" a="1"/>
  <c r="KL31" i="1" s="1"/>
  <c r="KO31" i="1" s="1" a="1"/>
  <c r="KO31" i="1" s="1"/>
  <c r="LD31" i="1" s="1"/>
  <c r="LG31" i="1" s="1"/>
  <c r="KN31" i="1" a="1"/>
  <c r="KN31" i="1" s="1"/>
  <c r="LC31" i="1" s="1"/>
  <c r="LF31" i="1" s="1"/>
  <c r="KN40" i="1" a="1"/>
  <c r="KN40" i="1" s="1"/>
  <c r="KN56" i="1" a="1"/>
  <c r="KN56" i="1" s="1"/>
  <c r="LC56" i="1" s="1"/>
  <c r="LF56" i="1" s="1"/>
  <c r="FJ31" i="1"/>
  <c r="GU31" i="1"/>
  <c r="OK49" i="1"/>
  <c r="NX49" i="1"/>
  <c r="RL56" i="1"/>
  <c r="YA56" i="1" s="1"/>
  <c r="YJ56" i="1" s="1"/>
  <c r="QX56" i="1"/>
  <c r="QU29" i="1"/>
  <c r="QW29" i="1" s="1"/>
  <c r="QT29" i="1" s="1"/>
  <c r="QU50" i="1"/>
  <c r="QW50" i="1" s="1"/>
  <c r="QT50" i="1" s="1"/>
  <c r="OK44" i="1"/>
  <c r="NX44" i="1"/>
  <c r="OK29" i="1"/>
  <c r="NX29" i="1"/>
  <c r="QU57" i="1"/>
  <c r="QW57" i="1" s="1"/>
  <c r="QT57" i="1" s="1"/>
  <c r="QX42" i="1"/>
  <c r="RL42" i="1"/>
  <c r="YA42" i="1" s="1"/>
  <c r="YJ42" i="1" s="1"/>
  <c r="NX54" i="1"/>
  <c r="OK54" i="1"/>
  <c r="QU34" i="1"/>
  <c r="QW34" i="1" s="1"/>
  <c r="QT34" i="1" s="1"/>
  <c r="NX38" i="1"/>
  <c r="OK38" i="1"/>
  <c r="OK32" i="1"/>
  <c r="NX32" i="1"/>
  <c r="QU44" i="1"/>
  <c r="QW44" i="1" s="1"/>
  <c r="QT44" i="1" s="1"/>
  <c r="OK34" i="1"/>
  <c r="NX34" i="1"/>
  <c r="UJ38" i="1" a="1"/>
  <c r="UJ38" i="1" s="1"/>
  <c r="UK38" i="1" s="1" a="1"/>
  <c r="UK38" i="1" s="1"/>
  <c r="GX41" i="1"/>
  <c r="GZ41" i="1" s="1"/>
  <c r="ED42" i="1"/>
  <c r="H21" i="21"/>
  <c r="YK42" i="1"/>
  <c r="YP42" i="1"/>
  <c r="GW41" i="1"/>
  <c r="QZ46" i="1"/>
  <c r="MH32" i="1"/>
  <c r="GX55" i="1"/>
  <c r="GZ55" i="1" s="1"/>
  <c r="HK55" i="1" s="1"/>
  <c r="GW36" i="1"/>
  <c r="GX36" i="1"/>
  <c r="GZ36" i="1" s="1"/>
  <c r="LD53" i="1"/>
  <c r="LG53" i="1" s="1"/>
  <c r="LD28" i="1"/>
  <c r="LG28" i="1" s="1"/>
  <c r="GW55" i="1"/>
  <c r="LT35" i="1"/>
  <c r="LJ35" i="1"/>
  <c r="LD48" i="1"/>
  <c r="LG48" i="1" s="1"/>
  <c r="GX31" i="1"/>
  <c r="GZ31" i="1" s="1"/>
  <c r="HA31" i="1" s="1"/>
  <c r="LD35" i="1"/>
  <c r="LG35" i="1" s="1"/>
  <c r="LR51" i="1"/>
  <c r="LQ51" i="1"/>
  <c r="LR35" i="1"/>
  <c r="LQ35" i="1"/>
  <c r="MF42" i="1"/>
  <c r="FL38" i="1"/>
  <c r="QZ28" i="1"/>
  <c r="FL47" i="1"/>
  <c r="FL33" i="1"/>
  <c r="FL53" i="1"/>
  <c r="LT54" i="1"/>
  <c r="GI30" i="1"/>
  <c r="FL39" i="1"/>
  <c r="GI44" i="1"/>
  <c r="FN54" i="1"/>
  <c r="FO54" i="1" s="1"/>
  <c r="FU54" i="1" s="1"/>
  <c r="GK39" i="1"/>
  <c r="GL39" i="1" s="1"/>
  <c r="GR39" i="1" s="1"/>
  <c r="EA44" i="1"/>
  <c r="FN55" i="1"/>
  <c r="FO55" i="1" s="1"/>
  <c r="FU55" i="1" s="1"/>
  <c r="EA47" i="1"/>
  <c r="EA43" i="1"/>
  <c r="LV45" i="1"/>
  <c r="EA46" i="1"/>
  <c r="GK28" i="1"/>
  <c r="GL28" i="1" s="1"/>
  <c r="GR28" i="1" s="1"/>
  <c r="Q25" i="21" s="1" a="1"/>
  <c r="Q25" i="21" s="1"/>
  <c r="LJ48" i="1"/>
  <c r="EA40" i="1"/>
  <c r="FN43" i="1"/>
  <c r="FO43" i="1" s="1"/>
  <c r="FU43" i="1" s="1"/>
  <c r="LT48" i="1"/>
  <c r="GI54" i="1"/>
  <c r="FL29" i="1"/>
  <c r="GI49" i="1"/>
  <c r="GI31" i="1"/>
  <c r="GI35" i="1"/>
  <c r="QZ51" i="1"/>
  <c r="GI37" i="1"/>
  <c r="GI29" i="1"/>
  <c r="GI34" i="1"/>
  <c r="FL45" i="1"/>
  <c r="LT37" i="1"/>
  <c r="EA39" i="1"/>
  <c r="LJ28" i="1"/>
  <c r="EA48" i="1"/>
  <c r="EA52" i="1"/>
  <c r="LV42" i="1"/>
  <c r="GK47" i="1"/>
  <c r="GL47" i="1" s="1"/>
  <c r="GR47" i="1" s="1"/>
  <c r="LV44" i="1"/>
  <c r="FN51" i="1"/>
  <c r="FO51" i="1" s="1"/>
  <c r="FU51" i="1" s="1"/>
  <c r="FN28" i="1"/>
  <c r="FO28" i="1" s="1"/>
  <c r="FU28" i="1" s="1"/>
  <c r="LL42" i="1"/>
  <c r="LM42" i="1" s="1"/>
  <c r="LS42" i="1" s="1"/>
  <c r="FN44" i="1"/>
  <c r="FO44" i="1" s="1"/>
  <c r="FU44" i="1" s="1"/>
  <c r="EA56" i="1"/>
  <c r="LL44" i="1"/>
  <c r="LM44" i="1" s="1"/>
  <c r="LS44" i="1" s="1"/>
  <c r="LL36" i="1"/>
  <c r="LM36" i="1" s="1"/>
  <c r="LS36" i="1" s="1"/>
  <c r="GK32" i="1"/>
  <c r="GL32" i="1" s="1"/>
  <c r="GR32" i="1" s="1"/>
  <c r="EA34" i="1"/>
  <c r="FL48" i="1"/>
  <c r="FL57" i="1"/>
  <c r="GI56" i="1"/>
  <c r="GI46" i="1"/>
  <c r="GI40" i="1"/>
  <c r="GI55" i="1"/>
  <c r="MF44" i="1"/>
  <c r="FL52" i="1"/>
  <c r="MF36" i="1"/>
  <c r="GI57" i="1"/>
  <c r="GI43" i="1"/>
  <c r="QZ36" i="1"/>
  <c r="FL32" i="1"/>
  <c r="LT53" i="1"/>
  <c r="GI33" i="1"/>
  <c r="GI36" i="1"/>
  <c r="GI42" i="1"/>
  <c r="FL50" i="1"/>
  <c r="QZ47" i="1"/>
  <c r="GI50" i="1"/>
  <c r="EA38" i="1"/>
  <c r="FN36" i="1"/>
  <c r="FO36" i="1" s="1"/>
  <c r="FU36" i="1" s="1"/>
  <c r="EA37" i="1"/>
  <c r="FN49" i="1"/>
  <c r="FO49" i="1" s="1"/>
  <c r="FU49" i="1" s="1"/>
  <c r="LL45" i="1"/>
  <c r="LM45" i="1" s="1"/>
  <c r="LS45" i="1" s="1"/>
  <c r="EA51" i="1"/>
  <c r="FN40" i="1"/>
  <c r="FO40" i="1" s="1"/>
  <c r="FU40" i="1" s="1"/>
  <c r="GK45" i="1"/>
  <c r="GL45" i="1" s="1"/>
  <c r="GR45" i="1" s="1"/>
  <c r="GI51" i="1"/>
  <c r="QZ53" i="1"/>
  <c r="MF45" i="1"/>
  <c r="LT28" i="1"/>
  <c r="FL37" i="1"/>
  <c r="GI52" i="1"/>
  <c r="FL35" i="1"/>
  <c r="GI41" i="1"/>
  <c r="FL56" i="1"/>
  <c r="FL30" i="1"/>
  <c r="GI53" i="1"/>
  <c r="FL42" i="1"/>
  <c r="FL34" i="1"/>
  <c r="GI48" i="1"/>
  <c r="LJ53" i="1"/>
  <c r="EA35" i="1"/>
  <c r="LX32" i="1"/>
  <c r="LY32" i="1" s="1"/>
  <c r="ME32" i="1" s="1"/>
  <c r="EA29" i="1"/>
  <c r="LV36" i="1"/>
  <c r="EA49" i="1"/>
  <c r="EA54" i="1"/>
  <c r="GK38" i="1"/>
  <c r="GL38" i="1" s="1"/>
  <c r="GR38" i="1" s="1"/>
  <c r="FN46" i="1"/>
  <c r="FO46" i="1" s="1"/>
  <c r="FU46" i="1" s="1"/>
  <c r="LO32" i="1"/>
  <c r="EA31" i="1"/>
  <c r="FN41" i="1"/>
  <c r="FO41" i="1" s="1"/>
  <c r="FU41" i="1" s="1"/>
  <c r="UO39" i="1" a="1"/>
  <c r="UO39" i="1" s="1"/>
  <c r="UP39" i="1" s="1" a="1"/>
  <c r="UP39" i="1" s="1"/>
  <c r="UN39" i="1"/>
  <c r="UN35" i="1"/>
  <c r="UO35" i="1" a="1"/>
  <c r="UO35" i="1" s="1"/>
  <c r="UP35" i="1" s="1" a="1"/>
  <c r="UP35" i="1" s="1"/>
  <c r="UO32" i="1" a="1"/>
  <c r="UO32" i="1" s="1"/>
  <c r="UP32" i="1" s="1" a="1"/>
  <c r="UP32" i="1" s="1"/>
  <c r="UN32" i="1"/>
  <c r="UN47" i="1"/>
  <c r="UO47" i="1" a="1"/>
  <c r="UO47" i="1" s="1"/>
  <c r="UP47" i="1" s="1" a="1"/>
  <c r="UP47" i="1" s="1"/>
  <c r="HF51" i="1"/>
  <c r="GW51" i="1"/>
  <c r="GX51" i="1"/>
  <c r="GZ51" i="1" s="1"/>
  <c r="UJ48" i="1" a="1"/>
  <c r="UJ48" i="1" s="1"/>
  <c r="UK48" i="1" s="1" a="1"/>
  <c r="UK48" i="1" s="1"/>
  <c r="UL48" i="1"/>
  <c r="HF54" i="1"/>
  <c r="GW54" i="1"/>
  <c r="GX54" i="1"/>
  <c r="GZ54" i="1" s="1"/>
  <c r="UN49" i="1"/>
  <c r="UQ49" i="1" s="1" a="1"/>
  <c r="UQ49" i="1" s="1"/>
  <c r="VD49" i="1" s="1"/>
  <c r="VG49" i="1" s="1"/>
  <c r="UO49" i="1" a="1"/>
  <c r="UO49" i="1" s="1"/>
  <c r="UO38" i="1" a="1"/>
  <c r="UO38" i="1" s="1"/>
  <c r="UN38" i="1"/>
  <c r="UQ38" i="1" s="1" a="1"/>
  <c r="UQ38" i="1" s="1"/>
  <c r="VD38" i="1" s="1"/>
  <c r="VG38" i="1" s="1"/>
  <c r="HE29" i="1"/>
  <c r="GX29" i="1"/>
  <c r="GZ29" i="1" s="1"/>
  <c r="GW29" i="1"/>
  <c r="UG33" i="1" a="1"/>
  <c r="UG33" i="1" s="1"/>
  <c r="UN29" i="1"/>
  <c r="UQ29" i="1" s="1" a="1"/>
  <c r="UQ29" i="1" s="1"/>
  <c r="VD29" i="1" s="1"/>
  <c r="VG29" i="1" s="1"/>
  <c r="UO29" i="1" a="1"/>
  <c r="UO29" i="1" s="1"/>
  <c r="UL54" i="1"/>
  <c r="UJ54" i="1" a="1"/>
  <c r="UJ54" i="1" s="1"/>
  <c r="UK54" i="1" s="1" a="1"/>
  <c r="UK54" i="1" s="1"/>
  <c r="UL45" i="1"/>
  <c r="UJ45" i="1" a="1"/>
  <c r="UJ45" i="1" s="1"/>
  <c r="UK45" i="1" s="1" a="1"/>
  <c r="UK45" i="1" s="1"/>
  <c r="UL31" i="1"/>
  <c r="UJ31" i="1" a="1"/>
  <c r="UJ31" i="1" s="1"/>
  <c r="UK31" i="1" s="1" a="1"/>
  <c r="UK31" i="1" s="1"/>
  <c r="FS38" i="1"/>
  <c r="FT38" i="1"/>
  <c r="UH55" i="1" a="1"/>
  <c r="UH55" i="1" s="1"/>
  <c r="RG28" i="1"/>
  <c r="N42" i="21" s="1" a="1"/>
  <c r="N42" i="21" s="1"/>
  <c r="RH28" i="1"/>
  <c r="O42" i="21" s="1" a="1"/>
  <c r="O42" i="21" s="1"/>
  <c r="H41" i="21" s="1"/>
  <c r="HG31" i="1"/>
  <c r="HL31" i="1" s="1"/>
  <c r="FT47" i="1"/>
  <c r="FS47" i="1"/>
  <c r="FT33" i="1"/>
  <c r="FS33" i="1"/>
  <c r="UJ52" i="1" a="1"/>
  <c r="UJ52" i="1" s="1"/>
  <c r="UK52" i="1" s="1" a="1"/>
  <c r="UK52" i="1" s="1"/>
  <c r="UL52" i="1"/>
  <c r="UL30" i="1"/>
  <c r="UJ30" i="1" a="1"/>
  <c r="UJ30" i="1" s="1"/>
  <c r="UK30" i="1" s="1" a="1"/>
  <c r="UK30" i="1" s="1"/>
  <c r="UH44" i="1" a="1"/>
  <c r="UH44" i="1" s="1"/>
  <c r="UO56" i="1" a="1"/>
  <c r="UO56" i="1" s="1"/>
  <c r="UP56" i="1" s="1" a="1"/>
  <c r="UP56" i="1" s="1"/>
  <c r="UN56" i="1"/>
  <c r="UO36" i="1" a="1"/>
  <c r="UO36" i="1" s="1"/>
  <c r="UP36" i="1" s="1" a="1"/>
  <c r="UP36" i="1" s="1"/>
  <c r="UN36" i="1"/>
  <c r="FT53" i="1"/>
  <c r="FS53" i="1"/>
  <c r="UQ40" i="1" a="1"/>
  <c r="UQ40" i="1" s="1"/>
  <c r="VD40" i="1" s="1"/>
  <c r="VG40" i="1" s="1"/>
  <c r="UH57" i="1" a="1"/>
  <c r="UH57" i="1" s="1"/>
  <c r="HE56" i="1"/>
  <c r="GW56" i="1"/>
  <c r="GX56" i="1"/>
  <c r="GZ56" i="1" s="1"/>
  <c r="GQ30" i="1"/>
  <c r="GP30" i="1"/>
  <c r="HA28" i="1"/>
  <c r="HK28" i="1"/>
  <c r="HG28" i="1"/>
  <c r="HL28" i="1" s="1"/>
  <c r="HE30" i="1"/>
  <c r="GW30" i="1"/>
  <c r="GX30" i="1"/>
  <c r="GZ30" i="1" s="1"/>
  <c r="UH35" i="1" a="1"/>
  <c r="UH35" i="1" s="1"/>
  <c r="UH32" i="1" a="1"/>
  <c r="UH32" i="1" s="1"/>
  <c r="FS39" i="1"/>
  <c r="FT39" i="1"/>
  <c r="HE34" i="1"/>
  <c r="GW34" i="1"/>
  <c r="GX34" i="1"/>
  <c r="GZ34" i="1" s="1"/>
  <c r="GP44" i="1"/>
  <c r="GQ44" i="1"/>
  <c r="LD37" i="1"/>
  <c r="LG37" i="1" s="1"/>
  <c r="MD45" i="1"/>
  <c r="MC45" i="1"/>
  <c r="LQ48" i="1"/>
  <c r="LR48" i="1"/>
  <c r="HE48" i="1"/>
  <c r="GX48" i="1"/>
  <c r="GZ48" i="1" s="1"/>
  <c r="GW48" i="1"/>
  <c r="HE57" i="1"/>
  <c r="GX57" i="1"/>
  <c r="GZ57" i="1" s="1"/>
  <c r="GW57" i="1"/>
  <c r="UH48" i="1" a="1"/>
  <c r="UH48" i="1" s="1"/>
  <c r="UO43" i="1" a="1"/>
  <c r="UO43" i="1" s="1"/>
  <c r="UP43" i="1" s="1" a="1"/>
  <c r="UP43" i="1" s="1"/>
  <c r="UN43" i="1"/>
  <c r="GP54" i="1"/>
  <c r="GQ54" i="1"/>
  <c r="HF40" i="1"/>
  <c r="GW40" i="1"/>
  <c r="GX40" i="1"/>
  <c r="GZ40" i="1" s="1"/>
  <c r="FS29" i="1"/>
  <c r="FT29" i="1"/>
  <c r="HG36" i="1"/>
  <c r="HL36" i="1" s="1"/>
  <c r="HA36" i="1"/>
  <c r="HK36" i="1"/>
  <c r="GP49" i="1"/>
  <c r="GQ49" i="1"/>
  <c r="UH45" i="1" a="1"/>
  <c r="UH45" i="1" s="1"/>
  <c r="UL55" i="1"/>
  <c r="UJ55" i="1" a="1"/>
  <c r="UJ55" i="1" s="1"/>
  <c r="UK55" i="1" s="1" a="1"/>
  <c r="UK55" i="1" s="1"/>
  <c r="HE32" i="1"/>
  <c r="GX32" i="1"/>
  <c r="GZ32" i="1" s="1"/>
  <c r="GW32" i="1"/>
  <c r="UO37" i="1" a="1"/>
  <c r="UO37" i="1" s="1"/>
  <c r="UN37" i="1"/>
  <c r="UQ37" i="1" s="1" a="1"/>
  <c r="UQ37" i="1" s="1"/>
  <c r="VD37" i="1" s="1"/>
  <c r="VG37" i="1" s="1"/>
  <c r="HE33" i="1"/>
  <c r="GW33" i="1"/>
  <c r="GX33" i="1"/>
  <c r="GZ33" i="1" s="1"/>
  <c r="GP31" i="1"/>
  <c r="GQ31" i="1"/>
  <c r="UH30" i="1" a="1"/>
  <c r="UH30" i="1" s="1"/>
  <c r="UJ39" i="1" a="1"/>
  <c r="UJ39" i="1" s="1"/>
  <c r="UK39" i="1" s="1" a="1"/>
  <c r="UK39" i="1" s="1"/>
  <c r="UL39" i="1"/>
  <c r="UJ44" i="1" a="1"/>
  <c r="UJ44" i="1" s="1"/>
  <c r="UK44" i="1" s="1" a="1"/>
  <c r="UK44" i="1" s="1"/>
  <c r="UL44" i="1"/>
  <c r="UL47" i="1"/>
  <c r="UJ47" i="1" a="1"/>
  <c r="UJ47" i="1" s="1"/>
  <c r="UK47" i="1" s="1" a="1"/>
  <c r="UK47" i="1" s="1"/>
  <c r="UH56" i="1" a="1"/>
  <c r="UH56" i="1" s="1"/>
  <c r="UH28" i="1" a="1"/>
  <c r="UH28" i="1" s="1"/>
  <c r="GQ35" i="1"/>
  <c r="GP35" i="1"/>
  <c r="UH36" i="1" a="1"/>
  <c r="UH36" i="1" s="1"/>
  <c r="RH51" i="1"/>
  <c r="RG51" i="1"/>
  <c r="GP37" i="1"/>
  <c r="GQ37" i="1"/>
  <c r="UL57" i="1"/>
  <c r="UJ57" i="1" a="1"/>
  <c r="UJ57" i="1" s="1"/>
  <c r="UK57" i="1" s="1" a="1"/>
  <c r="UK57" i="1" s="1"/>
  <c r="UQ53" i="1" a="1"/>
  <c r="UQ53" i="1" s="1"/>
  <c r="GQ29" i="1"/>
  <c r="GP29" i="1"/>
  <c r="UO51" i="1" a="1"/>
  <c r="UO51" i="1" s="1"/>
  <c r="UP51" i="1" s="1" a="1"/>
  <c r="UP51" i="1" s="1"/>
  <c r="UN51" i="1"/>
  <c r="UO34" i="1" a="1"/>
  <c r="UO34" i="1" s="1"/>
  <c r="UP34" i="1" s="1" a="1"/>
  <c r="UP34" i="1" s="1"/>
  <c r="UN34" i="1"/>
  <c r="GX43" i="1"/>
  <c r="GZ43" i="1" s="1"/>
  <c r="GQ34" i="1"/>
  <c r="GP34" i="1"/>
  <c r="FT45" i="1"/>
  <c r="FS45" i="1"/>
  <c r="UQ50" i="1" a="1"/>
  <c r="UQ50" i="1" s="1"/>
  <c r="LQ28" i="1"/>
  <c r="N32" i="21" s="1" a="1"/>
  <c r="N32" i="21" s="1"/>
  <c r="LR28" i="1"/>
  <c r="O32" i="21" s="1" a="1"/>
  <c r="O32" i="21" s="1"/>
  <c r="ED29" i="1"/>
  <c r="MC42" i="1"/>
  <c r="MD42" i="1"/>
  <c r="MD44" i="1"/>
  <c r="MC44" i="1"/>
  <c r="FT48" i="1"/>
  <c r="FS48" i="1"/>
  <c r="FS57" i="1"/>
  <c r="FT57" i="1"/>
  <c r="UL43" i="1"/>
  <c r="UJ43" i="1" a="1"/>
  <c r="UJ43" i="1" s="1"/>
  <c r="UK43" i="1" s="1" a="1"/>
  <c r="UK43" i="1" s="1"/>
  <c r="GP56" i="1"/>
  <c r="GQ56" i="1"/>
  <c r="GQ46" i="1"/>
  <c r="GP46" i="1"/>
  <c r="GQ40" i="1"/>
  <c r="GP40" i="1"/>
  <c r="GP55" i="1"/>
  <c r="GQ55" i="1"/>
  <c r="UM54" i="1"/>
  <c r="FS52" i="1"/>
  <c r="FT52" i="1"/>
  <c r="UM31" i="1"/>
  <c r="GP57" i="1"/>
  <c r="GQ57" i="1"/>
  <c r="GQ43" i="1"/>
  <c r="GP43" i="1"/>
  <c r="RG36" i="1"/>
  <c r="RH36" i="1"/>
  <c r="FT32" i="1"/>
  <c r="FS32" i="1"/>
  <c r="UO41" i="1" a="1"/>
  <c r="UO41" i="1" s="1"/>
  <c r="UN41" i="1"/>
  <c r="UQ41" i="1" s="1" a="1"/>
  <c r="UQ41" i="1" s="1"/>
  <c r="VD41" i="1" s="1"/>
  <c r="VG41" i="1" s="1"/>
  <c r="UM52" i="1"/>
  <c r="GQ33" i="1"/>
  <c r="GP33" i="1"/>
  <c r="UH39" i="1" a="1"/>
  <c r="UH39" i="1" s="1"/>
  <c r="HE37" i="1"/>
  <c r="GX37" i="1"/>
  <c r="GZ37" i="1" s="1"/>
  <c r="GW37" i="1"/>
  <c r="GP36" i="1"/>
  <c r="GQ36" i="1"/>
  <c r="UH47" i="1" a="1"/>
  <c r="UH47" i="1" s="1"/>
  <c r="UJ56" i="1" a="1"/>
  <c r="UJ56" i="1" s="1"/>
  <c r="UK56" i="1" s="1" a="1"/>
  <c r="UK56" i="1" s="1"/>
  <c r="UL56" i="1"/>
  <c r="UO28" i="1" a="1"/>
  <c r="UO28" i="1" s="1"/>
  <c r="UP28" i="1" s="1" a="1"/>
  <c r="UP28" i="1" s="1"/>
  <c r="UN28" i="1"/>
  <c r="HA41" i="1"/>
  <c r="HK41" i="1"/>
  <c r="HG41" i="1"/>
  <c r="HL41" i="1" s="1"/>
  <c r="HE35" i="1"/>
  <c r="GW35" i="1"/>
  <c r="GX35" i="1"/>
  <c r="GZ35" i="1" s="1"/>
  <c r="UL36" i="1"/>
  <c r="UJ36" i="1" a="1"/>
  <c r="UJ36" i="1" s="1"/>
  <c r="UK36" i="1" s="1" a="1"/>
  <c r="UK36" i="1" s="1"/>
  <c r="GQ42" i="1"/>
  <c r="GP42" i="1"/>
  <c r="UH51" i="1" a="1"/>
  <c r="UH51" i="1" s="1"/>
  <c r="FT50" i="1"/>
  <c r="FS50" i="1"/>
  <c r="RH47" i="1"/>
  <c r="RG47" i="1"/>
  <c r="GQ50" i="1"/>
  <c r="GP50" i="1"/>
  <c r="UL34" i="1"/>
  <c r="UJ34" i="1" a="1"/>
  <c r="UJ34" i="1" s="1"/>
  <c r="UK34" i="1" s="1" a="1"/>
  <c r="UK34" i="1" s="1"/>
  <c r="HE42" i="1"/>
  <c r="GW42" i="1"/>
  <c r="GX42" i="1"/>
  <c r="GZ42" i="1" s="1"/>
  <c r="HE45" i="1"/>
  <c r="GW45" i="1"/>
  <c r="GX45" i="1"/>
  <c r="GZ45" i="1" s="1"/>
  <c r="UQ46" i="1" a="1"/>
  <c r="UQ46" i="1" s="1"/>
  <c r="LQ33" i="1"/>
  <c r="LR33" i="1"/>
  <c r="GQ51" i="1"/>
  <c r="GP51" i="1"/>
  <c r="UM48" i="1"/>
  <c r="UH43" i="1" a="1"/>
  <c r="UH43" i="1" s="1"/>
  <c r="HF46" i="1"/>
  <c r="GX46" i="1"/>
  <c r="GZ46" i="1" s="1"/>
  <c r="GW46" i="1"/>
  <c r="UM33" i="1"/>
  <c r="UL33" i="1"/>
  <c r="UJ33" i="1" a="1"/>
  <c r="UJ33" i="1" s="1"/>
  <c r="UK33" i="1" s="1" a="1"/>
  <c r="UK33" i="1" s="1"/>
  <c r="UH54" i="1" a="1"/>
  <c r="UH54" i="1" s="1"/>
  <c r="UM45" i="1"/>
  <c r="HE52" i="1"/>
  <c r="GW52" i="1"/>
  <c r="GX52" i="1"/>
  <c r="GZ52" i="1" s="1"/>
  <c r="UH31" i="1" a="1"/>
  <c r="UH31" i="1" s="1"/>
  <c r="HE38" i="1"/>
  <c r="GX38" i="1"/>
  <c r="GZ38" i="1" s="1"/>
  <c r="GW38" i="1"/>
  <c r="UM55" i="1"/>
  <c r="RH53" i="1"/>
  <c r="RG53" i="1"/>
  <c r="GW49" i="1"/>
  <c r="HE47" i="1"/>
  <c r="GX47" i="1"/>
  <c r="GZ47" i="1" s="1"/>
  <c r="GW47" i="1"/>
  <c r="UH52" i="1" a="1"/>
  <c r="UH52" i="1" s="1"/>
  <c r="UM30" i="1"/>
  <c r="UM44" i="1"/>
  <c r="FS37" i="1"/>
  <c r="FT37" i="1"/>
  <c r="UJ28" i="1" a="1"/>
  <c r="UJ28" i="1" s="1"/>
  <c r="UK28" i="1" s="1" a="1"/>
  <c r="UK28" i="1" s="1"/>
  <c r="UL28" i="1"/>
  <c r="GQ52" i="1"/>
  <c r="GP52" i="1"/>
  <c r="FS35" i="1"/>
  <c r="FT35" i="1"/>
  <c r="HE53" i="1"/>
  <c r="GX53" i="1"/>
  <c r="GZ53" i="1" s="1"/>
  <c r="GW53" i="1"/>
  <c r="GX49" i="1"/>
  <c r="GZ49" i="1" s="1"/>
  <c r="GW43" i="1"/>
  <c r="UQ42" i="1" a="1"/>
  <c r="UQ42" i="1" s="1"/>
  <c r="LD54" i="1"/>
  <c r="LG54" i="1" s="1"/>
  <c r="UM57" i="1"/>
  <c r="GP41" i="1"/>
  <c r="GQ41" i="1"/>
  <c r="YO30" i="1"/>
  <c r="YQ30" i="1" s="1"/>
  <c r="FS56" i="1"/>
  <c r="FT56" i="1"/>
  <c r="UJ51" i="1" a="1"/>
  <c r="UJ51" i="1" s="1"/>
  <c r="UK51" i="1" s="1" a="1"/>
  <c r="UK51" i="1" s="1"/>
  <c r="UL51" i="1"/>
  <c r="HE50" i="1"/>
  <c r="GW50" i="1"/>
  <c r="GX50" i="1"/>
  <c r="GZ50" i="1" s="1"/>
  <c r="FT30" i="1"/>
  <c r="FS30" i="1"/>
  <c r="UJ35" i="1" a="1"/>
  <c r="UJ35" i="1" s="1"/>
  <c r="UK35" i="1" s="1" a="1"/>
  <c r="UK35" i="1" s="1"/>
  <c r="UL35" i="1"/>
  <c r="UH34" i="1" a="1"/>
  <c r="UH34" i="1" s="1"/>
  <c r="GP53" i="1"/>
  <c r="GQ53" i="1"/>
  <c r="FS42" i="1"/>
  <c r="FT42" i="1"/>
  <c r="UJ32" i="1" a="1"/>
  <c r="UJ32" i="1" s="1"/>
  <c r="UK32" i="1" s="1" a="1"/>
  <c r="UK32" i="1" s="1"/>
  <c r="UL32" i="1"/>
  <c r="HE39" i="1"/>
  <c r="GX39" i="1"/>
  <c r="GZ39" i="1" s="1"/>
  <c r="GW39" i="1"/>
  <c r="FT34" i="1"/>
  <c r="FS34" i="1"/>
  <c r="HF44" i="1"/>
  <c r="GX44" i="1"/>
  <c r="GZ44" i="1" s="1"/>
  <c r="GW44" i="1"/>
  <c r="GP48" i="1"/>
  <c r="GQ48" i="1"/>
  <c r="LQ53" i="1"/>
  <c r="LR53" i="1"/>
  <c r="LR41" i="1"/>
  <c r="LQ41" i="1"/>
  <c r="LR54" i="1"/>
  <c r="LQ54" i="1"/>
  <c r="MC36" i="1"/>
  <c r="MD36" i="1"/>
  <c r="LR29" i="1"/>
  <c r="LQ29" i="1"/>
  <c r="MH30" i="1" a="1"/>
  <c r="LJ39" i="1" a="1"/>
  <c r="LJ40" i="1" a="1"/>
  <c r="EV45" i="1" a="1"/>
  <c r="EV43" i="1" a="1"/>
  <c r="EV40" i="1" a="1"/>
  <c r="EV38" i="1" a="1"/>
  <c r="LJ37" i="1" a="1"/>
  <c r="EV42" i="1" a="1"/>
  <c r="LJ57" i="1" a="1"/>
  <c r="EW31" i="1"/>
  <c r="NZ41" i="1" a="1"/>
  <c r="NZ57" i="1" a="1"/>
  <c r="NZ35" i="1" a="1"/>
  <c r="LT34" i="1" a="1"/>
  <c r="NZ48" i="1" a="1"/>
  <c r="LT49" i="1" a="1"/>
  <c r="NZ47" i="1" a="1"/>
  <c r="NZ53" i="1" a="1"/>
  <c r="NZ38" i="1" a="1"/>
  <c r="MJ32" i="1" a="1"/>
  <c r="MF53" i="1" a="1"/>
  <c r="LW35" i="1"/>
  <c r="MH44" i="1" a="1"/>
  <c r="GH46" i="1"/>
  <c r="LV48" i="1" a="1"/>
  <c r="GK40" i="1" a="1"/>
  <c r="GK33" i="1" a="1"/>
  <c r="FN30" i="1" a="1"/>
  <c r="QY28" i="1"/>
  <c r="FM53" i="1"/>
  <c r="LW45" i="1"/>
  <c r="LI28" i="1"/>
  <c r="GH56" i="1"/>
  <c r="GM57" i="1"/>
  <c r="VJ41" i="1" a="1"/>
  <c r="LX42" i="1" a="1"/>
  <c r="GK42" i="1" a="1"/>
  <c r="EB54" i="1"/>
  <c r="RB36" i="1" a="1"/>
  <c r="FN56" i="1" a="1"/>
  <c r="VJ38" i="1" a="1"/>
  <c r="GJ46" i="1"/>
  <c r="LI54" i="1"/>
  <c r="GM46" i="1"/>
  <c r="EB44" i="1"/>
  <c r="LJ51" i="1" a="1"/>
  <c r="LJ55" i="1" a="1"/>
  <c r="LJ43" i="1" a="1"/>
  <c r="EV44" i="1" a="1"/>
  <c r="LO35" i="1" a="1"/>
  <c r="LJ56" i="1" a="1"/>
  <c r="LJ52" i="1" a="1"/>
  <c r="EW53" i="1"/>
  <c r="EV50" i="1" a="1"/>
  <c r="EV55" i="1" a="1"/>
  <c r="EV34" i="1" a="1"/>
  <c r="EW48" i="1"/>
  <c r="LJ50" i="1" a="1"/>
  <c r="LJ30" i="1" a="1"/>
  <c r="NZ39" i="1" a="1"/>
  <c r="NZ55" i="1" a="1"/>
  <c r="QZ43" i="1" a="1"/>
  <c r="NZ30" i="1" a="1"/>
  <c r="NZ46" i="1" a="1"/>
  <c r="NZ40" i="1" a="1"/>
  <c r="NZ50" i="1" a="1"/>
  <c r="LT56" i="1" a="1"/>
  <c r="NZ49" i="1" a="1"/>
  <c r="NZ29" i="1" a="1"/>
  <c r="NZ54" i="1" a="1"/>
  <c r="MF28" i="1" a="1"/>
  <c r="MF48" i="1" a="1"/>
  <c r="LV35" i="1" a="1"/>
  <c r="MH42" i="1" a="1"/>
  <c r="GK30" i="1" a="1"/>
  <c r="FQ40" i="1" a="1"/>
  <c r="MH36" i="1" a="1"/>
  <c r="RB47" i="1" a="1"/>
  <c r="FQ36" i="1" a="1"/>
  <c r="LO44" i="1" a="1"/>
  <c r="EB29" i="1"/>
  <c r="RD28" i="1"/>
  <c r="VJ40" i="1" a="1"/>
  <c r="GM49" i="1"/>
  <c r="GM37" i="1"/>
  <c r="FK48" i="1"/>
  <c r="GM40" i="1"/>
  <c r="GJ57" i="1"/>
  <c r="MF54" i="1" a="1"/>
  <c r="FK30" i="1"/>
  <c r="GJ48" i="1"/>
  <c r="LK54" i="1"/>
  <c r="LK33" i="1"/>
  <c r="GN39" i="1" a="1"/>
  <c r="FQ41" i="1" a="1"/>
  <c r="GK34" i="1" a="1"/>
  <c r="LX44" i="1" a="1"/>
  <c r="FN52" i="1" a="1"/>
  <c r="FN42" i="1" a="1"/>
  <c r="FM47" i="1"/>
  <c r="GH30" i="1"/>
  <c r="MF37" i="1" a="1"/>
  <c r="LI48" i="1"/>
  <c r="QY51" i="1"/>
  <c r="LZ44" i="1"/>
  <c r="GM55" i="1"/>
  <c r="GM43" i="1"/>
  <c r="GM33" i="1"/>
  <c r="GH50" i="1"/>
  <c r="GH52" i="1"/>
  <c r="LN29" i="1"/>
  <c r="MA32" i="1" a="1"/>
  <c r="EB46" i="1"/>
  <c r="EB34" i="1"/>
  <c r="EB51" i="1"/>
  <c r="GK41" i="1" a="1"/>
  <c r="EB35" i="1"/>
  <c r="LP32" i="1"/>
  <c r="FP47" i="1"/>
  <c r="LZ45" i="1"/>
  <c r="GJ31" i="1"/>
  <c r="GM29" i="1"/>
  <c r="GM56" i="1"/>
  <c r="GJ43" i="1"/>
  <c r="GH42" i="1"/>
  <c r="GH51" i="1"/>
  <c r="FP37" i="1"/>
  <c r="FP56" i="1"/>
  <c r="FN38" i="1" a="1"/>
  <c r="FN53" i="1" a="1"/>
  <c r="FN39" i="1" a="1"/>
  <c r="GK56" i="1" a="1"/>
  <c r="GK50" i="1" a="1"/>
  <c r="MH45" i="1" a="1"/>
  <c r="VJ29" i="1" a="1"/>
  <c r="GM30" i="1"/>
  <c r="GJ49" i="1"/>
  <c r="FP45" i="1"/>
  <c r="LW42" i="1"/>
  <c r="GH40" i="1"/>
  <c r="GH43" i="1"/>
  <c r="GM50" i="1"/>
  <c r="LN33" i="1"/>
  <c r="GJ52" i="1"/>
  <c r="FP30" i="1"/>
  <c r="GH48" i="1"/>
  <c r="LZ36" i="1"/>
  <c r="LZ35" i="1"/>
  <c r="GK31" i="1" a="1"/>
  <c r="EB39" i="1"/>
  <c r="FK47" i="1"/>
  <c r="LK48" i="1"/>
  <c r="GH31" i="1"/>
  <c r="GH29" i="1"/>
  <c r="LN28" i="1"/>
  <c r="GH55" i="1"/>
  <c r="QY36" i="1"/>
  <c r="GM42" i="1"/>
  <c r="GJ41" i="1"/>
  <c r="GJ53" i="1"/>
  <c r="LU36" i="1"/>
  <c r="QY53" i="1"/>
  <c r="EB47" i="1"/>
  <c r="GK57" i="1" a="1"/>
  <c r="LO36" i="1" a="1"/>
  <c r="FM33" i="1"/>
  <c r="GH54" i="1"/>
  <c r="GH34" i="1"/>
  <c r="FK52" i="1"/>
  <c r="RA36" i="1"/>
  <c r="GJ42" i="1"/>
  <c r="GH41" i="1"/>
  <c r="RB28" i="1" a="1"/>
  <c r="FQ44" i="1" a="1"/>
  <c r="FN45" i="1" a="1"/>
  <c r="GK36" i="1" a="1"/>
  <c r="LN48" i="1"/>
  <c r="GM34" i="1"/>
  <c r="GJ50" i="1"/>
  <c r="RA53" i="1"/>
  <c r="FQ46" i="1" a="1"/>
  <c r="FN37" i="1" a="1"/>
  <c r="FM38" i="1"/>
  <c r="LU44" i="1"/>
  <c r="GH53" i="1"/>
  <c r="LN53" i="1"/>
  <c r="LJ38" i="1" a="1"/>
  <c r="LJ34" i="1" a="1"/>
  <c r="EV52" i="1" a="1"/>
  <c r="EV28" i="1" a="1"/>
  <c r="LJ41" i="1" a="1"/>
  <c r="EV51" i="1" a="1"/>
  <c r="LJ47" i="1" a="1"/>
  <c r="LJ54" i="1" a="1"/>
  <c r="EV33" i="1" a="1"/>
  <c r="EV56" i="1" a="1"/>
  <c r="EV37" i="1" a="1"/>
  <c r="EV30" i="1" a="1"/>
  <c r="LT47" i="1" a="1"/>
  <c r="NZ31" i="1" a="1"/>
  <c r="NZ51" i="1" a="1"/>
  <c r="NZ33" i="1" a="1"/>
  <c r="NZ52" i="1" a="1"/>
  <c r="QZ35" i="1" a="1"/>
  <c r="LT57" i="1" a="1"/>
  <c r="MF31" i="1" a="1"/>
  <c r="FL31" i="1" a="1"/>
  <c r="NZ34" i="1" a="1"/>
  <c r="FQ54" i="1" a="1"/>
  <c r="GK29" i="1" a="1"/>
  <c r="FN32" i="1" a="1"/>
  <c r="GK51" i="1" a="1"/>
  <c r="FQ28" i="1" a="1"/>
  <c r="LX36" i="1" a="1"/>
  <c r="VJ49" i="1" a="1"/>
  <c r="FK57" i="1"/>
  <c r="GM51" i="1"/>
  <c r="LK53" i="1"/>
  <c r="LN54" i="1"/>
  <c r="GK49" i="1" a="1"/>
  <c r="GK37" i="1" a="1"/>
  <c r="EB56" i="1"/>
  <c r="RE46" i="1" a="1"/>
  <c r="FM48" i="1"/>
  <c r="GM48" i="1"/>
  <c r="GK54" i="1" a="1"/>
  <c r="FN57" i="1" a="1"/>
  <c r="GM35" i="1"/>
  <c r="FP32" i="1"/>
  <c r="GM52" i="1"/>
  <c r="GK55" i="1" a="1"/>
  <c r="LU45" i="1"/>
  <c r="GJ55" i="1"/>
  <c r="LJ33" i="1" a="1"/>
  <c r="LJ29" i="1" a="1"/>
  <c r="LJ31" i="1" a="1"/>
  <c r="LJ46" i="1" a="1"/>
  <c r="EV29" i="1" a="1"/>
  <c r="EV49" i="1" a="1"/>
  <c r="LV30" i="1" a="1"/>
  <c r="EV36" i="1" a="1"/>
  <c r="LJ49" i="1" a="1"/>
  <c r="NZ36" i="1" a="1"/>
  <c r="NZ28" i="1" a="1"/>
  <c r="NZ43" i="1" a="1"/>
  <c r="NZ42" i="1" a="1"/>
  <c r="NZ37" i="1" a="1"/>
  <c r="NZ45" i="1" a="1"/>
  <c r="NZ56" i="1" a="1"/>
  <c r="LT31" i="1" a="1"/>
  <c r="QZ56" i="1" a="1"/>
  <c r="NZ44" i="1" a="1"/>
  <c r="QZ42" i="1" a="1"/>
  <c r="NZ32" i="1" a="1"/>
  <c r="RB46" i="1" a="1"/>
  <c r="LL35" i="1" a="1"/>
  <c r="LU35" i="1"/>
  <c r="FQ55" i="1" a="1"/>
  <c r="LV54" i="1" a="1"/>
  <c r="GK44" i="1" a="1"/>
  <c r="GK35" i="1" a="1"/>
  <c r="LL28" i="1" a="1"/>
  <c r="GK46" i="1" a="1"/>
  <c r="LO45" i="1" a="1"/>
  <c r="FN35" i="1" a="1"/>
  <c r="FP33" i="1"/>
  <c r="GH44" i="1"/>
  <c r="GJ54" i="1"/>
  <c r="GJ35" i="1"/>
  <c r="GJ34" i="1"/>
  <c r="LZ42" i="1"/>
  <c r="GJ56" i="1"/>
  <c r="FP52" i="1"/>
  <c r="GJ33" i="1"/>
  <c r="FP50" i="1"/>
  <c r="RD53" i="1"/>
  <c r="FK42" i="1"/>
  <c r="LI53" i="1"/>
  <c r="LK29" i="1"/>
  <c r="FM42" i="1"/>
  <c r="LW36" i="1"/>
  <c r="EB40" i="1"/>
  <c r="GN28" i="1" a="1"/>
  <c r="FN48" i="1" a="1"/>
  <c r="LV53" i="1" a="1"/>
  <c r="RB53" i="1" a="1"/>
  <c r="FK38" i="1"/>
  <c r="FK39" i="1"/>
  <c r="GH49" i="1"/>
  <c r="FM45" i="1"/>
  <c r="FM57" i="1"/>
  <c r="FM32" i="1"/>
  <c r="FK50" i="1"/>
  <c r="GJ51" i="1"/>
  <c r="FM30" i="1"/>
  <c r="GN45" i="1" a="1"/>
  <c r="GN38" i="1" a="1"/>
  <c r="EB48" i="1"/>
  <c r="EB38" i="1"/>
  <c r="GK53" i="1" a="1"/>
  <c r="FM39" i="1"/>
  <c r="FM29" i="1"/>
  <c r="RA51" i="1"/>
  <c r="GJ40" i="1"/>
  <c r="GH33" i="1"/>
  <c r="LI33" i="1"/>
  <c r="FK35" i="1"/>
  <c r="FN29" i="1" a="1"/>
  <c r="RB51" i="1" a="1"/>
  <c r="LV37" i="1" a="1"/>
  <c r="GK52" i="1" a="1"/>
  <c r="GK48" i="1" a="1"/>
  <c r="EB31" i="1"/>
  <c r="FK33" i="1"/>
  <c r="FP53" i="1"/>
  <c r="FP39" i="1"/>
  <c r="GM54" i="1"/>
  <c r="GH37" i="1"/>
  <c r="LK28" i="1"/>
  <c r="FP57" i="1"/>
  <c r="FK32" i="1"/>
  <c r="FM50" i="1"/>
  <c r="FK56" i="1"/>
  <c r="LK41" i="1"/>
  <c r="FM56" i="1"/>
  <c r="LN41" i="1"/>
  <c r="MF35" i="1" a="1"/>
  <c r="FN47" i="1" a="1"/>
  <c r="LX45" i="1" a="1"/>
  <c r="FP38" i="1"/>
  <c r="FP29" i="1"/>
  <c r="RD51" i="1"/>
  <c r="FK45" i="1"/>
  <c r="LW44" i="1"/>
  <c r="GH36" i="1"/>
  <c r="QY47" i="1"/>
  <c r="FK34" i="1"/>
  <c r="LI41" i="1"/>
  <c r="FM34" i="1"/>
  <c r="FN33" i="1" a="1"/>
  <c r="FQ51" i="1" a="1"/>
  <c r="EB52" i="1"/>
  <c r="LV28" i="1" a="1"/>
  <c r="EB49" i="1"/>
  <c r="GM44" i="1"/>
  <c r="VJ37" i="1" a="1"/>
  <c r="RD47" i="1"/>
  <c r="FM37" i="1"/>
  <c r="GM53" i="1"/>
  <c r="FQ49" i="1" a="1"/>
  <c r="GN32" i="1" a="1"/>
  <c r="EB43" i="1"/>
  <c r="GK43" i="1" a="1"/>
  <c r="FN34" i="1" a="1"/>
  <c r="RA28" i="1"/>
  <c r="FK53" i="1"/>
  <c r="GJ44" i="1"/>
  <c r="GM31" i="1"/>
  <c r="GJ37" i="1"/>
  <c r="FP48" i="1"/>
  <c r="FM52" i="1"/>
  <c r="GM36" i="1"/>
  <c r="GM41" i="1"/>
  <c r="LO42" i="1" a="1"/>
  <c r="LL48" i="1" a="1"/>
  <c r="MM32" i="1" a="1"/>
  <c r="FN50" i="1" a="1"/>
  <c r="EB37" i="1"/>
  <c r="LL53" i="1" a="1"/>
  <c r="FK29" i="1"/>
  <c r="GJ29" i="1"/>
  <c r="LU42" i="1"/>
  <c r="GH57" i="1"/>
  <c r="GJ36" i="1"/>
  <c r="RA47" i="1"/>
  <c r="FK37" i="1"/>
  <c r="FP34" i="1"/>
  <c r="LI29" i="1"/>
  <c r="FP42" i="1"/>
  <c r="GJ30" i="1"/>
  <c r="GN47" i="1" a="1"/>
  <c r="FQ43" i="1" a="1"/>
  <c r="GH35" i="1"/>
  <c r="RD36" i="1"/>
  <c r="FP35" i="1"/>
  <c r="FM35" i="1"/>
  <c r="NZ32" i="1" l="1"/>
  <c r="QZ42" i="1"/>
  <c r="NZ44" i="1"/>
  <c r="QZ56" i="1"/>
  <c r="LT31" i="1"/>
  <c r="NZ56" i="1"/>
  <c r="NZ45" i="1"/>
  <c r="NZ37" i="1"/>
  <c r="NZ42" i="1"/>
  <c r="NZ43" i="1"/>
  <c r="NZ28" i="1"/>
  <c r="NZ36" i="1"/>
  <c r="LJ49" i="1"/>
  <c r="EV36" i="1"/>
  <c r="LV30" i="1"/>
  <c r="EV49" i="1"/>
  <c r="EV29" i="1"/>
  <c r="LJ46" i="1"/>
  <c r="LJ31" i="1"/>
  <c r="LJ29" i="1"/>
  <c r="LJ33" i="1"/>
  <c r="NZ34" i="1"/>
  <c r="FL31" i="1"/>
  <c r="MF31" i="1"/>
  <c r="LT57" i="1"/>
  <c r="QZ35" i="1"/>
  <c r="NZ52" i="1"/>
  <c r="NZ33" i="1"/>
  <c r="NZ51" i="1"/>
  <c r="NZ31" i="1"/>
  <c r="LT47" i="1"/>
  <c r="EV30" i="1"/>
  <c r="EV37" i="1"/>
  <c r="EV56" i="1"/>
  <c r="EV33" i="1"/>
  <c r="LJ54" i="1"/>
  <c r="LJ47" i="1"/>
  <c r="EV51" i="1"/>
  <c r="LJ41" i="1"/>
  <c r="EV28" i="1"/>
  <c r="EV52" i="1"/>
  <c r="LJ34" i="1"/>
  <c r="LJ38" i="1"/>
  <c r="NZ54" i="1"/>
  <c r="NZ29" i="1"/>
  <c r="NZ49" i="1"/>
  <c r="LT56" i="1"/>
  <c r="NZ50" i="1"/>
  <c r="NZ40" i="1"/>
  <c r="NZ46" i="1"/>
  <c r="NZ30" i="1"/>
  <c r="QZ43" i="1"/>
  <c r="NZ55" i="1"/>
  <c r="NZ39" i="1"/>
  <c r="LJ30" i="1"/>
  <c r="LJ50" i="1"/>
  <c r="EV34" i="1"/>
  <c r="EV55" i="1"/>
  <c r="EV50" i="1"/>
  <c r="LJ52" i="1"/>
  <c r="LJ56" i="1"/>
  <c r="LO35" i="1"/>
  <c r="EV44" i="1"/>
  <c r="LJ43" i="1"/>
  <c r="LJ55" i="1"/>
  <c r="LJ51" i="1"/>
  <c r="NZ38" i="1"/>
  <c r="NZ53" i="1"/>
  <c r="NZ47" i="1"/>
  <c r="LT49" i="1"/>
  <c r="NZ48" i="1"/>
  <c r="LT34" i="1"/>
  <c r="NZ35" i="1"/>
  <c r="NZ57" i="1"/>
  <c r="NZ41" i="1"/>
  <c r="LJ57" i="1"/>
  <c r="EV42" i="1"/>
  <c r="LJ37" i="1"/>
  <c r="EV38" i="1"/>
  <c r="EV40" i="1"/>
  <c r="EV43" i="1"/>
  <c r="EV45" i="1"/>
  <c r="LJ40" i="1"/>
  <c r="LJ39" i="1"/>
  <c r="MH30" i="1"/>
  <c r="OH32" i="1"/>
  <c r="OG32" i="1"/>
  <c r="QX34" i="1"/>
  <c r="RL34" i="1"/>
  <c r="YA34" i="1" s="1"/>
  <c r="YJ34" i="1" s="1"/>
  <c r="RH42" i="1"/>
  <c r="RG42" i="1"/>
  <c r="OG44" i="1"/>
  <c r="OH44" i="1"/>
  <c r="RH56" i="1"/>
  <c r="RG56" i="1"/>
  <c r="HE31" i="1"/>
  <c r="GW31" i="1"/>
  <c r="RL52" i="1"/>
  <c r="YA52" i="1" s="1"/>
  <c r="YJ52" i="1" s="1"/>
  <c r="QX52" i="1"/>
  <c r="OH56" i="1"/>
  <c r="OG56" i="1"/>
  <c r="QX48" i="1"/>
  <c r="RL48" i="1"/>
  <c r="YA48" i="1" s="1"/>
  <c r="YJ48" i="1" s="1"/>
  <c r="OG45" i="1"/>
  <c r="OH45" i="1"/>
  <c r="OS47" i="1"/>
  <c r="OL47" i="1"/>
  <c r="OM47" i="1"/>
  <c r="OO47" i="1" s="1"/>
  <c r="LC33" i="1"/>
  <c r="LF33" i="1" s="1"/>
  <c r="KO33" i="1" a="1"/>
  <c r="KO33" i="1" s="1"/>
  <c r="LD33" i="1" s="1"/>
  <c r="LG33" i="1" s="1"/>
  <c r="LC41" i="1"/>
  <c r="LF41" i="1" s="1"/>
  <c r="KO41" i="1" a="1"/>
  <c r="KO41" i="1" s="1"/>
  <c r="LD41" i="1" s="1"/>
  <c r="LG41" i="1" s="1"/>
  <c r="KO49" i="1" a="1"/>
  <c r="KO49" i="1" s="1"/>
  <c r="LD49" i="1" s="1"/>
  <c r="LG49" i="1" s="1"/>
  <c r="OG37" i="1"/>
  <c r="OH37" i="1"/>
  <c r="RL33" i="1"/>
  <c r="YA33" i="1" s="1"/>
  <c r="YJ33" i="1" s="1"/>
  <c r="QX33" i="1"/>
  <c r="OH42" i="1"/>
  <c r="OG42" i="1"/>
  <c r="OH43" i="1"/>
  <c r="OG43" i="1"/>
  <c r="OS48" i="1"/>
  <c r="OL48" i="1"/>
  <c r="OM48" i="1"/>
  <c r="OO48" i="1" s="1"/>
  <c r="QX31" i="1"/>
  <c r="RL31" i="1"/>
  <c r="YA31" i="1" s="1"/>
  <c r="YJ31" i="1" s="1"/>
  <c r="OS35" i="1"/>
  <c r="OM35" i="1"/>
  <c r="OO35" i="1" s="1"/>
  <c r="OL35" i="1"/>
  <c r="OS57" i="1"/>
  <c r="OL57" i="1"/>
  <c r="OM57" i="1"/>
  <c r="OO57" i="1" s="1"/>
  <c r="OG28" i="1"/>
  <c r="N35" i="21" s="1" a="1"/>
  <c r="N35" i="21" s="1"/>
  <c r="OH28" i="1"/>
  <c r="O35" i="21" s="1" a="1"/>
  <c r="O35" i="21" s="1"/>
  <c r="OS41" i="1"/>
  <c r="OM41" i="1"/>
  <c r="OO41" i="1" s="1"/>
  <c r="OL41" i="1"/>
  <c r="OG36" i="1"/>
  <c r="OH36" i="1"/>
  <c r="LC38" i="1"/>
  <c r="LF38" i="1" s="1"/>
  <c r="KO38" i="1" a="1"/>
  <c r="KO38" i="1" s="1"/>
  <c r="LD38" i="1" s="1"/>
  <c r="LG38" i="1" s="1"/>
  <c r="KO56" i="1" a="1"/>
  <c r="KO56" i="1" s="1"/>
  <c r="LD56" i="1" s="1"/>
  <c r="LG56" i="1" s="1"/>
  <c r="LQ49" i="1"/>
  <c r="LR49" i="1"/>
  <c r="MC30" i="1"/>
  <c r="MD30" i="1"/>
  <c r="LQ46" i="1"/>
  <c r="LR46" i="1"/>
  <c r="LR31" i="1"/>
  <c r="LQ31" i="1"/>
  <c r="OG34" i="1"/>
  <c r="OH34" i="1"/>
  <c r="OM32" i="1"/>
  <c r="OO32" i="1" s="1"/>
  <c r="OS32" i="1"/>
  <c r="OL32" i="1"/>
  <c r="OS54" i="1"/>
  <c r="OM54" i="1"/>
  <c r="OO54" i="1" s="1"/>
  <c r="OL54" i="1"/>
  <c r="QX57" i="1"/>
  <c r="RL57" i="1"/>
  <c r="YA57" i="1" s="1"/>
  <c r="YJ57" i="1" s="1"/>
  <c r="OS44" i="1"/>
  <c r="OL44" i="1"/>
  <c r="OM44" i="1"/>
  <c r="OO44" i="1" s="1"/>
  <c r="FT31" i="1"/>
  <c r="FS31" i="1"/>
  <c r="RL32" i="1"/>
  <c r="YA32" i="1" s="1"/>
  <c r="YJ32" i="1" s="1"/>
  <c r="QX32" i="1"/>
  <c r="OM56" i="1"/>
  <c r="OO56" i="1" s="1"/>
  <c r="OS56" i="1"/>
  <c r="OL56" i="1"/>
  <c r="QX40" i="1"/>
  <c r="RL40" i="1"/>
  <c r="YA40" i="1" s="1"/>
  <c r="YJ40" i="1" s="1"/>
  <c r="OM45" i="1"/>
  <c r="OO45" i="1" s="1"/>
  <c r="OS45" i="1"/>
  <c r="OL45" i="1"/>
  <c r="RL54" i="1"/>
  <c r="YA54" i="1" s="1"/>
  <c r="YJ54" i="1" s="1"/>
  <c r="QX54" i="1"/>
  <c r="LC51" i="1"/>
  <c r="LF51" i="1" s="1"/>
  <c r="KO51" i="1" a="1"/>
  <c r="KO51" i="1" s="1"/>
  <c r="LD51" i="1" s="1"/>
  <c r="LG51" i="1" s="1"/>
  <c r="RG35" i="1"/>
  <c r="RH35" i="1"/>
  <c r="OS37" i="1"/>
  <c r="OM37" i="1"/>
  <c r="OO37" i="1" s="1"/>
  <c r="OL37" i="1"/>
  <c r="OH52" i="1"/>
  <c r="OG52" i="1"/>
  <c r="OH33" i="1"/>
  <c r="OG33" i="1"/>
  <c r="LC43" i="1"/>
  <c r="LF43" i="1" s="1"/>
  <c r="KO43" i="1" a="1"/>
  <c r="KO43" i="1" s="1"/>
  <c r="LD43" i="1" s="1"/>
  <c r="LG43" i="1" s="1"/>
  <c r="OH51" i="1"/>
  <c r="OG51" i="1"/>
  <c r="OH31" i="1"/>
  <c r="OG31" i="1"/>
  <c r="QX45" i="1"/>
  <c r="RL45" i="1"/>
  <c r="YA45" i="1" s="1"/>
  <c r="YJ45" i="1" s="1"/>
  <c r="OM28" i="1"/>
  <c r="OO28" i="1" s="1"/>
  <c r="OL28" i="1"/>
  <c r="OS28" i="1"/>
  <c r="RL41" i="1"/>
  <c r="YA41" i="1" s="1"/>
  <c r="YJ41" i="1" s="1"/>
  <c r="QX41" i="1"/>
  <c r="OS36" i="1"/>
  <c r="OL36" i="1"/>
  <c r="OM36" i="1"/>
  <c r="OO36" i="1" s="1"/>
  <c r="KO50" i="1" a="1"/>
  <c r="KO50" i="1" s="1"/>
  <c r="LC50" i="1"/>
  <c r="LF50" i="1" s="1"/>
  <c r="LR47" i="1"/>
  <c r="LQ47" i="1"/>
  <c r="LQ34" i="1"/>
  <c r="LR34" i="1"/>
  <c r="LQ38" i="1"/>
  <c r="LR38" i="1"/>
  <c r="OS34" i="1"/>
  <c r="OL34" i="1"/>
  <c r="OM34" i="1"/>
  <c r="OO34" i="1" s="1"/>
  <c r="OS38" i="1"/>
  <c r="OL38" i="1"/>
  <c r="OM38" i="1"/>
  <c r="OO38" i="1" s="1"/>
  <c r="OG54" i="1"/>
  <c r="OH54" i="1"/>
  <c r="OH29" i="1"/>
  <c r="OG29" i="1"/>
  <c r="RL50" i="1"/>
  <c r="YA50" i="1" s="1"/>
  <c r="YJ50" i="1" s="1"/>
  <c r="QX50" i="1"/>
  <c r="OG49" i="1"/>
  <c r="OH49" i="1"/>
  <c r="RL38" i="1"/>
  <c r="YA38" i="1" s="1"/>
  <c r="YJ38" i="1" s="1"/>
  <c r="QX38" i="1"/>
  <c r="OG50" i="1"/>
  <c r="OH50" i="1"/>
  <c r="OS53" i="1"/>
  <c r="OM53" i="1"/>
  <c r="OO53" i="1" s="1"/>
  <c r="OL53" i="1"/>
  <c r="OG40" i="1"/>
  <c r="OH40" i="1"/>
  <c r="RL49" i="1"/>
  <c r="YA49" i="1" s="1"/>
  <c r="YJ49" i="1" s="1"/>
  <c r="QX49" i="1"/>
  <c r="OH46" i="1"/>
  <c r="OG46" i="1"/>
  <c r="LC52" i="1"/>
  <c r="LF52" i="1" s="1"/>
  <c r="KO52" i="1" a="1"/>
  <c r="KO52" i="1" s="1"/>
  <c r="LD52" i="1" s="1"/>
  <c r="LG52" i="1" s="1"/>
  <c r="KO57" i="1" a="1"/>
  <c r="KO57" i="1" s="1"/>
  <c r="LD57" i="1" s="1"/>
  <c r="LG57" i="1" s="1"/>
  <c r="OH30" i="1"/>
  <c r="OG30" i="1"/>
  <c r="OS52" i="1"/>
  <c r="OL52" i="1"/>
  <c r="OM52" i="1"/>
  <c r="OO52" i="1" s="1"/>
  <c r="RG43" i="1"/>
  <c r="RH43" i="1"/>
  <c r="OS33" i="1"/>
  <c r="OL33" i="1"/>
  <c r="OM33" i="1"/>
  <c r="OO33" i="1" s="1"/>
  <c r="LC29" i="1"/>
  <c r="LF29" i="1" s="1"/>
  <c r="KO29" i="1" a="1"/>
  <c r="KO29" i="1" s="1"/>
  <c r="OS51" i="1"/>
  <c r="OM51" i="1"/>
  <c r="OO51" i="1" s="1"/>
  <c r="OL51" i="1"/>
  <c r="OS31" i="1"/>
  <c r="OL31" i="1"/>
  <c r="OM31" i="1"/>
  <c r="OO31" i="1" s="1"/>
  <c r="OG55" i="1"/>
  <c r="OH55" i="1"/>
  <c r="QX37" i="1"/>
  <c r="RL37" i="1"/>
  <c r="YA37" i="1" s="1"/>
  <c r="YJ37" i="1" s="1"/>
  <c r="OH39" i="1"/>
  <c r="OG39" i="1"/>
  <c r="RL39" i="1"/>
  <c r="YA39" i="1" s="1"/>
  <c r="YJ39" i="1" s="1"/>
  <c r="QX39" i="1"/>
  <c r="KO47" i="1" a="1"/>
  <c r="KO47" i="1" s="1"/>
  <c r="LD47" i="1" s="1"/>
  <c r="LG47" i="1" s="1"/>
  <c r="KO34" i="1" a="1"/>
  <c r="KO34" i="1" s="1"/>
  <c r="LD34" i="1" s="1"/>
  <c r="LG34" i="1" s="1"/>
  <c r="LR30" i="1"/>
  <c r="LQ30" i="1"/>
  <c r="LR50" i="1"/>
  <c r="LQ50" i="1"/>
  <c r="LQ52" i="1"/>
  <c r="LR52" i="1"/>
  <c r="LQ56" i="1"/>
  <c r="LR56" i="1"/>
  <c r="LQ43" i="1"/>
  <c r="LR43" i="1"/>
  <c r="LQ55" i="1"/>
  <c r="LR55" i="1"/>
  <c r="QX44" i="1"/>
  <c r="RL44" i="1"/>
  <c r="YA44" i="1" s="1"/>
  <c r="YJ44" i="1" s="1"/>
  <c r="OH38" i="1"/>
  <c r="OG38" i="1"/>
  <c r="OS29" i="1"/>
  <c r="OM29" i="1"/>
  <c r="OO29" i="1" s="1"/>
  <c r="OL29" i="1"/>
  <c r="QX29" i="1"/>
  <c r="RL29" i="1"/>
  <c r="YA29" i="1" s="1"/>
  <c r="YJ29" i="1" s="1"/>
  <c r="OS49" i="1"/>
  <c r="OM49" i="1"/>
  <c r="OO49" i="1" s="1"/>
  <c r="OL49" i="1"/>
  <c r="KO40" i="1" a="1"/>
  <c r="KO40" i="1" s="1"/>
  <c r="LD40" i="1" s="1"/>
  <c r="LG40" i="1" s="1"/>
  <c r="LC40" i="1"/>
  <c r="LF40" i="1" s="1"/>
  <c r="RL55" i="1"/>
  <c r="YA55" i="1" s="1"/>
  <c r="YJ55" i="1" s="1"/>
  <c r="QX55" i="1"/>
  <c r="OS50" i="1"/>
  <c r="OL50" i="1"/>
  <c r="OM50" i="1"/>
  <c r="OO50" i="1" s="1"/>
  <c r="OG53" i="1"/>
  <c r="OH53" i="1"/>
  <c r="OS40" i="1"/>
  <c r="OM40" i="1"/>
  <c r="OO40" i="1" s="1"/>
  <c r="OL40" i="1"/>
  <c r="OH47" i="1"/>
  <c r="OG47" i="1"/>
  <c r="OS46" i="1"/>
  <c r="OL46" i="1"/>
  <c r="OM46" i="1"/>
  <c r="OO46" i="1" s="1"/>
  <c r="LC46" i="1"/>
  <c r="LF46" i="1" s="1"/>
  <c r="KO46" i="1" a="1"/>
  <c r="KO46" i="1" s="1"/>
  <c r="LD46" i="1" s="1"/>
  <c r="LG46" i="1" s="1"/>
  <c r="QX30" i="1"/>
  <c r="RL30" i="1"/>
  <c r="YA30" i="1" s="1"/>
  <c r="YJ30" i="1" s="1"/>
  <c r="OS30" i="1"/>
  <c r="OM30" i="1"/>
  <c r="OO30" i="1" s="1"/>
  <c r="OL30" i="1"/>
  <c r="OS42" i="1"/>
  <c r="OL42" i="1"/>
  <c r="OM42" i="1"/>
  <c r="OO42" i="1" s="1"/>
  <c r="OS43" i="1"/>
  <c r="OM43" i="1"/>
  <c r="OO43" i="1" s="1"/>
  <c r="OL43" i="1"/>
  <c r="OH48" i="1"/>
  <c r="OG48" i="1"/>
  <c r="OH35" i="1"/>
  <c r="OG35" i="1"/>
  <c r="OH57" i="1"/>
  <c r="OG57" i="1"/>
  <c r="OS55" i="1"/>
  <c r="OL55" i="1"/>
  <c r="OM55" i="1"/>
  <c r="OO55" i="1" s="1"/>
  <c r="OH41" i="1"/>
  <c r="OG41" i="1"/>
  <c r="OS39" i="1"/>
  <c r="OL39" i="1"/>
  <c r="OM39" i="1"/>
  <c r="OO39" i="1" s="1"/>
  <c r="KO55" i="1" a="1"/>
  <c r="KO55" i="1" s="1"/>
  <c r="LD55" i="1" s="1"/>
  <c r="LG55" i="1" s="1"/>
  <c r="LC55" i="1"/>
  <c r="LF55" i="1" s="1"/>
  <c r="LC39" i="1"/>
  <c r="LF39" i="1" s="1"/>
  <c r="KO39" i="1" a="1"/>
  <c r="KO39" i="1" s="1"/>
  <c r="LR57" i="1"/>
  <c r="LQ57" i="1"/>
  <c r="LR37" i="1"/>
  <c r="LQ37" i="1"/>
  <c r="LQ40" i="1"/>
  <c r="LR40" i="1"/>
  <c r="LR39" i="1"/>
  <c r="LQ39" i="1"/>
  <c r="MP30" i="1"/>
  <c r="MO30" i="1"/>
  <c r="HG55" i="1"/>
  <c r="HL55" i="1" s="1"/>
  <c r="MO31" i="1"/>
  <c r="MP31" i="1"/>
  <c r="HK31" i="1"/>
  <c r="YN42" i="1"/>
  <c r="HA55" i="1"/>
  <c r="RB46" i="1"/>
  <c r="RC46" i="1" s="1"/>
  <c r="RI46" i="1" s="1"/>
  <c r="MJ32" i="1"/>
  <c r="MK32" i="1" s="1"/>
  <c r="MQ32" i="1" s="1"/>
  <c r="MF28" i="1"/>
  <c r="MF53" i="1"/>
  <c r="MP53" i="1" s="1"/>
  <c r="LV35" i="1"/>
  <c r="MF48" i="1"/>
  <c r="MP48" i="1" s="1"/>
  <c r="MF35" i="1"/>
  <c r="LL35" i="1"/>
  <c r="LM35" i="1" s="1"/>
  <c r="LS35" i="1" s="1"/>
  <c r="MD35" i="1"/>
  <c r="MC35" i="1"/>
  <c r="VJ29" i="1"/>
  <c r="VJ38" i="1"/>
  <c r="LL53" i="1"/>
  <c r="LM53" i="1" s="1"/>
  <c r="LS53" i="1" s="1"/>
  <c r="GK48" i="1"/>
  <c r="GL48" i="1" s="1"/>
  <c r="GR48" i="1" s="1"/>
  <c r="FN56" i="1"/>
  <c r="FO56" i="1" s="1"/>
  <c r="FU56" i="1" s="1"/>
  <c r="GK52" i="1"/>
  <c r="GL52" i="1" s="1"/>
  <c r="GR52" i="1" s="1"/>
  <c r="FN37" i="1"/>
  <c r="FO37" i="1" s="1"/>
  <c r="FU37" i="1" s="1"/>
  <c r="MH45" i="1"/>
  <c r="FQ43" i="1"/>
  <c r="GK50" i="1"/>
  <c r="GL50" i="1" s="1"/>
  <c r="GR50" i="1" s="1"/>
  <c r="FN50" i="1"/>
  <c r="FO50" i="1" s="1"/>
  <c r="FU50" i="1" s="1"/>
  <c r="RB36" i="1"/>
  <c r="RC36" i="1" s="1"/>
  <c r="RI36" i="1" s="1"/>
  <c r="GK55" i="1"/>
  <c r="GL55" i="1" s="1"/>
  <c r="GR55" i="1" s="1"/>
  <c r="GK56" i="1"/>
  <c r="GL56" i="1" s="1"/>
  <c r="GR56" i="1" s="1"/>
  <c r="MM32" i="1"/>
  <c r="LV37" i="1"/>
  <c r="RB51" i="1"/>
  <c r="RC51" i="1" s="1"/>
  <c r="RI51" i="1" s="1"/>
  <c r="FN29" i="1"/>
  <c r="FO29" i="1" s="1"/>
  <c r="FU29" i="1" s="1"/>
  <c r="LL48" i="1"/>
  <c r="LM48" i="1" s="1"/>
  <c r="LS48" i="1" s="1"/>
  <c r="FN39" i="1"/>
  <c r="FO39" i="1" s="1"/>
  <c r="FU39" i="1" s="1"/>
  <c r="FQ46" i="1"/>
  <c r="FN53" i="1"/>
  <c r="FO53" i="1" s="1"/>
  <c r="FU53" i="1" s="1"/>
  <c r="LO42" i="1"/>
  <c r="GN47" i="1"/>
  <c r="FN38" i="1"/>
  <c r="FO38" i="1" s="1"/>
  <c r="FU38" i="1" s="1"/>
  <c r="FN34" i="1"/>
  <c r="FO34" i="1" s="1"/>
  <c r="FU34" i="1" s="1"/>
  <c r="GK53" i="1"/>
  <c r="GL53" i="1" s="1"/>
  <c r="GR53" i="1" s="1"/>
  <c r="GK41" i="1"/>
  <c r="GL41" i="1" s="1"/>
  <c r="GR41" i="1" s="1"/>
  <c r="GK42" i="1"/>
  <c r="GL42" i="1" s="1"/>
  <c r="GR42" i="1" s="1"/>
  <c r="GK36" i="1"/>
  <c r="GL36" i="1" s="1"/>
  <c r="GR36" i="1" s="1"/>
  <c r="GK43" i="1"/>
  <c r="GL43" i="1" s="1"/>
  <c r="GR43" i="1" s="1"/>
  <c r="FN57" i="1"/>
  <c r="FO57" i="1" s="1"/>
  <c r="FU57" i="1" s="1"/>
  <c r="LX42" i="1"/>
  <c r="LY42" i="1" s="1"/>
  <c r="ME42" i="1" s="1"/>
  <c r="FN45" i="1"/>
  <c r="FO45" i="1" s="1"/>
  <c r="FU45" i="1" s="1"/>
  <c r="GN38" i="1"/>
  <c r="FQ44" i="1"/>
  <c r="GK54" i="1"/>
  <c r="GL54" i="1" s="1"/>
  <c r="GR54" i="1" s="1"/>
  <c r="GN32" i="1"/>
  <c r="GN45" i="1"/>
  <c r="FQ49" i="1"/>
  <c r="RB28" i="1"/>
  <c r="RC28" i="1" s="1"/>
  <c r="RI28" i="1" s="1"/>
  <c r="MA32" i="1"/>
  <c r="VJ41" i="1"/>
  <c r="VJ37" i="1"/>
  <c r="MF37" i="1"/>
  <c r="FN42" i="1"/>
  <c r="FO42" i="1" s="1"/>
  <c r="FU42" i="1" s="1"/>
  <c r="FN30" i="1"/>
  <c r="FO30" i="1" s="1"/>
  <c r="FU30" i="1" s="1"/>
  <c r="RE46" i="1"/>
  <c r="LV28" i="1"/>
  <c r="RB53" i="1"/>
  <c r="RC53" i="1" s="1"/>
  <c r="RI53" i="1" s="1"/>
  <c r="LO36" i="1"/>
  <c r="GK33" i="1"/>
  <c r="GL33" i="1" s="1"/>
  <c r="GR33" i="1" s="1"/>
  <c r="LV53" i="1"/>
  <c r="GK57" i="1"/>
  <c r="GL57" i="1" s="1"/>
  <c r="GR57" i="1" s="1"/>
  <c r="FN52" i="1"/>
  <c r="FO52" i="1" s="1"/>
  <c r="FU52" i="1" s="1"/>
  <c r="GK40" i="1"/>
  <c r="GL40" i="1" s="1"/>
  <c r="GR40" i="1" s="1"/>
  <c r="FN48" i="1"/>
  <c r="FO48" i="1" s="1"/>
  <c r="FU48" i="1" s="1"/>
  <c r="LX44" i="1"/>
  <c r="LY44" i="1" s="1"/>
  <c r="ME44" i="1" s="1"/>
  <c r="GK34" i="1"/>
  <c r="GL34" i="1" s="1"/>
  <c r="GR34" i="1" s="1"/>
  <c r="GN28" i="1"/>
  <c r="GK37" i="1"/>
  <c r="GL37" i="1" s="1"/>
  <c r="GR37" i="1" s="1"/>
  <c r="FQ51" i="1"/>
  <c r="GK49" i="1"/>
  <c r="GL49" i="1" s="1"/>
  <c r="GR49" i="1" s="1"/>
  <c r="LV48" i="1"/>
  <c r="FQ41" i="1"/>
  <c r="FN33" i="1"/>
  <c r="FO33" i="1" s="1"/>
  <c r="FU33" i="1" s="1"/>
  <c r="GN39" i="1"/>
  <c r="MF54" i="1"/>
  <c r="VJ40" i="1"/>
  <c r="VJ49" i="1"/>
  <c r="LX36" i="1"/>
  <c r="LY36" i="1" s="1"/>
  <c r="ME36" i="1" s="1"/>
  <c r="LO44" i="1"/>
  <c r="FN35" i="1"/>
  <c r="FO35" i="1" s="1"/>
  <c r="FU35" i="1" s="1"/>
  <c r="FQ28" i="1"/>
  <c r="FQ36" i="1"/>
  <c r="GK51" i="1"/>
  <c r="GL51" i="1" s="1"/>
  <c r="GR51" i="1" s="1"/>
  <c r="RB47" i="1"/>
  <c r="RC47" i="1" s="1"/>
  <c r="RI47" i="1" s="1"/>
  <c r="LO45" i="1"/>
  <c r="FN32" i="1"/>
  <c r="FO32" i="1" s="1"/>
  <c r="FU32" i="1" s="1"/>
  <c r="MH36" i="1"/>
  <c r="MH44" i="1"/>
  <c r="GK46" i="1"/>
  <c r="GL46" i="1" s="1"/>
  <c r="GR46" i="1" s="1"/>
  <c r="LL28" i="1"/>
  <c r="LM28" i="1" s="1"/>
  <c r="LS28" i="1" s="1"/>
  <c r="GK29" i="1"/>
  <c r="GL29" i="1" s="1"/>
  <c r="GR29" i="1" s="1"/>
  <c r="FQ40" i="1"/>
  <c r="GK35" i="1"/>
  <c r="GL35" i="1" s="1"/>
  <c r="GR35" i="1" s="1"/>
  <c r="GK31" i="1"/>
  <c r="GL31" i="1" s="1"/>
  <c r="GR31" i="1" s="1"/>
  <c r="FQ54" i="1"/>
  <c r="LX45" i="1"/>
  <c r="LY45" i="1" s="1"/>
  <c r="ME45" i="1" s="1"/>
  <c r="GK44" i="1"/>
  <c r="GL44" i="1" s="1"/>
  <c r="GR44" i="1" s="1"/>
  <c r="GK30" i="1"/>
  <c r="GL30" i="1" s="1"/>
  <c r="GR30" i="1" s="1"/>
  <c r="LV54" i="1"/>
  <c r="FN47" i="1"/>
  <c r="FO47" i="1" s="1"/>
  <c r="FU47" i="1" s="1"/>
  <c r="FQ55" i="1"/>
  <c r="MH42" i="1"/>
  <c r="HK49" i="1"/>
  <c r="HG49" i="1"/>
  <c r="HL49" i="1" s="1"/>
  <c r="HA49" i="1"/>
  <c r="VD42" i="1"/>
  <c r="VG42" i="1" s="1"/>
  <c r="UR42" i="1" a="1"/>
  <c r="UR42" i="1" s="1"/>
  <c r="HG53" i="1"/>
  <c r="HL53" i="1" s="1"/>
  <c r="HK53" i="1"/>
  <c r="HA53" i="1"/>
  <c r="UN55" i="1"/>
  <c r="UQ55" i="1" s="1" a="1"/>
  <c r="UQ55" i="1" s="1"/>
  <c r="VD55" i="1" s="1"/>
  <c r="VG55" i="1" s="1"/>
  <c r="UO55" i="1" a="1"/>
  <c r="UO55" i="1" s="1"/>
  <c r="UP55" i="1" s="1" a="1"/>
  <c r="UP55" i="1" s="1"/>
  <c r="UN33" i="1"/>
  <c r="UQ33" i="1" s="1" a="1"/>
  <c r="UQ33" i="1" s="1"/>
  <c r="VD33" i="1" s="1"/>
  <c r="VG33" i="1" s="1"/>
  <c r="UO33" i="1" a="1"/>
  <c r="UO33" i="1" s="1"/>
  <c r="UP33" i="1" s="1" a="1"/>
  <c r="UP33" i="1" s="1"/>
  <c r="VD46" i="1"/>
  <c r="VG46" i="1" s="1"/>
  <c r="UR46" i="1" a="1"/>
  <c r="UR46" i="1" s="1"/>
  <c r="HG45" i="1"/>
  <c r="HL45" i="1" s="1"/>
  <c r="HK45" i="1"/>
  <c r="HA45" i="1"/>
  <c r="UQ34" i="1" a="1"/>
  <c r="UQ34" i="1" s="1"/>
  <c r="VD34" i="1" s="1"/>
  <c r="VG34" i="1" s="1"/>
  <c r="HI36" i="1"/>
  <c r="HJ36" i="1" s="1"/>
  <c r="HN36" i="1"/>
  <c r="XY36" i="1" s="1"/>
  <c r="HK57" i="1"/>
  <c r="HG57" i="1"/>
  <c r="HL57" i="1" s="1"/>
  <c r="HA57" i="1"/>
  <c r="HA34" i="1"/>
  <c r="HK34" i="1"/>
  <c r="HG34" i="1"/>
  <c r="HL34" i="1" s="1"/>
  <c r="HI31" i="1"/>
  <c r="HJ31" i="1" s="1"/>
  <c r="HN31" i="1"/>
  <c r="XY31" i="1" s="1"/>
  <c r="HA29" i="1"/>
  <c r="HK29" i="1"/>
  <c r="HG29" i="1"/>
  <c r="HL29" i="1" s="1"/>
  <c r="HG54" i="1"/>
  <c r="HL54" i="1" s="1"/>
  <c r="HK54" i="1"/>
  <c r="HA54" i="1"/>
  <c r="UR40" i="1" a="1"/>
  <c r="UR40" i="1" s="1"/>
  <c r="MP45" i="1"/>
  <c r="MO45" i="1"/>
  <c r="Q24" i="21" a="1"/>
  <c r="Q24" i="21" s="1"/>
  <c r="MD37" i="1"/>
  <c r="MC37" i="1"/>
  <c r="UN44" i="1"/>
  <c r="UQ44" i="1" s="1" a="1"/>
  <c r="UQ44" i="1" s="1"/>
  <c r="VD44" i="1" s="1"/>
  <c r="VG44" i="1" s="1"/>
  <c r="UO44" i="1" a="1"/>
  <c r="UO44" i="1" s="1"/>
  <c r="UP44" i="1" s="1" a="1"/>
  <c r="UP44" i="1" s="1"/>
  <c r="UO45" i="1" a="1"/>
  <c r="UO45" i="1" s="1"/>
  <c r="UN45" i="1"/>
  <c r="UQ45" i="1" s="1" a="1"/>
  <c r="UQ45" i="1" s="1"/>
  <c r="VD45" i="1" s="1"/>
  <c r="VG45" i="1" s="1"/>
  <c r="HG35" i="1"/>
  <c r="HL35" i="1" s="1"/>
  <c r="HA35" i="1"/>
  <c r="HK35" i="1"/>
  <c r="HK37" i="1"/>
  <c r="HA37" i="1"/>
  <c r="HG37" i="1"/>
  <c r="HL37" i="1" s="1"/>
  <c r="UN52" i="1"/>
  <c r="UQ52" i="1" s="1" a="1"/>
  <c r="UQ52" i="1" s="1"/>
  <c r="VD52" i="1" s="1"/>
  <c r="VG52" i="1" s="1"/>
  <c r="UO52" i="1" a="1"/>
  <c r="UO52" i="1" s="1"/>
  <c r="UN31" i="1"/>
  <c r="UQ31" i="1" s="1" a="1"/>
  <c r="UQ31" i="1" s="1"/>
  <c r="VD31" i="1" s="1"/>
  <c r="VG31" i="1" s="1"/>
  <c r="UO31" i="1" a="1"/>
  <c r="UO31" i="1" s="1"/>
  <c r="VD50" i="1"/>
  <c r="VG50" i="1" s="1"/>
  <c r="UR50" i="1" a="1"/>
  <c r="UR50" i="1" s="1"/>
  <c r="HG43" i="1"/>
  <c r="HL43" i="1" s="1"/>
  <c r="HA43" i="1"/>
  <c r="HK43" i="1"/>
  <c r="UQ51" i="1" a="1"/>
  <c r="UQ51" i="1" s="1"/>
  <c r="VD51" i="1" s="1"/>
  <c r="VG51" i="1" s="1"/>
  <c r="HA32" i="1"/>
  <c r="HG32" i="1"/>
  <c r="HL32" i="1" s="1"/>
  <c r="HK32" i="1"/>
  <c r="HA30" i="1"/>
  <c r="HG30" i="1"/>
  <c r="HL30" i="1" s="1"/>
  <c r="HK30" i="1"/>
  <c r="HK56" i="1"/>
  <c r="HG56" i="1"/>
  <c r="HL56" i="1" s="1"/>
  <c r="HA56" i="1"/>
  <c r="UQ56" i="1" a="1"/>
  <c r="UQ56" i="1" s="1"/>
  <c r="VD56" i="1" s="1"/>
  <c r="VG56" i="1" s="1"/>
  <c r="UP38" i="1" a="1"/>
  <c r="UP38" i="1" s="1"/>
  <c r="UR38" i="1" a="1"/>
  <c r="UR38" i="1" s="1"/>
  <c r="VE38" i="1" s="1"/>
  <c r="VH38" i="1" s="1"/>
  <c r="HN55" i="1"/>
  <c r="XY55" i="1" s="1"/>
  <c r="HI55" i="1"/>
  <c r="HJ55" i="1" s="1"/>
  <c r="HK51" i="1"/>
  <c r="HG51" i="1"/>
  <c r="HL51" i="1" s="1"/>
  <c r="HA51" i="1"/>
  <c r="UQ47" i="1" a="1"/>
  <c r="UQ47" i="1" s="1"/>
  <c r="UQ35" i="1" a="1"/>
  <c r="UQ35" i="1" s="1"/>
  <c r="VD35" i="1" s="1"/>
  <c r="VG35" i="1" s="1"/>
  <c r="MO53" i="1"/>
  <c r="HG39" i="1"/>
  <c r="HL39" i="1" s="1"/>
  <c r="HK39" i="1"/>
  <c r="HA39" i="1"/>
  <c r="HA50" i="1"/>
  <c r="HK50" i="1"/>
  <c r="HG50" i="1"/>
  <c r="HL50" i="1" s="1"/>
  <c r="HA38" i="1"/>
  <c r="HG38" i="1"/>
  <c r="HL38" i="1" s="1"/>
  <c r="HK38" i="1"/>
  <c r="HG52" i="1"/>
  <c r="HL52" i="1" s="1"/>
  <c r="HA52" i="1"/>
  <c r="HK52" i="1"/>
  <c r="UO48" i="1" a="1"/>
  <c r="UO48" i="1" s="1"/>
  <c r="UN48" i="1"/>
  <c r="UQ48" i="1" s="1" a="1"/>
  <c r="UQ48" i="1" s="1"/>
  <c r="VD48" i="1" s="1"/>
  <c r="VG48" i="1" s="1"/>
  <c r="HI41" i="1"/>
  <c r="HJ41" i="1" s="1"/>
  <c r="HN41" i="1"/>
  <c r="XY41" i="1" s="1"/>
  <c r="HA33" i="1"/>
  <c r="HK33" i="1"/>
  <c r="HG33" i="1"/>
  <c r="HL33" i="1" s="1"/>
  <c r="HK40" i="1"/>
  <c r="HG40" i="1"/>
  <c r="HL40" i="1" s="1"/>
  <c r="HA40" i="1"/>
  <c r="UQ36" i="1" a="1"/>
  <c r="UQ36" i="1" s="1"/>
  <c r="VD36" i="1" s="1"/>
  <c r="VG36" i="1" s="1"/>
  <c r="UH33" i="1" a="1"/>
  <c r="UH33" i="1" s="1"/>
  <c r="UP49" i="1" a="1"/>
  <c r="UP49" i="1" s="1"/>
  <c r="UR49" i="1" a="1"/>
  <c r="UR49" i="1" s="1"/>
  <c r="VE49" i="1" s="1"/>
  <c r="VH49" i="1" s="1"/>
  <c r="UQ32" i="1" a="1"/>
  <c r="UQ32" i="1" s="1"/>
  <c r="VD32" i="1" s="1"/>
  <c r="VG32" i="1" s="1"/>
  <c r="UQ39" i="1" a="1"/>
  <c r="UQ39" i="1" s="1"/>
  <c r="MC28" i="1"/>
  <c r="N33" i="21" s="1" a="1"/>
  <c r="N33" i="21" s="1"/>
  <c r="MD28" i="1"/>
  <c r="O33" i="21" s="1" a="1"/>
  <c r="O33" i="21" s="1"/>
  <c r="MC53" i="1"/>
  <c r="MD53" i="1"/>
  <c r="MD48" i="1"/>
  <c r="MC48" i="1"/>
  <c r="MO48" i="1"/>
  <c r="HA44" i="1"/>
  <c r="HK44" i="1"/>
  <c r="HG44" i="1"/>
  <c r="HL44" i="1" s="1"/>
  <c r="UO57" i="1" a="1"/>
  <c r="UO57" i="1" s="1"/>
  <c r="UP57" i="1" s="1" a="1"/>
  <c r="UP57" i="1" s="1"/>
  <c r="UN57" i="1"/>
  <c r="UQ57" i="1" s="1" a="1"/>
  <c r="UQ57" i="1" s="1"/>
  <c r="VD57" i="1" s="1"/>
  <c r="VG57" i="1" s="1"/>
  <c r="UO30" i="1" a="1"/>
  <c r="UO30" i="1" s="1"/>
  <c r="UN30" i="1"/>
  <c r="UQ30" i="1" s="1" a="1"/>
  <c r="UQ30" i="1" s="1"/>
  <c r="VD30" i="1" s="1"/>
  <c r="VG30" i="1" s="1"/>
  <c r="HK46" i="1"/>
  <c r="HG46" i="1"/>
  <c r="HL46" i="1" s="1"/>
  <c r="HA46" i="1"/>
  <c r="HA47" i="1"/>
  <c r="HK47" i="1"/>
  <c r="HG47" i="1"/>
  <c r="HL47" i="1" s="1"/>
  <c r="HK42" i="1"/>
  <c r="HA42" i="1"/>
  <c r="HG42" i="1"/>
  <c r="HL42" i="1" s="1"/>
  <c r="UQ28" i="1" a="1"/>
  <c r="UQ28" i="1" s="1"/>
  <c r="VD28" i="1" s="1"/>
  <c r="VG28" i="1" s="1"/>
  <c r="UP41" i="1" a="1"/>
  <c r="UP41" i="1" s="1"/>
  <c r="UR41" i="1" a="1"/>
  <c r="UR41" i="1" s="1"/>
  <c r="VE41" i="1" s="1"/>
  <c r="VH41" i="1" s="1"/>
  <c r="UN54" i="1"/>
  <c r="UQ54" i="1" s="1" a="1"/>
  <c r="UQ54" i="1" s="1"/>
  <c r="VD54" i="1" s="1"/>
  <c r="VG54" i="1" s="1"/>
  <c r="UO54" i="1" a="1"/>
  <c r="UO54" i="1" s="1"/>
  <c r="VD53" i="1"/>
  <c r="VG53" i="1" s="1"/>
  <c r="UR53" i="1" a="1"/>
  <c r="UR53" i="1" s="1"/>
  <c r="UP37" i="1" a="1"/>
  <c r="UP37" i="1" s="1"/>
  <c r="UR37" i="1" a="1"/>
  <c r="UR37" i="1" s="1"/>
  <c r="VE37" i="1" s="1"/>
  <c r="VH37" i="1" s="1"/>
  <c r="UQ43" i="1" a="1"/>
  <c r="UQ43" i="1" s="1"/>
  <c r="HK48" i="1"/>
  <c r="HA48" i="1"/>
  <c r="HG48" i="1"/>
  <c r="HL48" i="1" s="1"/>
  <c r="HN28" i="1"/>
  <c r="XY28" i="1" s="1"/>
  <c r="HI28" i="1"/>
  <c r="HJ28" i="1" s="1"/>
  <c r="UP29" i="1" a="1"/>
  <c r="UP29" i="1" s="1"/>
  <c r="UR29" i="1" a="1"/>
  <c r="UR29" i="1" s="1"/>
  <c r="VE29" i="1" s="1"/>
  <c r="VH29" i="1" s="1"/>
  <c r="MD49" i="1"/>
  <c r="MC49" i="1"/>
  <c r="MO28" i="1"/>
  <c r="N34" i="21" s="1" a="1"/>
  <c r="N34" i="21" s="1"/>
  <c r="MP28" i="1"/>
  <c r="O34" i="21" s="1" a="1"/>
  <c r="O34" i="21" s="1"/>
  <c r="MP36" i="1"/>
  <c r="MO36" i="1"/>
  <c r="MP44" i="1"/>
  <c r="MO44" i="1"/>
  <c r="MC54" i="1"/>
  <c r="MD54" i="1"/>
  <c r="MP42" i="1"/>
  <c r="MO42" i="1"/>
  <c r="OB32" i="1" a="1"/>
  <c r="LV31" i="1" a="1"/>
  <c r="OB42" i="1" a="1"/>
  <c r="LL49" i="1" a="1"/>
  <c r="EW29" i="1"/>
  <c r="LL33" i="1" a="1"/>
  <c r="LV57" i="1" a="1"/>
  <c r="OB51" i="1" a="1"/>
  <c r="EW37" i="1"/>
  <c r="LL47" i="1" a="1"/>
  <c r="EW52" i="1"/>
  <c r="OB54" i="1" a="1"/>
  <c r="OB50" i="1" a="1"/>
  <c r="RB43" i="1" a="1"/>
  <c r="LL50" i="1" a="1"/>
  <c r="LL52" i="1" a="1"/>
  <c r="LL43" i="1" a="1"/>
  <c r="OB53" i="1" a="1"/>
  <c r="LV34" i="1" a="1"/>
  <c r="LL57" i="1" a="1"/>
  <c r="EW40" i="1"/>
  <c r="LL39" i="1" a="1"/>
  <c r="OD32" i="1"/>
  <c r="RA42" i="1"/>
  <c r="OD56" i="1"/>
  <c r="OD45" i="1"/>
  <c r="MF33" i="1" a="1"/>
  <c r="OA37" i="1"/>
  <c r="OD37" i="1"/>
  <c r="NY42" i="1"/>
  <c r="OD43" i="1"/>
  <c r="NY43" i="1"/>
  <c r="QZ31" i="1" a="1"/>
  <c r="OD28" i="1"/>
  <c r="OA28" i="1"/>
  <c r="NY36" i="1"/>
  <c r="LI49" i="1"/>
  <c r="LW30" i="1"/>
  <c r="LN46" i="1"/>
  <c r="LN31" i="1"/>
  <c r="OD34" i="1"/>
  <c r="FK31" i="1"/>
  <c r="QZ54" i="1" a="1"/>
  <c r="RD35" i="1"/>
  <c r="OA33" i="1"/>
  <c r="NY51" i="1"/>
  <c r="NY31" i="1"/>
  <c r="LT50" i="1" a="1"/>
  <c r="LK47" i="1"/>
  <c r="LK34" i="1"/>
  <c r="LI38" i="1"/>
  <c r="OA54" i="1"/>
  <c r="QZ38" i="1" a="1"/>
  <c r="NY50" i="1"/>
  <c r="OA40" i="1"/>
  <c r="NY46" i="1"/>
  <c r="OD30" i="1"/>
  <c r="QY43" i="1"/>
  <c r="LT29" i="1" a="1"/>
  <c r="OD55" i="1"/>
  <c r="OA39" i="1"/>
  <c r="LI30" i="1"/>
  <c r="LI50" i="1"/>
  <c r="LK56" i="1"/>
  <c r="LI55" i="1"/>
  <c r="LK51" i="1"/>
  <c r="MF40" i="1" a="1"/>
  <c r="OA53" i="1"/>
  <c r="MF46" i="1" a="1"/>
  <c r="OA48" i="1"/>
  <c r="NY35" i="1"/>
  <c r="OD57" i="1"/>
  <c r="LT39" i="1" a="1"/>
  <c r="LI57" i="1"/>
  <c r="LN40" i="1"/>
  <c r="MI30" i="1"/>
  <c r="RJ46" i="1"/>
  <c r="MH28" i="1" a="1"/>
  <c r="FR49" i="1"/>
  <c r="VJ54" i="1" a="1"/>
  <c r="FR43" i="1"/>
  <c r="FR51" i="1"/>
  <c r="VJ53" i="1" a="1"/>
  <c r="VL37" i="1" a="1"/>
  <c r="HB41" i="1"/>
  <c r="LZ48" i="1"/>
  <c r="LW48" i="1"/>
  <c r="RB42" i="1" a="1"/>
  <c r="OB56" i="1" a="1"/>
  <c r="OB43" i="1" a="1"/>
  <c r="EW36" i="1"/>
  <c r="LL46" i="1" a="1"/>
  <c r="OB34" i="1" a="1"/>
  <c r="RB35" i="1" a="1"/>
  <c r="OB31" i="1" a="1"/>
  <c r="EW56" i="1"/>
  <c r="EW51" i="1"/>
  <c r="LL34" i="1" a="1"/>
  <c r="OB29" i="1" a="1"/>
  <c r="OB40" i="1" a="1"/>
  <c r="OB55" i="1" a="1"/>
  <c r="EW34" i="1"/>
  <c r="LL56" i="1" a="1"/>
  <c r="LL55" i="1" a="1"/>
  <c r="OB47" i="1" a="1"/>
  <c r="OB35" i="1" a="1"/>
  <c r="EW42" i="1"/>
  <c r="EW43" i="1"/>
  <c r="MJ30" i="1" a="1"/>
  <c r="RD42" i="1"/>
  <c r="NY44" i="1"/>
  <c r="RD56" i="1"/>
  <c r="NY56" i="1"/>
  <c r="QZ48" i="1" a="1"/>
  <c r="OA45" i="1"/>
  <c r="LT41" i="1" a="1"/>
  <c r="NY37" i="1"/>
  <c r="OA43" i="1"/>
  <c r="LT38" i="1" a="1"/>
  <c r="LN49" i="1"/>
  <c r="LZ30" i="1"/>
  <c r="LU30" i="1"/>
  <c r="LI31" i="1"/>
  <c r="LT51" i="1" a="1"/>
  <c r="QY35" i="1"/>
  <c r="OD52" i="1"/>
  <c r="LT43" i="1" a="1"/>
  <c r="QZ45" i="1" a="1"/>
  <c r="LI47" i="1"/>
  <c r="LN34" i="1"/>
  <c r="OD54" i="1"/>
  <c r="OA29" i="1"/>
  <c r="QZ50" i="1" a="1"/>
  <c r="OD50" i="1"/>
  <c r="NY40" i="1"/>
  <c r="OA46" i="1"/>
  <c r="LT52" i="1" a="1"/>
  <c r="QZ37" i="1" a="1"/>
  <c r="QZ39" i="1" a="1"/>
  <c r="LK30" i="1"/>
  <c r="LN50" i="1"/>
  <c r="LI52" i="1"/>
  <c r="LK43" i="1"/>
  <c r="QZ44" i="1" a="1"/>
  <c r="OD38" i="1"/>
  <c r="LT40" i="1" a="1"/>
  <c r="NY47" i="1"/>
  <c r="QZ30" i="1" a="1"/>
  <c r="OD48" i="1"/>
  <c r="OA35" i="1"/>
  <c r="OD35" i="1"/>
  <c r="OA41" i="1"/>
  <c r="LN57" i="1"/>
  <c r="LK37" i="1"/>
  <c r="LI39" i="1"/>
  <c r="ML30" i="1"/>
  <c r="MH53" i="1" a="1"/>
  <c r="ML35" i="1"/>
  <c r="FQ30" i="1" a="1"/>
  <c r="GN30" i="1" a="1"/>
  <c r="FR46" i="1"/>
  <c r="GN56" i="1" a="1"/>
  <c r="MH37" i="1" a="1"/>
  <c r="HB40" i="1"/>
  <c r="FR41" i="1"/>
  <c r="FQ50" i="1" a="1"/>
  <c r="VL49" i="1" a="1"/>
  <c r="HB28" i="1"/>
  <c r="VJ32" i="1" a="1"/>
  <c r="VV29" i="1" a="1"/>
  <c r="LW28" i="1"/>
  <c r="LZ54" i="1"/>
  <c r="VL38" i="1" a="1"/>
  <c r="HB38" i="1"/>
  <c r="GN31" i="1" a="1"/>
  <c r="HB43" i="1"/>
  <c r="GN44" i="1" a="1"/>
  <c r="LX53" i="1" a="1"/>
  <c r="LX48" i="1" a="1"/>
  <c r="GN42" i="1" a="1"/>
  <c r="MJ44" i="1" a="1"/>
  <c r="VJ46" i="1" a="1"/>
  <c r="LW49" i="1"/>
  <c r="LO53" i="1" a="1"/>
  <c r="FQ57" i="1" a="1"/>
  <c r="FQ32" i="1" a="1"/>
  <c r="GO38" i="1"/>
  <c r="GN48" i="1" a="1"/>
  <c r="LO54" i="1" a="1"/>
  <c r="FR55" i="1"/>
  <c r="FQ42" i="1" a="1"/>
  <c r="RJ36" i="1"/>
  <c r="FQ37" i="1" a="1"/>
  <c r="GN33" i="1" a="1"/>
  <c r="GN51" i="1" a="1"/>
  <c r="FQ38" i="1" a="1"/>
  <c r="RJ47" i="1"/>
  <c r="ML45" i="1"/>
  <c r="MI53" i="1"/>
  <c r="LU28" i="1"/>
  <c r="MG36" i="1"/>
  <c r="ML36" i="1"/>
  <c r="MI48" i="1"/>
  <c r="VV37" i="1" a="1"/>
  <c r="FQ33" i="1" a="1"/>
  <c r="LP45" i="1"/>
  <c r="ML48" i="1"/>
  <c r="HB45" i="1"/>
  <c r="MG42" i="1"/>
  <c r="LO29" i="1" a="1"/>
  <c r="HB51" i="1"/>
  <c r="MI36" i="1"/>
  <c r="ML28" i="1"/>
  <c r="OB44" i="1" a="1"/>
  <c r="OB45" i="1" a="1"/>
  <c r="OB28" i="1" a="1"/>
  <c r="LX30" i="1" a="1"/>
  <c r="LL31" i="1" a="1"/>
  <c r="FN31" i="1" a="1"/>
  <c r="OB52" i="1" a="1"/>
  <c r="LV47" i="1" a="1"/>
  <c r="EW33" i="1"/>
  <c r="LL41" i="1" a="1"/>
  <c r="LL38" i="1" a="1"/>
  <c r="OB49" i="1" a="1"/>
  <c r="OB46" i="1" a="1"/>
  <c r="OB39" i="1" a="1"/>
  <c r="EW55" i="1"/>
  <c r="LP35" i="1"/>
  <c r="LL51" i="1" a="1"/>
  <c r="LV49" i="1" a="1"/>
  <c r="OB57" i="1" a="1"/>
  <c r="LL37" i="1" a="1"/>
  <c r="EW45" i="1"/>
  <c r="OA32" i="1"/>
  <c r="OA44" i="1"/>
  <c r="RA56" i="1"/>
  <c r="OA56" i="1"/>
  <c r="MF41" i="1" a="1"/>
  <c r="QZ33" i="1" a="1"/>
  <c r="NY28" i="1"/>
  <c r="OD36" i="1"/>
  <c r="MF38" i="1" a="1"/>
  <c r="LK46" i="1"/>
  <c r="LI46" i="1"/>
  <c r="NY34" i="1"/>
  <c r="FM31" i="1"/>
  <c r="QZ32" i="1" a="1"/>
  <c r="QZ40" i="1" a="1"/>
  <c r="MF51" i="1" a="1"/>
  <c r="RA35" i="1"/>
  <c r="OA52" i="1"/>
  <c r="OD33" i="1"/>
  <c r="MF43" i="1" a="1"/>
  <c r="OD51" i="1"/>
  <c r="OA31" i="1"/>
  <c r="LN38" i="1"/>
  <c r="NY49" i="1"/>
  <c r="OD49" i="1"/>
  <c r="OA50" i="1"/>
  <c r="MF52" i="1" a="1"/>
  <c r="NY30" i="1"/>
  <c r="RD43" i="1"/>
  <c r="NY55" i="1"/>
  <c r="OD39" i="1"/>
  <c r="MF47" i="1" a="1"/>
  <c r="LN30" i="1"/>
  <c r="LK50" i="1"/>
  <c r="LN52" i="1"/>
  <c r="LK52" i="1"/>
  <c r="LI56" i="1"/>
  <c r="LN43" i="1"/>
  <c r="LN55" i="1"/>
  <c r="LI51" i="1"/>
  <c r="NY38" i="1"/>
  <c r="OD53" i="1"/>
  <c r="OD47" i="1"/>
  <c r="NY48" i="1"/>
  <c r="OA57" i="1"/>
  <c r="OD41" i="1"/>
  <c r="MF55" i="1" a="1"/>
  <c r="LK57" i="1"/>
  <c r="LI37" i="1"/>
  <c r="LK40" i="1"/>
  <c r="LN39" i="1"/>
  <c r="MG30" i="1"/>
  <c r="LX35" i="1" a="1"/>
  <c r="MG35" i="1"/>
  <c r="MH48" i="1" a="1"/>
  <c r="LO33" i="1" a="1"/>
  <c r="VL29" i="1" a="1"/>
  <c r="GO47" i="1"/>
  <c r="GN35" i="1" a="1"/>
  <c r="HB54" i="1"/>
  <c r="GN53" i="1" a="1"/>
  <c r="MA42" i="1" a="1"/>
  <c r="LP44" i="1"/>
  <c r="MJ36" i="1" a="1"/>
  <c r="LU37" i="1"/>
  <c r="VJ31" i="1" a="1"/>
  <c r="LU53" i="1"/>
  <c r="MG48" i="1"/>
  <c r="MI44" i="1"/>
  <c r="LZ53" i="1"/>
  <c r="LO41" i="1" a="1"/>
  <c r="RE36" i="1" a="1"/>
  <c r="GN41" i="1" a="1"/>
  <c r="HB48" i="1"/>
  <c r="LO28" i="1" a="1"/>
  <c r="HB47" i="1"/>
  <c r="MI45" i="1"/>
  <c r="MG53" i="1"/>
  <c r="LW53" i="1"/>
  <c r="LU48" i="1"/>
  <c r="LW54" i="1"/>
  <c r="MI28" i="1"/>
  <c r="FQ34" i="1" a="1"/>
  <c r="FQ39" i="1" a="1"/>
  <c r="LP42" i="1"/>
  <c r="GN34" i="1" a="1"/>
  <c r="RE47" i="1" a="1"/>
  <c r="RF46" i="1"/>
  <c r="RE53" i="1" a="1"/>
  <c r="RE28" i="1" a="1"/>
  <c r="LZ49" i="1"/>
  <c r="MN32" i="1"/>
  <c r="GN46" i="1" a="1"/>
  <c r="GN40" i="1" a="1"/>
  <c r="HB32" i="1"/>
  <c r="LZ37" i="1"/>
  <c r="VJ51" i="1" a="1"/>
  <c r="VV41" i="1" a="1"/>
  <c r="ML42" i="1"/>
  <c r="MI42" i="1"/>
  <c r="MG44" i="1"/>
  <c r="MH35" i="1" a="1"/>
  <c r="GN55" i="1" a="1"/>
  <c r="VL40" i="1" a="1"/>
  <c r="FR54" i="1"/>
  <c r="VJ30" i="1" a="1"/>
  <c r="FQ48" i="1" a="1"/>
  <c r="MA44" i="1" a="1"/>
  <c r="LP36" i="1"/>
  <c r="VJ55" i="1" a="1"/>
  <c r="GN52" i="1" a="1"/>
  <c r="GN37" i="1" a="1"/>
  <c r="LX54" i="1" a="1"/>
  <c r="VJ45" i="1" a="1"/>
  <c r="HB49" i="1"/>
  <c r="VV49" i="1" a="1"/>
  <c r="RB56" i="1" a="1"/>
  <c r="OB37" i="1" a="1"/>
  <c r="OB36" i="1" a="1"/>
  <c r="EW49" i="1"/>
  <c r="LL29" i="1" a="1"/>
  <c r="MH31" i="1" a="1"/>
  <c r="OB33" i="1" a="1"/>
  <c r="EW30" i="1"/>
  <c r="LL54" i="1" a="1"/>
  <c r="EW28" i="1"/>
  <c r="MA35" i="1" a="1"/>
  <c r="LV56" i="1" a="1"/>
  <c r="OB30" i="1" a="1"/>
  <c r="LL30" i="1" a="1"/>
  <c r="EW50" i="1"/>
  <c r="EW44" i="1"/>
  <c r="OB38" i="1" a="1"/>
  <c r="OB48" i="1" a="1"/>
  <c r="OB41" i="1" a="1"/>
  <c r="EW38" i="1"/>
  <c r="LL40" i="1" a="1"/>
  <c r="NY32" i="1"/>
  <c r="QZ34" i="1" a="1"/>
  <c r="QY42" i="1"/>
  <c r="OD44" i="1"/>
  <c r="QY56" i="1"/>
  <c r="QZ52" i="1" a="1"/>
  <c r="NY45" i="1"/>
  <c r="LT33" i="1" a="1"/>
  <c r="MF49" i="1" a="1"/>
  <c r="OA42" i="1"/>
  <c r="OD42" i="1"/>
  <c r="OA36" i="1"/>
  <c r="MF56" i="1" a="1"/>
  <c r="LK49" i="1"/>
  <c r="LK31" i="1"/>
  <c r="OA34" i="1"/>
  <c r="QZ57" i="1" a="1"/>
  <c r="FP31" i="1"/>
  <c r="NY52" i="1"/>
  <c r="NY33" i="1"/>
  <c r="OA51" i="1"/>
  <c r="OD31" i="1"/>
  <c r="QZ41" i="1" a="1"/>
  <c r="LN47" i="1"/>
  <c r="LI34" i="1"/>
  <c r="LK38" i="1"/>
  <c r="NY54" i="1"/>
  <c r="OD29" i="1"/>
  <c r="NY29" i="1"/>
  <c r="OA49" i="1"/>
  <c r="OD40" i="1"/>
  <c r="QZ49" i="1" a="1"/>
  <c r="OD46" i="1"/>
  <c r="MF57" i="1" a="1"/>
  <c r="OA30" i="1"/>
  <c r="RA43" i="1"/>
  <c r="OA55" i="1"/>
  <c r="NY39" i="1"/>
  <c r="MF34" i="1" a="1"/>
  <c r="LN56" i="1"/>
  <c r="LI43" i="1"/>
  <c r="LK55" i="1"/>
  <c r="LN51" i="1"/>
  <c r="OA38" i="1"/>
  <c r="QZ29" i="1" a="1"/>
  <c r="QZ55" i="1" a="1"/>
  <c r="NY53" i="1"/>
  <c r="OA47" i="1"/>
  <c r="LT46" i="1" a="1"/>
  <c r="NY57" i="1"/>
  <c r="NY41" i="1"/>
  <c r="LT55" i="1" a="1"/>
  <c r="LN37" i="1"/>
  <c r="LI40" i="1"/>
  <c r="LK39" i="1"/>
  <c r="MI35" i="1"/>
  <c r="MA36" i="1" a="1"/>
  <c r="LX37" i="1" a="1"/>
  <c r="FQ56" i="1" a="1"/>
  <c r="FQ47" i="1" a="1"/>
  <c r="GO32" i="1"/>
  <c r="VL41" i="1" a="1"/>
  <c r="LX28" i="1" a="1"/>
  <c r="GN49" i="1" a="1"/>
  <c r="VJ34" i="1" a="1"/>
  <c r="VJ56" i="1" a="1"/>
  <c r="ML53" i="1"/>
  <c r="GN54" i="1" a="1"/>
  <c r="MJ45" i="1" a="1"/>
  <c r="RJ51" i="1"/>
  <c r="GN36" i="1" a="1"/>
  <c r="GO45" i="1"/>
  <c r="GN43" i="1" a="1"/>
  <c r="RJ53" i="1"/>
  <c r="GO28" i="1"/>
  <c r="HB33" i="1"/>
  <c r="FQ29" i="1" a="1"/>
  <c r="FR40" i="1"/>
  <c r="MJ42" i="1" a="1"/>
  <c r="ML44" i="1"/>
  <c r="LO48" i="1" a="1"/>
  <c r="GN57" i="1" a="1"/>
  <c r="FQ52" i="1" a="1"/>
  <c r="HB46" i="1"/>
  <c r="HB44" i="1"/>
  <c r="VJ44" i="1" a="1"/>
  <c r="VV38" i="1" a="1"/>
  <c r="GN29" i="1" a="1"/>
  <c r="FR44" i="1"/>
  <c r="MB32" i="1"/>
  <c r="HB52" i="1"/>
  <c r="RE51" i="1" a="1"/>
  <c r="FR28" i="1"/>
  <c r="HB36" i="1"/>
  <c r="VJ36" i="1" a="1"/>
  <c r="LU54" i="1"/>
  <c r="MG28" i="1"/>
  <c r="LU49" i="1"/>
  <c r="FQ45" i="1" a="1"/>
  <c r="MG45" i="1"/>
  <c r="VJ33" i="1" a="1"/>
  <c r="FQ35" i="1" a="1"/>
  <c r="FQ53" i="1" a="1"/>
  <c r="HB39" i="1"/>
  <c r="MH54" i="1" a="1"/>
  <c r="LW37" i="1"/>
  <c r="LZ28" i="1"/>
  <c r="HB55" i="1"/>
  <c r="HB35" i="1"/>
  <c r="GN50" i="1" a="1"/>
  <c r="MA45" i="1" a="1"/>
  <c r="VJ42" i="1" a="1"/>
  <c r="FR36" i="1"/>
  <c r="VJ57" i="1" a="1"/>
  <c r="VJ48" i="1" a="1"/>
  <c r="VJ52" i="1" a="1"/>
  <c r="VJ50" i="1" a="1"/>
  <c r="VJ35" i="1" a="1"/>
  <c r="GO39" i="1"/>
  <c r="VJ28" i="1" a="1"/>
  <c r="LT55" i="1" l="1"/>
  <c r="LT46" i="1"/>
  <c r="QZ55" i="1"/>
  <c r="QZ29" i="1"/>
  <c r="MF34" i="1"/>
  <c r="MF57" i="1"/>
  <c r="QZ49" i="1"/>
  <c r="QZ41" i="1"/>
  <c r="QZ57" i="1"/>
  <c r="MF56" i="1"/>
  <c r="MF49" i="1"/>
  <c r="LT33" i="1"/>
  <c r="QZ52" i="1"/>
  <c r="QZ34" i="1"/>
  <c r="LL40" i="1"/>
  <c r="LM40" i="1" s="1"/>
  <c r="LS40" i="1" s="1"/>
  <c r="OB41" i="1"/>
  <c r="OC41" i="1" s="1"/>
  <c r="OI41" i="1" s="1"/>
  <c r="OB48" i="1"/>
  <c r="OC48" i="1" s="1"/>
  <c r="OI48" i="1" s="1"/>
  <c r="OB38" i="1"/>
  <c r="OC38" i="1" s="1"/>
  <c r="OI38" i="1" s="1"/>
  <c r="LL30" i="1"/>
  <c r="LM30" i="1" s="1"/>
  <c r="LS30" i="1" s="1"/>
  <c r="OB30" i="1"/>
  <c r="OC30" i="1" s="1"/>
  <c r="OI30" i="1" s="1"/>
  <c r="LV56" i="1"/>
  <c r="MA35" i="1"/>
  <c r="LL54" i="1"/>
  <c r="LM54" i="1" s="1"/>
  <c r="LS54" i="1" s="1"/>
  <c r="OB33" i="1"/>
  <c r="OC33" i="1" s="1"/>
  <c r="OI33" i="1" s="1"/>
  <c r="MH31" i="1"/>
  <c r="LL29" i="1"/>
  <c r="LM29" i="1" s="1"/>
  <c r="LS29" i="1" s="1"/>
  <c r="OB36" i="1"/>
  <c r="OC36" i="1" s="1"/>
  <c r="OI36" i="1" s="1"/>
  <c r="OB37" i="1"/>
  <c r="OC37" i="1" s="1"/>
  <c r="OI37" i="1" s="1"/>
  <c r="RB56" i="1"/>
  <c r="RC56" i="1" s="1"/>
  <c r="RI56" i="1" s="1"/>
  <c r="MF55" i="1"/>
  <c r="MF47" i="1"/>
  <c r="MF52" i="1"/>
  <c r="MF43" i="1"/>
  <c r="MF51" i="1"/>
  <c r="QZ40" i="1"/>
  <c r="QZ32" i="1"/>
  <c r="MF38" i="1"/>
  <c r="QZ33" i="1"/>
  <c r="MF41" i="1"/>
  <c r="LL37" i="1"/>
  <c r="LM37" i="1" s="1"/>
  <c r="LS37" i="1" s="1"/>
  <c r="OB57" i="1"/>
  <c r="OC57" i="1" s="1"/>
  <c r="OI57" i="1" s="1"/>
  <c r="LV49" i="1"/>
  <c r="LL51" i="1"/>
  <c r="LM51" i="1" s="1"/>
  <c r="LS51" i="1" s="1"/>
  <c r="OB39" i="1"/>
  <c r="OC39" i="1" s="1"/>
  <c r="OI39" i="1" s="1"/>
  <c r="OB46" i="1"/>
  <c r="OC46" i="1" s="1"/>
  <c r="OI46" i="1" s="1"/>
  <c r="OB49" i="1"/>
  <c r="OC49" i="1" s="1"/>
  <c r="OI49" i="1" s="1"/>
  <c r="LL38" i="1"/>
  <c r="LM38" i="1" s="1"/>
  <c r="LS38" i="1" s="1"/>
  <c r="LL41" i="1"/>
  <c r="LM41" i="1" s="1"/>
  <c r="LS41" i="1" s="1"/>
  <c r="LV47" i="1"/>
  <c r="OB52" i="1"/>
  <c r="OC52" i="1" s="1"/>
  <c r="OI52" i="1" s="1"/>
  <c r="FN31" i="1"/>
  <c r="FO31" i="1" s="1"/>
  <c r="FU31" i="1" s="1"/>
  <c r="LL31" i="1"/>
  <c r="LM31" i="1" s="1"/>
  <c r="LS31" i="1" s="1"/>
  <c r="LX30" i="1"/>
  <c r="LY30" i="1" s="1"/>
  <c r="ME30" i="1" s="1"/>
  <c r="OB28" i="1"/>
  <c r="OC28" i="1" s="1"/>
  <c r="OI28" i="1" s="1"/>
  <c r="Q35" i="21" s="1" a="1"/>
  <c r="Q35" i="21" s="1"/>
  <c r="OB45" i="1"/>
  <c r="OC45" i="1" s="1"/>
  <c r="OI45" i="1" s="1"/>
  <c r="OB44" i="1"/>
  <c r="OC44" i="1" s="1"/>
  <c r="OI44" i="1" s="1"/>
  <c r="QZ30" i="1"/>
  <c r="LT40" i="1"/>
  <c r="QZ44" i="1"/>
  <c r="QZ39" i="1"/>
  <c r="QZ37" i="1"/>
  <c r="LT52" i="1"/>
  <c r="QZ50" i="1"/>
  <c r="QZ45" i="1"/>
  <c r="LT43" i="1"/>
  <c r="LT51" i="1"/>
  <c r="LT38" i="1"/>
  <c r="LT41" i="1"/>
  <c r="QZ48" i="1"/>
  <c r="MJ30" i="1"/>
  <c r="MK30" i="1" s="1"/>
  <c r="MQ30" i="1" s="1"/>
  <c r="OB35" i="1"/>
  <c r="OC35" i="1" s="1"/>
  <c r="OI35" i="1" s="1"/>
  <c r="OB47" i="1"/>
  <c r="OC47" i="1" s="1"/>
  <c r="OI47" i="1" s="1"/>
  <c r="LL55" i="1"/>
  <c r="LM55" i="1" s="1"/>
  <c r="LS55" i="1" s="1"/>
  <c r="LL56" i="1"/>
  <c r="LM56" i="1" s="1"/>
  <c r="LS56" i="1" s="1"/>
  <c r="OB55" i="1"/>
  <c r="OC55" i="1" s="1"/>
  <c r="OI55" i="1" s="1"/>
  <c r="OB40" i="1"/>
  <c r="OC40" i="1" s="1"/>
  <c r="OI40" i="1" s="1"/>
  <c r="OB29" i="1"/>
  <c r="OC29" i="1" s="1"/>
  <c r="OI29" i="1" s="1"/>
  <c r="LL34" i="1"/>
  <c r="LM34" i="1" s="1"/>
  <c r="LS34" i="1" s="1"/>
  <c r="OB31" i="1"/>
  <c r="OC31" i="1" s="1"/>
  <c r="OI31" i="1" s="1"/>
  <c r="RB35" i="1"/>
  <c r="RC35" i="1" s="1"/>
  <c r="RI35" i="1" s="1"/>
  <c r="OB34" i="1"/>
  <c r="OC34" i="1" s="1"/>
  <c r="OI34" i="1" s="1"/>
  <c r="LL46" i="1"/>
  <c r="LM46" i="1" s="1"/>
  <c r="LS46" i="1" s="1"/>
  <c r="OB43" i="1"/>
  <c r="OC43" i="1" s="1"/>
  <c r="OI43" i="1" s="1"/>
  <c r="OB56" i="1"/>
  <c r="OC56" i="1" s="1"/>
  <c r="OI56" i="1" s="1"/>
  <c r="RB42" i="1"/>
  <c r="RC42" i="1" s="1"/>
  <c r="RI42" i="1" s="1"/>
  <c r="LT39" i="1"/>
  <c r="MF46" i="1"/>
  <c r="MF40" i="1"/>
  <c r="LT29" i="1"/>
  <c r="QZ38" i="1"/>
  <c r="LT50" i="1"/>
  <c r="QZ54" i="1"/>
  <c r="QZ31" i="1"/>
  <c r="MF33" i="1"/>
  <c r="LL39" i="1"/>
  <c r="LM39" i="1" s="1"/>
  <c r="LS39" i="1" s="1"/>
  <c r="LL57" i="1"/>
  <c r="LM57" i="1" s="1"/>
  <c r="LS57" i="1" s="1"/>
  <c r="LV34" i="1"/>
  <c r="OB53" i="1"/>
  <c r="OC53" i="1" s="1"/>
  <c r="OI53" i="1" s="1"/>
  <c r="LL43" i="1"/>
  <c r="LM43" i="1" s="1"/>
  <c r="LS43" i="1" s="1"/>
  <c r="LL52" i="1"/>
  <c r="LM52" i="1" s="1"/>
  <c r="LS52" i="1" s="1"/>
  <c r="LL50" i="1"/>
  <c r="LM50" i="1" s="1"/>
  <c r="LS50" i="1" s="1"/>
  <c r="RB43" i="1"/>
  <c r="RC43" i="1" s="1"/>
  <c r="RI43" i="1" s="1"/>
  <c r="OB50" i="1"/>
  <c r="OC50" i="1" s="1"/>
  <c r="OI50" i="1" s="1"/>
  <c r="OB54" i="1"/>
  <c r="OC54" i="1" s="1"/>
  <c r="OI54" i="1" s="1"/>
  <c r="LL47" i="1"/>
  <c r="LM47" i="1" s="1"/>
  <c r="LS47" i="1" s="1"/>
  <c r="OB51" i="1"/>
  <c r="OC51" i="1" s="1"/>
  <c r="OI51" i="1" s="1"/>
  <c r="LV57" i="1"/>
  <c r="LL33" i="1"/>
  <c r="LM33" i="1" s="1"/>
  <c r="LS33" i="1" s="1"/>
  <c r="LL49" i="1"/>
  <c r="LM49" i="1" s="1"/>
  <c r="LS49" i="1" s="1"/>
  <c r="OB42" i="1"/>
  <c r="OC42" i="1" s="1"/>
  <c r="OI42" i="1" s="1"/>
  <c r="LV31" i="1"/>
  <c r="OB32" i="1"/>
  <c r="OC32" i="1" s="1"/>
  <c r="OI32" i="1" s="1"/>
  <c r="RG55" i="1"/>
  <c r="RH55" i="1"/>
  <c r="RH29" i="1"/>
  <c r="RG29" i="1"/>
  <c r="OT31" i="1"/>
  <c r="OY31" i="1" s="1"/>
  <c r="OP31" i="1"/>
  <c r="OX31" i="1"/>
  <c r="OP51" i="1"/>
  <c r="OX51" i="1"/>
  <c r="OT51" i="1"/>
  <c r="OY51" i="1" s="1"/>
  <c r="OP33" i="1"/>
  <c r="OX33" i="1"/>
  <c r="OT33" i="1"/>
  <c r="OY33" i="1" s="1"/>
  <c r="OP52" i="1"/>
  <c r="OT52" i="1"/>
  <c r="OY52" i="1" s="1"/>
  <c r="OX52" i="1"/>
  <c r="RH49" i="1"/>
  <c r="RG49" i="1"/>
  <c r="OX53" i="1"/>
  <c r="OT53" i="1"/>
  <c r="OY53" i="1" s="1"/>
  <c r="OP53" i="1"/>
  <c r="LD50" i="1"/>
  <c r="LG50" i="1" s="1"/>
  <c r="RH41" i="1"/>
  <c r="RG41" i="1"/>
  <c r="OT28" i="1"/>
  <c r="OY28" i="1" s="1"/>
  <c r="OP28" i="1"/>
  <c r="OX56" i="1"/>
  <c r="OP56" i="1"/>
  <c r="OT56" i="1"/>
  <c r="OY56" i="1" s="1"/>
  <c r="OP44" i="1"/>
  <c r="OT44" i="1"/>
  <c r="OY44" i="1" s="1"/>
  <c r="OX44" i="1"/>
  <c r="RG57" i="1"/>
  <c r="RH57" i="1"/>
  <c r="OT57" i="1"/>
  <c r="OY57" i="1" s="1"/>
  <c r="OX57" i="1"/>
  <c r="OP57" i="1"/>
  <c r="OP35" i="1"/>
  <c r="OX35" i="1"/>
  <c r="OT35" i="1"/>
  <c r="OY35" i="1" s="1"/>
  <c r="OT48" i="1"/>
  <c r="OY48" i="1" s="1"/>
  <c r="OP48" i="1"/>
  <c r="RH52" i="1"/>
  <c r="RG52" i="1"/>
  <c r="RG34" i="1"/>
  <c r="RH34" i="1"/>
  <c r="MD56" i="1"/>
  <c r="MC56" i="1"/>
  <c r="OT43" i="1"/>
  <c r="OY43" i="1" s="1"/>
  <c r="OX43" i="1"/>
  <c r="OP43" i="1"/>
  <c r="OT46" i="1"/>
  <c r="OY46" i="1" s="1"/>
  <c r="OP46" i="1"/>
  <c r="OX46" i="1"/>
  <c r="OT50" i="1"/>
  <c r="OY50" i="1" s="1"/>
  <c r="OX50" i="1"/>
  <c r="OP50" i="1"/>
  <c r="OX49" i="1"/>
  <c r="OP49" i="1"/>
  <c r="OT49" i="1"/>
  <c r="OY49" i="1" s="1"/>
  <c r="OP34" i="1"/>
  <c r="OX34" i="1"/>
  <c r="OT34" i="1"/>
  <c r="OY34" i="1" s="1"/>
  <c r="OX36" i="1"/>
  <c r="OT36" i="1"/>
  <c r="OY36" i="1" s="1"/>
  <c r="OP36" i="1"/>
  <c r="RH40" i="1"/>
  <c r="RG40" i="1"/>
  <c r="RH32" i="1"/>
  <c r="RG32" i="1"/>
  <c r="OT41" i="1"/>
  <c r="OY41" i="1" s="1"/>
  <c r="OP41" i="1"/>
  <c r="OX41" i="1"/>
  <c r="RH33" i="1"/>
  <c r="RG33" i="1"/>
  <c r="OP47" i="1"/>
  <c r="OT47" i="1"/>
  <c r="OY47" i="1" s="1"/>
  <c r="MD47" i="1"/>
  <c r="MC47" i="1"/>
  <c r="LD39" i="1"/>
  <c r="LG39" i="1" s="1"/>
  <c r="OP39" i="1"/>
  <c r="OX39" i="1"/>
  <c r="OT39" i="1"/>
  <c r="OY39" i="1" s="1"/>
  <c r="OP55" i="1"/>
  <c r="OX55" i="1"/>
  <c r="OT55" i="1"/>
  <c r="OY55" i="1" s="1"/>
  <c r="RG30" i="1"/>
  <c r="RH30" i="1"/>
  <c r="OX40" i="1"/>
  <c r="OT40" i="1"/>
  <c r="OY40" i="1" s="1"/>
  <c r="OP40" i="1"/>
  <c r="OX29" i="1"/>
  <c r="OT29" i="1"/>
  <c r="OY29" i="1" s="1"/>
  <c r="OP29" i="1"/>
  <c r="RG44" i="1"/>
  <c r="RH44" i="1"/>
  <c r="RG39" i="1"/>
  <c r="RH39" i="1"/>
  <c r="RG37" i="1"/>
  <c r="RH37" i="1"/>
  <c r="LD29" i="1"/>
  <c r="LG29" i="1" s="1"/>
  <c r="RH50" i="1"/>
  <c r="RG50" i="1"/>
  <c r="OT38" i="1"/>
  <c r="OY38" i="1" s="1"/>
  <c r="OP38" i="1"/>
  <c r="OX38" i="1"/>
  <c r="RH45" i="1"/>
  <c r="RG45" i="1"/>
  <c r="OT37" i="1"/>
  <c r="OY37" i="1" s="1"/>
  <c r="OX37" i="1"/>
  <c r="OP37" i="1"/>
  <c r="OP54" i="1"/>
  <c r="OX54" i="1"/>
  <c r="OT54" i="1"/>
  <c r="OY54" i="1" s="1"/>
  <c r="OX32" i="1"/>
  <c r="OP32" i="1"/>
  <c r="OT32" i="1"/>
  <c r="OY32" i="1" s="1"/>
  <c r="RG48" i="1"/>
  <c r="RH48" i="1"/>
  <c r="OT42" i="1"/>
  <c r="OY42" i="1" s="1"/>
  <c r="OP42" i="1"/>
  <c r="OX42" i="1"/>
  <c r="OP30" i="1"/>
  <c r="OT30" i="1"/>
  <c r="OY30" i="1" s="1"/>
  <c r="RH38" i="1"/>
  <c r="RG38" i="1"/>
  <c r="RH54" i="1"/>
  <c r="RG54" i="1"/>
  <c r="OP45" i="1"/>
  <c r="OT45" i="1"/>
  <c r="OY45" i="1" s="1"/>
  <c r="RH31" i="1"/>
  <c r="RG31" i="1"/>
  <c r="MD34" i="1"/>
  <c r="MC34" i="1"/>
  <c r="MD57" i="1"/>
  <c r="MC57" i="1"/>
  <c r="MC31" i="1"/>
  <c r="MD31" i="1"/>
  <c r="MO46" i="1"/>
  <c r="MO43" i="1"/>
  <c r="MO51" i="1"/>
  <c r="MH53" i="1"/>
  <c r="MH28" i="1"/>
  <c r="US49" i="1" a="1"/>
  <c r="US49" i="1" s="1"/>
  <c r="VF49" i="1" s="1"/>
  <c r="VI49" i="1" s="1"/>
  <c r="MH48" i="1"/>
  <c r="MH35" i="1"/>
  <c r="LX35" i="1"/>
  <c r="LY35" i="1" s="1"/>
  <c r="ME35" i="1" s="1"/>
  <c r="H31" i="21"/>
  <c r="MO35" i="1"/>
  <c r="MP35" i="1"/>
  <c r="US41" i="1" a="1"/>
  <c r="US41" i="1" s="1"/>
  <c r="VF41" i="1" s="1"/>
  <c r="VI41" i="1" s="1"/>
  <c r="UR34" i="1" a="1"/>
  <c r="UR34" i="1" s="1"/>
  <c r="UR33" i="1" a="1"/>
  <c r="UR33" i="1" s="1"/>
  <c r="VE33" i="1" s="1"/>
  <c r="VH33" i="1" s="1"/>
  <c r="VV41" i="1"/>
  <c r="VV49" i="1"/>
  <c r="VJ36" i="1"/>
  <c r="VJ51" i="1"/>
  <c r="VJ42" i="1"/>
  <c r="FQ38" i="1"/>
  <c r="RE51" i="1"/>
  <c r="GN40" i="1"/>
  <c r="GN51" i="1"/>
  <c r="GN33" i="1"/>
  <c r="LO29" i="1"/>
  <c r="MA45" i="1"/>
  <c r="GN29" i="1"/>
  <c r="GN46" i="1"/>
  <c r="FQ37" i="1"/>
  <c r="GN50" i="1"/>
  <c r="FQ42" i="1"/>
  <c r="VJ48" i="1"/>
  <c r="VV38" i="1"/>
  <c r="VJ50" i="1"/>
  <c r="VJ52" i="1"/>
  <c r="VJ45" i="1"/>
  <c r="VJ44" i="1"/>
  <c r="LX54" i="1"/>
  <c r="LY54" i="1" s="1"/>
  <c r="ME54" i="1" s="1"/>
  <c r="RE28" i="1"/>
  <c r="GN37" i="1"/>
  <c r="FQ52" i="1"/>
  <c r="RE53" i="1"/>
  <c r="LO54" i="1"/>
  <c r="VL37" i="1"/>
  <c r="GN57" i="1"/>
  <c r="RE47" i="1"/>
  <c r="GN48" i="1"/>
  <c r="LO48" i="1"/>
  <c r="GN34" i="1"/>
  <c r="FQ32" i="1"/>
  <c r="GN52" i="1"/>
  <c r="FQ39" i="1"/>
  <c r="FQ57" i="1"/>
  <c r="FQ34" i="1"/>
  <c r="LO53" i="1"/>
  <c r="VJ53" i="1"/>
  <c r="VJ28" i="1"/>
  <c r="VJ35" i="1"/>
  <c r="VJ46" i="1"/>
  <c r="VJ55" i="1"/>
  <c r="MJ42" i="1"/>
  <c r="MK42" i="1" s="1"/>
  <c r="MQ42" i="1" s="1"/>
  <c r="MJ44" i="1"/>
  <c r="MK44" i="1" s="1"/>
  <c r="MQ44" i="1" s="1"/>
  <c r="FQ33" i="1"/>
  <c r="FQ29" i="1"/>
  <c r="LO28" i="1"/>
  <c r="GN42" i="1"/>
  <c r="MH54" i="1"/>
  <c r="LX48" i="1"/>
  <c r="LY48" i="1" s="1"/>
  <c r="ME48" i="1" s="1"/>
  <c r="LX53" i="1"/>
  <c r="LY53" i="1" s="1"/>
  <c r="ME53" i="1" s="1"/>
  <c r="GN44" i="1"/>
  <c r="MA44" i="1"/>
  <c r="GN43" i="1"/>
  <c r="GN31" i="1"/>
  <c r="FQ48" i="1"/>
  <c r="GN36" i="1"/>
  <c r="GN41" i="1"/>
  <c r="MJ45" i="1"/>
  <c r="MK45" i="1" s="1"/>
  <c r="MQ45" i="1" s="1"/>
  <c r="VL38" i="1"/>
  <c r="FQ53" i="1"/>
  <c r="GN54" i="1"/>
  <c r="RE36" i="1"/>
  <c r="FQ35" i="1"/>
  <c r="LO41" i="1"/>
  <c r="VJ30" i="1"/>
  <c r="VV37" i="1"/>
  <c r="VV29" i="1"/>
  <c r="VJ54" i="1"/>
  <c r="VJ57" i="1"/>
  <c r="VJ32" i="1"/>
  <c r="VJ33" i="1"/>
  <c r="VJ56" i="1"/>
  <c r="VJ31" i="1"/>
  <c r="VJ34" i="1"/>
  <c r="MJ36" i="1"/>
  <c r="MK36" i="1" s="1"/>
  <c r="MQ36" i="1" s="1"/>
  <c r="VL49" i="1"/>
  <c r="VL40" i="1"/>
  <c r="GN49" i="1"/>
  <c r="MA42" i="1"/>
  <c r="FQ50" i="1"/>
  <c r="LX28" i="1"/>
  <c r="LY28" i="1" s="1"/>
  <c r="ME28" i="1" s="1"/>
  <c r="Q33" i="21" s="1" a="1"/>
  <c r="Q33" i="21" s="1"/>
  <c r="MH37" i="1"/>
  <c r="GN55" i="1"/>
  <c r="VL41" i="1"/>
  <c r="GN53" i="1"/>
  <c r="FQ47" i="1"/>
  <c r="GN35" i="1"/>
  <c r="GN56" i="1"/>
  <c r="FQ56" i="1"/>
  <c r="LX37" i="1"/>
  <c r="LY37" i="1" s="1"/>
  <c r="ME37" i="1" s="1"/>
  <c r="VL29" i="1"/>
  <c r="GN30" i="1"/>
  <c r="FQ45" i="1"/>
  <c r="LO33" i="1"/>
  <c r="FQ30" i="1"/>
  <c r="MA36" i="1"/>
  <c r="HN44" i="1"/>
  <c r="XY44" i="1" s="1"/>
  <c r="HI44" i="1"/>
  <c r="HJ44" i="1" s="1"/>
  <c r="UP54" i="1" a="1"/>
  <c r="UP54" i="1" s="1"/>
  <c r="UR54" i="1" a="1"/>
  <c r="UR54" i="1" s="1"/>
  <c r="VE54" i="1" s="1"/>
  <c r="VH54" i="1" s="1"/>
  <c r="US29" i="1" a="1"/>
  <c r="US29" i="1" s="1"/>
  <c r="VF29" i="1" s="1"/>
  <c r="VI29" i="1" s="1"/>
  <c r="VE53" i="1"/>
  <c r="VH53" i="1" s="1"/>
  <c r="US53" i="1" a="1"/>
  <c r="US53" i="1" s="1"/>
  <c r="HI42" i="1"/>
  <c r="HJ42" i="1" s="1"/>
  <c r="HN42" i="1"/>
  <c r="XY42" i="1" s="1"/>
  <c r="YM42" i="1" s="1"/>
  <c r="YQ42" i="1" s="1"/>
  <c r="HI52" i="1"/>
  <c r="HJ52" i="1" s="1"/>
  <c r="HN52" i="1"/>
  <c r="XY52" i="1" s="1"/>
  <c r="HN38" i="1"/>
  <c r="XY38" i="1" s="1"/>
  <c r="HI38" i="1"/>
  <c r="HJ38" i="1" s="1"/>
  <c r="HI39" i="1"/>
  <c r="HJ39" i="1" s="1"/>
  <c r="HN39" i="1"/>
  <c r="XY39" i="1" s="1"/>
  <c r="HN51" i="1"/>
  <c r="XY51" i="1" s="1"/>
  <c r="HI51" i="1"/>
  <c r="HJ51" i="1" s="1"/>
  <c r="YH55" i="1"/>
  <c r="HN32" i="1"/>
  <c r="XY32" i="1" s="1"/>
  <c r="HI32" i="1"/>
  <c r="HJ32" i="1" s="1"/>
  <c r="VE50" i="1"/>
  <c r="VH50" i="1" s="1"/>
  <c r="US50" i="1" a="1"/>
  <c r="US50" i="1" s="1"/>
  <c r="UP52" i="1" a="1"/>
  <c r="UP52" i="1" s="1"/>
  <c r="UR52" i="1" a="1"/>
  <c r="UR52" i="1" s="1"/>
  <c r="VE52" i="1" s="1"/>
  <c r="VH52" i="1" s="1"/>
  <c r="VE40" i="1"/>
  <c r="VH40" i="1" s="1"/>
  <c r="US40" i="1" a="1"/>
  <c r="US40" i="1" s="1"/>
  <c r="HI53" i="1"/>
  <c r="HJ53" i="1" s="1"/>
  <c r="HN53" i="1"/>
  <c r="XY53" i="1" s="1"/>
  <c r="UR55" i="1" a="1"/>
  <c r="UR55" i="1" s="1"/>
  <c r="VE55" i="1" s="1"/>
  <c r="VH55" i="1" s="1"/>
  <c r="UR28" i="1" a="1"/>
  <c r="UR28" i="1" s="1"/>
  <c r="UR36" i="1" a="1"/>
  <c r="UR36" i="1" s="1"/>
  <c r="MP33" i="1"/>
  <c r="MO33" i="1"/>
  <c r="MP40" i="1"/>
  <c r="MO40" i="1"/>
  <c r="MO38" i="1"/>
  <c r="MP38" i="1"/>
  <c r="YH28" i="1"/>
  <c r="VD43" i="1"/>
  <c r="VG43" i="1" s="1"/>
  <c r="UR43" i="1" a="1"/>
  <c r="UR43" i="1" s="1"/>
  <c r="HN54" i="1"/>
  <c r="XY54" i="1" s="1"/>
  <c r="HI54" i="1"/>
  <c r="HJ54" i="1" s="1"/>
  <c r="HN34" i="1"/>
  <c r="XY34" i="1" s="1"/>
  <c r="HI34" i="1"/>
  <c r="HJ34" i="1" s="1"/>
  <c r="YH36" i="1"/>
  <c r="VE46" i="1"/>
  <c r="VH46" i="1" s="1"/>
  <c r="US46" i="1" a="1"/>
  <c r="US46" i="1" s="1"/>
  <c r="HI49" i="1"/>
  <c r="HJ49" i="1" s="1"/>
  <c r="HN49" i="1"/>
  <c r="XY49" i="1" s="1"/>
  <c r="UR44" i="1" a="1"/>
  <c r="UR44" i="1" s="1"/>
  <c r="UR35" i="1" a="1"/>
  <c r="UR35" i="1" s="1"/>
  <c r="MO52" i="1"/>
  <c r="MP52" i="1"/>
  <c r="VT37" i="1"/>
  <c r="VS37" i="1"/>
  <c r="Q42" i="21" a="1"/>
  <c r="Q42" i="21" s="1"/>
  <c r="HI47" i="1"/>
  <c r="HJ47" i="1" s="1"/>
  <c r="HN47" i="1"/>
  <c r="XY47" i="1" s="1"/>
  <c r="HI46" i="1"/>
  <c r="HJ46" i="1" s="1"/>
  <c r="HN46" i="1"/>
  <c r="XY46" i="1" s="1"/>
  <c r="UP30" i="1" a="1"/>
  <c r="UP30" i="1" s="1"/>
  <c r="UR30" i="1" a="1"/>
  <c r="UR30" i="1" s="1"/>
  <c r="VE30" i="1" s="1"/>
  <c r="VH30" i="1" s="1"/>
  <c r="VD39" i="1"/>
  <c r="VG39" i="1" s="1"/>
  <c r="UR39" i="1" a="1"/>
  <c r="UR39" i="1" s="1"/>
  <c r="HI40" i="1"/>
  <c r="HJ40" i="1" s="1"/>
  <c r="HN40" i="1"/>
  <c r="XY40" i="1" s="1"/>
  <c r="YH41" i="1"/>
  <c r="UP48" i="1" a="1"/>
  <c r="UP48" i="1" s="1"/>
  <c r="UR48" i="1" a="1"/>
  <c r="UR48" i="1" s="1"/>
  <c r="VE48" i="1" s="1"/>
  <c r="VH48" i="1" s="1"/>
  <c r="US38" i="1" a="1"/>
  <c r="US38" i="1" s="1"/>
  <c r="VF38" i="1" s="1"/>
  <c r="VI38" i="1" s="1"/>
  <c r="HI56" i="1"/>
  <c r="HJ56" i="1" s="1"/>
  <c r="HN56" i="1"/>
  <c r="XY56" i="1" s="1"/>
  <c r="HI43" i="1"/>
  <c r="HJ43" i="1" s="1"/>
  <c r="HN43" i="1"/>
  <c r="XY43" i="1" s="1"/>
  <c r="UP31" i="1" a="1"/>
  <c r="UP31" i="1" s="1"/>
  <c r="UR31" i="1" a="1"/>
  <c r="UR31" i="1" s="1"/>
  <c r="VE31" i="1" s="1"/>
  <c r="VH31" i="1" s="1"/>
  <c r="HI35" i="1"/>
  <c r="HJ35" i="1" s="1"/>
  <c r="HN35" i="1"/>
  <c r="XY35" i="1" s="1"/>
  <c r="UP45" i="1" a="1"/>
  <c r="UP45" i="1" s="1"/>
  <c r="UR45" i="1" a="1"/>
  <c r="UR45" i="1" s="1"/>
  <c r="VE45" i="1" s="1"/>
  <c r="VH45" i="1" s="1"/>
  <c r="HI29" i="1"/>
  <c r="HJ29" i="1" s="1"/>
  <c r="HN29" i="1"/>
  <c r="XY29" i="1" s="1"/>
  <c r="HN57" i="1"/>
  <c r="XY57" i="1" s="1"/>
  <c r="HI57" i="1"/>
  <c r="HJ57" i="1" s="1"/>
  <c r="HI45" i="1"/>
  <c r="HJ45" i="1" s="1"/>
  <c r="HN45" i="1"/>
  <c r="XY45" i="1" s="1"/>
  <c r="UR57" i="1" a="1"/>
  <c r="UR57" i="1" s="1"/>
  <c r="UR32" i="1" a="1"/>
  <c r="UR32" i="1" s="1"/>
  <c r="MP54" i="1"/>
  <c r="MO54" i="1"/>
  <c r="VT38" i="1"/>
  <c r="VS38" i="1"/>
  <c r="HI48" i="1"/>
  <c r="HJ48" i="1" s="1"/>
  <c r="HN48" i="1"/>
  <c r="XY48" i="1" s="1"/>
  <c r="US37" i="1" a="1"/>
  <c r="US37" i="1" s="1"/>
  <c r="VF37" i="1" s="1"/>
  <c r="VI37" i="1" s="1"/>
  <c r="HI33" i="1"/>
  <c r="HJ33" i="1" s="1"/>
  <c r="HN33" i="1"/>
  <c r="XY33" i="1" s="1"/>
  <c r="HI50" i="1"/>
  <c r="HJ50" i="1" s="1"/>
  <c r="HN50" i="1"/>
  <c r="XY50" i="1" s="1"/>
  <c r="VD47" i="1"/>
  <c r="VG47" i="1" s="1"/>
  <c r="UR47" i="1" a="1"/>
  <c r="UR47" i="1" s="1"/>
  <c r="HI30" i="1"/>
  <c r="HJ30" i="1" s="1"/>
  <c r="HN30" i="1"/>
  <c r="XY30" i="1" s="1"/>
  <c r="HI37" i="1"/>
  <c r="HJ37" i="1" s="1"/>
  <c r="HN37" i="1"/>
  <c r="XY37" i="1" s="1"/>
  <c r="YH31" i="1"/>
  <c r="VE42" i="1"/>
  <c r="VH42" i="1" s="1"/>
  <c r="US42" i="1" a="1"/>
  <c r="US42" i="1" s="1"/>
  <c r="UR51" i="1" a="1"/>
  <c r="UR51" i="1" s="1"/>
  <c r="UR56" i="1" a="1"/>
  <c r="UR56" i="1" s="1"/>
  <c r="Q32" i="21" a="1"/>
  <c r="Q32" i="21" s="1"/>
  <c r="VT49" i="1"/>
  <c r="VS49" i="1"/>
  <c r="VS40" i="1"/>
  <c r="VT40" i="1"/>
  <c r="MP37" i="1"/>
  <c r="MO37" i="1"/>
  <c r="VS41" i="1"/>
  <c r="VT41" i="1"/>
  <c r="MP41" i="1"/>
  <c r="MO41" i="1"/>
  <c r="VT29" i="1"/>
  <c r="VS29" i="1"/>
  <c r="LO37" i="1" a="1"/>
  <c r="RB29" i="1" a="1"/>
  <c r="MH57" i="1" a="1"/>
  <c r="OE29" i="1" a="1"/>
  <c r="FQ31" i="1" a="1"/>
  <c r="MH49" i="1" a="1"/>
  <c r="RB34" i="1" a="1"/>
  <c r="MB35" i="1"/>
  <c r="LO39" i="1" a="1"/>
  <c r="OE53" i="1" a="1"/>
  <c r="LO30" i="1" a="1"/>
  <c r="MH52" i="1" a="1"/>
  <c r="MH43" i="1" a="1"/>
  <c r="RB32" i="1" a="1"/>
  <c r="MH41" i="1" a="1"/>
  <c r="HB31" i="1"/>
  <c r="MM30" i="1" a="1"/>
  <c r="RB30" i="1" a="1"/>
  <c r="LO50" i="1" a="1"/>
  <c r="OE50" i="1" a="1"/>
  <c r="RB45" i="1" a="1"/>
  <c r="MA30" i="1" a="1"/>
  <c r="RB48" i="1" a="1"/>
  <c r="LV39" i="1" a="1"/>
  <c r="OE55" i="1" a="1"/>
  <c r="LV50" i="1" a="1"/>
  <c r="LO31" i="1" a="1"/>
  <c r="OE43" i="1" a="1"/>
  <c r="OE56" i="1" a="1"/>
  <c r="LX34" i="1" a="1"/>
  <c r="RA55" i="1"/>
  <c r="RA49" i="1"/>
  <c r="RD41" i="1"/>
  <c r="RA57" i="1"/>
  <c r="RD34" i="1"/>
  <c r="MG31" i="1"/>
  <c r="RD40" i="1"/>
  <c r="RA33" i="1"/>
  <c r="RA44" i="1"/>
  <c r="QY44" i="1"/>
  <c r="RD39" i="1"/>
  <c r="RD50" i="1"/>
  <c r="RD45" i="1"/>
  <c r="QY38" i="1"/>
  <c r="RA54" i="1"/>
  <c r="LU31" i="1"/>
  <c r="MJ28" i="1" a="1"/>
  <c r="VX49" i="1" a="1"/>
  <c r="GO33" i="1"/>
  <c r="VX38" i="1" a="1"/>
  <c r="LP53" i="1"/>
  <c r="MJ54" i="1" a="1"/>
  <c r="RF36" i="1"/>
  <c r="MB36" i="1"/>
  <c r="VV30" i="1" a="1"/>
  <c r="MI37" i="1"/>
  <c r="MM36" i="1" a="1"/>
  <c r="GO29" i="1"/>
  <c r="GO52" i="1"/>
  <c r="GO36" i="1"/>
  <c r="VX37" i="1" a="1"/>
  <c r="GO49" i="1"/>
  <c r="VN29" i="1" a="1"/>
  <c r="VV40" i="1" a="1"/>
  <c r="ML40" i="1"/>
  <c r="HB56" i="1"/>
  <c r="MA48" i="1" a="1"/>
  <c r="GO51" i="1"/>
  <c r="GO57" i="1"/>
  <c r="VL53" i="1" a="1"/>
  <c r="LP28" i="1"/>
  <c r="FR53" i="1"/>
  <c r="VL32" i="1" a="1"/>
  <c r="MB42" i="1"/>
  <c r="GO30" i="1"/>
  <c r="VP29" i="1"/>
  <c r="VL48" i="1" a="1"/>
  <c r="FR45" i="1"/>
  <c r="VK29" i="1"/>
  <c r="LV55" i="1" a="1"/>
  <c r="LO51" i="1" a="1"/>
  <c r="OE46" i="1" a="1"/>
  <c r="LO47" i="1" a="1"/>
  <c r="RB57" i="1" a="1"/>
  <c r="LV33" i="1" a="1"/>
  <c r="MH55" i="1" a="1"/>
  <c r="LO55" i="1" a="1"/>
  <c r="MH47" i="1" a="1"/>
  <c r="OE49" i="1" a="1"/>
  <c r="OE33" i="1" a="1"/>
  <c r="MH38" i="1" a="1"/>
  <c r="LO57" i="1" a="1"/>
  <c r="LV40" i="1" a="1"/>
  <c r="RB39" i="1" a="1"/>
  <c r="RB50" i="1" a="1"/>
  <c r="LV43" i="1" a="1"/>
  <c r="LO49" i="1" a="1"/>
  <c r="RE56" i="1" a="1"/>
  <c r="RJ35" i="1"/>
  <c r="OE57" i="1" a="1"/>
  <c r="LV29" i="1" a="1"/>
  <c r="RE35" i="1" a="1"/>
  <c r="LO46" i="1" a="1"/>
  <c r="OE37" i="1" a="1"/>
  <c r="OE32" i="1" a="1"/>
  <c r="RJ43" i="1"/>
  <c r="RD55" i="1"/>
  <c r="QY29" i="1"/>
  <c r="RD49" i="1"/>
  <c r="RD57" i="1"/>
  <c r="RD52" i="1"/>
  <c r="RA34" i="1"/>
  <c r="LU56" i="1"/>
  <c r="ML31" i="1"/>
  <c r="RA40" i="1"/>
  <c r="QY32" i="1"/>
  <c r="LZ47" i="1"/>
  <c r="LW47" i="1"/>
  <c r="RA30" i="1"/>
  <c r="QY39" i="1"/>
  <c r="QY37" i="1"/>
  <c r="RD48" i="1"/>
  <c r="QY54" i="1"/>
  <c r="QY31" i="1"/>
  <c r="LU34" i="1"/>
  <c r="LW34" i="1"/>
  <c r="LZ57" i="1"/>
  <c r="LW31" i="1"/>
  <c r="VV33" i="1" a="1"/>
  <c r="MB45" i="1"/>
  <c r="VL44" i="1" a="1"/>
  <c r="GO48" i="1"/>
  <c r="VL28" i="1" a="1"/>
  <c r="GO44" i="1"/>
  <c r="LP41" i="1"/>
  <c r="VL56" i="1" a="1"/>
  <c r="MJ37" i="1" a="1"/>
  <c r="VV52" i="1" a="1"/>
  <c r="ML38" i="1"/>
  <c r="VP38" i="1"/>
  <c r="HB57" i="1"/>
  <c r="VX41" i="1" a="1"/>
  <c r="GO40" i="1"/>
  <c r="GO50" i="1"/>
  <c r="VL55" i="1" a="1"/>
  <c r="VN38" i="1" a="1"/>
  <c r="GO55" i="1"/>
  <c r="LP33" i="1"/>
  <c r="VV55" i="1" a="1"/>
  <c r="VV46" i="1" a="1"/>
  <c r="VJ39" i="1" a="1"/>
  <c r="VL52" i="1" a="1"/>
  <c r="LP48" i="1"/>
  <c r="GO43" i="1"/>
  <c r="FR35" i="1"/>
  <c r="VN41" i="1" a="1"/>
  <c r="FR30" i="1"/>
  <c r="MI40" i="1"/>
  <c r="MG54" i="1"/>
  <c r="VM49" i="1"/>
  <c r="MG41" i="1"/>
  <c r="MI41" i="1"/>
  <c r="MM45" i="1" a="1"/>
  <c r="FR37" i="1"/>
  <c r="VL45" i="1" a="1"/>
  <c r="GO34" i="1"/>
  <c r="MA28" i="1" a="1"/>
  <c r="GO31" i="1"/>
  <c r="VL54" i="1" a="1"/>
  <c r="MG38" i="1"/>
  <c r="WH38" i="1" a="1"/>
  <c r="ML54" i="1"/>
  <c r="VP40" i="1"/>
  <c r="HB34" i="1"/>
  <c r="VJ43" i="1" a="1"/>
  <c r="VK38" i="1"/>
  <c r="HB53" i="1"/>
  <c r="VP41" i="1"/>
  <c r="FR52" i="1"/>
  <c r="VN49" i="1" a="1"/>
  <c r="ML33" i="1"/>
  <c r="VP49" i="1"/>
  <c r="VK40" i="1"/>
  <c r="HB30" i="1"/>
  <c r="ML37" i="1"/>
  <c r="FR50" i="1"/>
  <c r="VK41" i="1"/>
  <c r="LV46" i="1" a="1"/>
  <c r="LO56" i="1" a="1"/>
  <c r="RB49" i="1" a="1"/>
  <c r="RB41" i="1" a="1"/>
  <c r="MH56" i="1" a="1"/>
  <c r="RB52" i="1" a="1"/>
  <c r="OE41" i="1" a="1"/>
  <c r="LO43" i="1" a="1"/>
  <c r="OE39" i="1" a="1"/>
  <c r="LO38" i="1" a="1"/>
  <c r="MH51" i="1" a="1"/>
  <c r="OE36" i="1" a="1"/>
  <c r="LX47" i="1" a="1"/>
  <c r="H19" i="21" a="1"/>
  <c r="OE35" i="1" a="1"/>
  <c r="OE38" i="1" a="1"/>
  <c r="RB37" i="1" a="1"/>
  <c r="OE54" i="1" a="1"/>
  <c r="OE52" i="1" a="1"/>
  <c r="LV38" i="1" a="1"/>
  <c r="RE42" i="1" a="1"/>
  <c r="RJ42" i="1"/>
  <c r="MH46" i="1" a="1"/>
  <c r="OE30" i="1" a="1"/>
  <c r="RB54" i="1" a="1"/>
  <c r="OE28" i="1" a="1"/>
  <c r="MH33" i="1" a="1"/>
  <c r="LX57" i="1" a="1"/>
  <c r="LX31" i="1" a="1"/>
  <c r="RA29" i="1"/>
  <c r="QY49" i="1"/>
  <c r="MF50" i="1" a="1"/>
  <c r="QY57" i="1"/>
  <c r="RA52" i="1"/>
  <c r="QY34" i="1"/>
  <c r="LW56" i="1"/>
  <c r="MI31" i="1"/>
  <c r="QY40" i="1"/>
  <c r="RA32" i="1"/>
  <c r="RD33" i="1"/>
  <c r="LU47" i="1"/>
  <c r="MF39" i="1" a="1"/>
  <c r="QY30" i="1"/>
  <c r="RA39" i="1"/>
  <c r="RA37" i="1"/>
  <c r="RA50" i="1"/>
  <c r="QY45" i="1"/>
  <c r="QY48" i="1"/>
  <c r="RA38" i="1"/>
  <c r="RA31" i="1"/>
  <c r="LZ34" i="1"/>
  <c r="LW57" i="1"/>
  <c r="LZ31" i="1"/>
  <c r="WH49" i="1" a="1"/>
  <c r="WH41" i="1" a="1"/>
  <c r="VL42" i="1" a="1"/>
  <c r="RF28" i="1"/>
  <c r="FR32" i="1"/>
  <c r="VL46" i="1" a="1"/>
  <c r="FR48" i="1"/>
  <c r="MA53" i="1" a="1"/>
  <c r="VL34" i="1" a="1"/>
  <c r="GO56" i="1"/>
  <c r="HB42" i="1"/>
  <c r="MI52" i="1"/>
  <c r="VV42" i="1" a="1"/>
  <c r="VV45" i="1" a="1"/>
  <c r="VL36" i="1" a="1"/>
  <c r="MA49" i="1" a="1"/>
  <c r="LP54" i="1"/>
  <c r="MM44" i="1" a="1"/>
  <c r="FR29" i="1"/>
  <c r="MM53" i="1" a="1"/>
  <c r="VV54" i="1" a="1"/>
  <c r="MI33" i="1"/>
  <c r="MG52" i="1"/>
  <c r="HB29" i="1"/>
  <c r="MA37" i="1" a="1"/>
  <c r="GO46" i="1"/>
  <c r="VL35" i="1" a="1"/>
  <c r="VL30" i="1" a="1"/>
  <c r="FR47" i="1"/>
  <c r="WH29" i="1" a="1"/>
  <c r="MI38" i="1"/>
  <c r="MI54" i="1"/>
  <c r="HB37" i="1"/>
  <c r="MM42" i="1" a="1"/>
  <c r="FR39" i="1"/>
  <c r="OQ44" i="1"/>
  <c r="GO54" i="1"/>
  <c r="VL33" i="1" a="1"/>
  <c r="GO53" i="1"/>
  <c r="VV53" i="1" a="1"/>
  <c r="MG37" i="1"/>
  <c r="VM29" i="1"/>
  <c r="VK37" i="1"/>
  <c r="VV31" i="1" a="1"/>
  <c r="GO42" i="1"/>
  <c r="VM37" i="1"/>
  <c r="VM41" i="1"/>
  <c r="VJ47" i="1" a="1"/>
  <c r="MG40" i="1"/>
  <c r="RJ28" i="1"/>
  <c r="VM40" i="1"/>
  <c r="RB55" i="1" a="1"/>
  <c r="MH34" i="1" a="1"/>
  <c r="OE40" i="1" a="1"/>
  <c r="OE31" i="1" a="1"/>
  <c r="OE42" i="1" a="1"/>
  <c r="OE44" i="1" a="1"/>
  <c r="LX56" i="1" a="1"/>
  <c r="MJ31" i="1" a="1"/>
  <c r="RJ56" i="1"/>
  <c r="OE47" i="1" a="1"/>
  <c r="LO52" i="1" a="1"/>
  <c r="RE43" i="1" a="1"/>
  <c r="OE51" i="1" a="1"/>
  <c r="RB40" i="1" a="1"/>
  <c r="RB33" i="1" a="1"/>
  <c r="LX49" i="1" a="1"/>
  <c r="MM35" i="1" a="1"/>
  <c r="OE48" i="1" a="1"/>
  <c r="RB44" i="1" a="1"/>
  <c r="LV52" i="1" a="1"/>
  <c r="LO34" i="1" a="1"/>
  <c r="LV51" i="1" a="1"/>
  <c r="LV41" i="1" a="1"/>
  <c r="LO40" i="1" a="1"/>
  <c r="MH40" i="1" a="1"/>
  <c r="RB38" i="1" a="1"/>
  <c r="OE34" i="1" a="1"/>
  <c r="RB31" i="1" a="1"/>
  <c r="OE45" i="1" a="1"/>
  <c r="OQ32" i="1"/>
  <c r="QY55" i="1"/>
  <c r="RD29" i="1"/>
  <c r="QY41" i="1"/>
  <c r="RA41" i="1"/>
  <c r="QY52" i="1"/>
  <c r="LZ56" i="1"/>
  <c r="RD32" i="1"/>
  <c r="QY33" i="1"/>
  <c r="RD30" i="1"/>
  <c r="RD44" i="1"/>
  <c r="RD37" i="1"/>
  <c r="MF29" i="1" a="1"/>
  <c r="QY50" i="1"/>
  <c r="RA45" i="1"/>
  <c r="RA48" i="1"/>
  <c r="RD38" i="1"/>
  <c r="RD54" i="1"/>
  <c r="RD31" i="1"/>
  <c r="LU57" i="1"/>
  <c r="MJ53" i="1" a="1"/>
  <c r="MJ48" i="1" a="1"/>
  <c r="MJ35" i="1" a="1"/>
  <c r="RF51" i="1"/>
  <c r="FR42" i="1"/>
  <c r="RF53" i="1"/>
  <c r="FR57" i="1"/>
  <c r="FR33" i="1"/>
  <c r="OQ45" i="1"/>
  <c r="VL57" i="1" a="1"/>
  <c r="VN40" i="1" a="1"/>
  <c r="MG33" i="1"/>
  <c r="ML52" i="1"/>
  <c r="VK49" i="1"/>
  <c r="WH37" i="1" a="1"/>
  <c r="VL51" i="1" a="1"/>
  <c r="LP29" i="1"/>
  <c r="VL50" i="1" a="1"/>
  <c r="VN37" i="1" a="1"/>
  <c r="MM48" i="1" a="1"/>
  <c r="MB44" i="1"/>
  <c r="MA54" i="1" a="1"/>
  <c r="VL31" i="1" a="1"/>
  <c r="VV50" i="1" a="1"/>
  <c r="VP37" i="1"/>
  <c r="MM28" i="1" a="1"/>
  <c r="FR38" i="1"/>
  <c r="GO37" i="1"/>
  <c r="OQ42" i="1"/>
  <c r="GO41" i="1"/>
  <c r="VX29" i="1" a="1"/>
  <c r="OQ36" i="1"/>
  <c r="FR56" i="1"/>
  <c r="HB50" i="1"/>
  <c r="VM38" i="1"/>
  <c r="FR34" i="1"/>
  <c r="GO35" i="1"/>
  <c r="VV48" i="1" a="1"/>
  <c r="RF47" i="1"/>
  <c r="ML41" i="1"/>
  <c r="MF29" i="1" l="1"/>
  <c r="OE45" i="1"/>
  <c r="RB31" i="1"/>
  <c r="RC31" i="1" s="1"/>
  <c r="RI31" i="1" s="1"/>
  <c r="OE34" i="1"/>
  <c r="RB38" i="1"/>
  <c r="RC38" i="1" s="1"/>
  <c r="RI38" i="1" s="1"/>
  <c r="MH40" i="1"/>
  <c r="LO40" i="1"/>
  <c r="LV41" i="1"/>
  <c r="LV51" i="1"/>
  <c r="LO34" i="1"/>
  <c r="LV52" i="1"/>
  <c r="RB44" i="1"/>
  <c r="RC44" i="1" s="1"/>
  <c r="RI44" i="1" s="1"/>
  <c r="OE48" i="1"/>
  <c r="MM35" i="1"/>
  <c r="LX49" i="1"/>
  <c r="LY49" i="1" s="1"/>
  <c r="ME49" i="1" s="1"/>
  <c r="RB33" i="1"/>
  <c r="RC33" i="1" s="1"/>
  <c r="RI33" i="1" s="1"/>
  <c r="RB40" i="1"/>
  <c r="RC40" i="1" s="1"/>
  <c r="RI40" i="1" s="1"/>
  <c r="OE51" i="1"/>
  <c r="RE43" i="1"/>
  <c r="LO52" i="1"/>
  <c r="OE47" i="1"/>
  <c r="MJ31" i="1"/>
  <c r="MK31" i="1" s="1"/>
  <c r="MQ31" i="1" s="1"/>
  <c r="LX56" i="1"/>
  <c r="LY56" i="1" s="1"/>
  <c r="ME56" i="1" s="1"/>
  <c r="OE44" i="1"/>
  <c r="OE42" i="1"/>
  <c r="OE31" i="1"/>
  <c r="OE40" i="1"/>
  <c r="MH34" i="1"/>
  <c r="RB55" i="1"/>
  <c r="RC55" i="1" s="1"/>
  <c r="RI55" i="1" s="1"/>
  <c r="MF39" i="1"/>
  <c r="MF50" i="1"/>
  <c r="LX31" i="1"/>
  <c r="LY31" i="1" s="1"/>
  <c r="ME31" i="1" s="1"/>
  <c r="LX57" i="1"/>
  <c r="LY57" i="1" s="1"/>
  <c r="ME57" i="1" s="1"/>
  <c r="MH33" i="1"/>
  <c r="OE28" i="1"/>
  <c r="RB54" i="1"/>
  <c r="RC54" i="1" s="1"/>
  <c r="RI54" i="1" s="1"/>
  <c r="OE30" i="1"/>
  <c r="MH46" i="1"/>
  <c r="RE42" i="1"/>
  <c r="LV38" i="1"/>
  <c r="OE52" i="1"/>
  <c r="OE54" i="1"/>
  <c r="RB37" i="1"/>
  <c r="RC37" i="1" s="1"/>
  <c r="RI37" i="1" s="1"/>
  <c r="OE38" i="1"/>
  <c r="OE35" i="1"/>
  <c r="H19" i="21"/>
  <c r="LX47" i="1"/>
  <c r="LY47" i="1" s="1"/>
  <c r="ME47" i="1" s="1"/>
  <c r="OE36" i="1"/>
  <c r="MH51" i="1"/>
  <c r="LO38" i="1"/>
  <c r="OE39" i="1"/>
  <c r="LO43" i="1"/>
  <c r="OE41" i="1"/>
  <c r="RB52" i="1"/>
  <c r="RC52" i="1" s="1"/>
  <c r="RI52" i="1" s="1"/>
  <c r="MH56" i="1"/>
  <c r="RB41" i="1"/>
  <c r="RC41" i="1" s="1"/>
  <c r="RI41" i="1" s="1"/>
  <c r="RB49" i="1"/>
  <c r="RC49" i="1" s="1"/>
  <c r="RI49" i="1" s="1"/>
  <c r="LO56" i="1"/>
  <c r="LV46" i="1"/>
  <c r="OE32" i="1"/>
  <c r="OE37" i="1"/>
  <c r="LO46" i="1"/>
  <c r="RE35" i="1"/>
  <c r="LV29" i="1"/>
  <c r="OE57" i="1"/>
  <c r="RE56" i="1"/>
  <c r="LO49" i="1"/>
  <c r="LV43" i="1"/>
  <c r="RB50" i="1"/>
  <c r="RC50" i="1" s="1"/>
  <c r="RI50" i="1" s="1"/>
  <c r="RB39" i="1"/>
  <c r="RC39" i="1" s="1"/>
  <c r="RI39" i="1" s="1"/>
  <c r="LV40" i="1"/>
  <c r="LO57" i="1"/>
  <c r="MH38" i="1"/>
  <c r="OE33" i="1"/>
  <c r="OE49" i="1"/>
  <c r="MH47" i="1"/>
  <c r="LO55" i="1"/>
  <c r="MH55" i="1"/>
  <c r="LV33" i="1"/>
  <c r="RB57" i="1"/>
  <c r="RC57" i="1" s="1"/>
  <c r="RI57" i="1" s="1"/>
  <c r="LO47" i="1"/>
  <c r="OE46" i="1"/>
  <c r="LO51" i="1"/>
  <c r="LV55" i="1"/>
  <c r="LX34" i="1"/>
  <c r="LY34" i="1" s="1"/>
  <c r="ME34" i="1" s="1"/>
  <c r="OE56" i="1"/>
  <c r="OE43" i="1"/>
  <c r="LO31" i="1"/>
  <c r="LV50" i="1"/>
  <c r="OE55" i="1"/>
  <c r="LV39" i="1"/>
  <c r="RB48" i="1"/>
  <c r="RC48" i="1" s="1"/>
  <c r="RI48" i="1" s="1"/>
  <c r="MA30" i="1"/>
  <c r="RB45" i="1"/>
  <c r="RC45" i="1" s="1"/>
  <c r="RI45" i="1" s="1"/>
  <c r="OE50" i="1"/>
  <c r="LO50" i="1"/>
  <c r="RB30" i="1"/>
  <c r="RC30" i="1" s="1"/>
  <c r="RI30" i="1" s="1"/>
  <c r="MM30" i="1"/>
  <c r="MH41" i="1"/>
  <c r="RB32" i="1"/>
  <c r="RC32" i="1" s="1"/>
  <c r="RI32" i="1" s="1"/>
  <c r="MH43" i="1"/>
  <c r="MH52" i="1"/>
  <c r="LO30" i="1"/>
  <c r="OE53" i="1"/>
  <c r="LO39" i="1"/>
  <c r="RB34" i="1"/>
  <c r="RC34" i="1" s="1"/>
  <c r="RI34" i="1" s="1"/>
  <c r="MH49" i="1"/>
  <c r="FQ31" i="1"/>
  <c r="OE29" i="1"/>
  <c r="MH57" i="1"/>
  <c r="RB29" i="1"/>
  <c r="RC29" i="1" s="1"/>
  <c r="RI29" i="1" s="1"/>
  <c r="LO37" i="1"/>
  <c r="OV37" i="1"/>
  <c r="OW37" i="1" s="1"/>
  <c r="PA37" i="1"/>
  <c r="XZ37" i="1" s="1"/>
  <c r="YI37" i="1" s="1"/>
  <c r="OV29" i="1"/>
  <c r="OW29" i="1" s="1"/>
  <c r="PA29" i="1"/>
  <c r="XZ29" i="1" s="1"/>
  <c r="YI29" i="1" s="1"/>
  <c r="OV39" i="1"/>
  <c r="OW39" i="1" s="1"/>
  <c r="PA39" i="1"/>
  <c r="XZ39" i="1" s="1"/>
  <c r="YI39" i="1" s="1"/>
  <c r="PA47" i="1"/>
  <c r="XZ47" i="1" s="1"/>
  <c r="YI47" i="1" s="1"/>
  <c r="OV47" i="1"/>
  <c r="OW47" i="1" s="1"/>
  <c r="OX47" i="1" s="1"/>
  <c r="OV34" i="1"/>
  <c r="OW34" i="1" s="1"/>
  <c r="PA34" i="1"/>
  <c r="XZ34" i="1" s="1"/>
  <c r="YI34" i="1" s="1"/>
  <c r="OV50" i="1"/>
  <c r="OW50" i="1" s="1"/>
  <c r="PA50" i="1"/>
  <c r="XZ50" i="1" s="1"/>
  <c r="YI50" i="1" s="1"/>
  <c r="OV46" i="1"/>
  <c r="OW46" i="1" s="1"/>
  <c r="PA46" i="1"/>
  <c r="XZ46" i="1" s="1"/>
  <c r="YI46" i="1" s="1"/>
  <c r="PA57" i="1"/>
  <c r="XZ57" i="1" s="1"/>
  <c r="YI57" i="1" s="1"/>
  <c r="OV57" i="1"/>
  <c r="OW57" i="1" s="1"/>
  <c r="PA56" i="1"/>
  <c r="XZ56" i="1" s="1"/>
  <c r="YI56" i="1" s="1"/>
  <c r="OV56" i="1"/>
  <c r="OW56" i="1" s="1"/>
  <c r="OV52" i="1"/>
  <c r="OW52" i="1" s="1"/>
  <c r="PA52" i="1"/>
  <c r="XZ52" i="1" s="1"/>
  <c r="YI52" i="1" s="1"/>
  <c r="PA31" i="1"/>
  <c r="XZ31" i="1" s="1"/>
  <c r="OV31" i="1"/>
  <c r="OW31" i="1" s="1"/>
  <c r="MC41" i="1"/>
  <c r="MD41" i="1"/>
  <c r="MD51" i="1"/>
  <c r="MC51" i="1"/>
  <c r="MC52" i="1"/>
  <c r="MD52" i="1"/>
  <c r="MO34" i="1"/>
  <c r="MP34" i="1"/>
  <c r="PA45" i="1"/>
  <c r="XZ45" i="1" s="1"/>
  <c r="YI45" i="1" s="1"/>
  <c r="OV45" i="1"/>
  <c r="OW45" i="1" s="1"/>
  <c r="OX45" i="1" s="1"/>
  <c r="OV30" i="1"/>
  <c r="OW30" i="1" s="1"/>
  <c r="OX30" i="1" s="1"/>
  <c r="PA30" i="1"/>
  <c r="XZ30" i="1" s="1"/>
  <c r="YI30" i="1" s="1"/>
  <c r="PA38" i="1"/>
  <c r="XZ38" i="1" s="1"/>
  <c r="YI38" i="1" s="1"/>
  <c r="OV38" i="1"/>
  <c r="OW38" i="1" s="1"/>
  <c r="OV55" i="1"/>
  <c r="OW55" i="1" s="1"/>
  <c r="PA55" i="1"/>
  <c r="XZ55" i="1" s="1"/>
  <c r="MP46" i="1"/>
  <c r="MD38" i="1"/>
  <c r="MC38" i="1"/>
  <c r="MP51" i="1"/>
  <c r="MO56" i="1"/>
  <c r="MP56" i="1"/>
  <c r="MC46" i="1"/>
  <c r="MD46" i="1"/>
  <c r="OV49" i="1"/>
  <c r="OW49" i="1" s="1"/>
  <c r="PA49" i="1"/>
  <c r="XZ49" i="1" s="1"/>
  <c r="YI49" i="1" s="1"/>
  <c r="OV43" i="1"/>
  <c r="OW43" i="1" s="1"/>
  <c r="PA43" i="1"/>
  <c r="XZ43" i="1" s="1"/>
  <c r="YI43" i="1" s="1"/>
  <c r="OV44" i="1"/>
  <c r="OW44" i="1" s="1"/>
  <c r="PA44" i="1"/>
  <c r="XZ44" i="1" s="1"/>
  <c r="YI44" i="1" s="1"/>
  <c r="PA28" i="1"/>
  <c r="XZ28" i="1" s="1"/>
  <c r="OV28" i="1"/>
  <c r="OW28" i="1" s="1"/>
  <c r="OX28" i="1" s="1"/>
  <c r="PA53" i="1"/>
  <c r="XZ53" i="1" s="1"/>
  <c r="YI53" i="1" s="1"/>
  <c r="OV53" i="1"/>
  <c r="OW53" i="1" s="1"/>
  <c r="OV51" i="1"/>
  <c r="OW51" i="1" s="1"/>
  <c r="PA51" i="1"/>
  <c r="XZ51" i="1" s="1"/>
  <c r="YI51" i="1" s="1"/>
  <c r="MD29" i="1"/>
  <c r="MC29" i="1"/>
  <c r="MC43" i="1"/>
  <c r="MD43" i="1"/>
  <c r="MD40" i="1"/>
  <c r="MC40" i="1"/>
  <c r="MO47" i="1"/>
  <c r="MP47" i="1"/>
  <c r="MP55" i="1"/>
  <c r="MO55" i="1"/>
  <c r="MD33" i="1"/>
  <c r="MC33" i="1"/>
  <c r="MD55" i="1"/>
  <c r="MC55" i="1"/>
  <c r="PA42" i="1"/>
  <c r="XZ42" i="1" s="1"/>
  <c r="YI42" i="1" s="1"/>
  <c r="OV42" i="1"/>
  <c r="OW42" i="1" s="1"/>
  <c r="OV32" i="1"/>
  <c r="OW32" i="1" s="1"/>
  <c r="PA32" i="1"/>
  <c r="XZ32" i="1" s="1"/>
  <c r="YI32" i="1" s="1"/>
  <c r="PA54" i="1"/>
  <c r="XZ54" i="1" s="1"/>
  <c r="YI54" i="1" s="1"/>
  <c r="OV54" i="1"/>
  <c r="OW54" i="1" s="1"/>
  <c r="PA40" i="1"/>
  <c r="XZ40" i="1" s="1"/>
  <c r="YI40" i="1" s="1"/>
  <c r="OV40" i="1"/>
  <c r="OW40" i="1" s="1"/>
  <c r="PA41" i="1"/>
  <c r="XZ41" i="1" s="1"/>
  <c r="OV41" i="1"/>
  <c r="OW41" i="1" s="1"/>
  <c r="PA36" i="1"/>
  <c r="XZ36" i="1" s="1"/>
  <c r="OV36" i="1"/>
  <c r="OW36" i="1" s="1"/>
  <c r="OV48" i="1"/>
  <c r="OW48" i="1" s="1"/>
  <c r="OX48" i="1" s="1"/>
  <c r="PA48" i="1"/>
  <c r="XZ48" i="1" s="1"/>
  <c r="YI48" i="1" s="1"/>
  <c r="PA35" i="1"/>
  <c r="XZ35" i="1" s="1"/>
  <c r="YI35" i="1" s="1"/>
  <c r="OV35" i="1"/>
  <c r="OW35" i="1" s="1"/>
  <c r="OV33" i="1"/>
  <c r="OW33" i="1" s="1"/>
  <c r="PA33" i="1"/>
  <c r="XZ33" i="1" s="1"/>
  <c r="YI33" i="1" s="1"/>
  <c r="MC50" i="1"/>
  <c r="MD50" i="1"/>
  <c r="MC39" i="1"/>
  <c r="MD39" i="1"/>
  <c r="MP43" i="1"/>
  <c r="MO49" i="1"/>
  <c r="MP49" i="1"/>
  <c r="MO57" i="1"/>
  <c r="MP57" i="1"/>
  <c r="MJ28" i="1"/>
  <c r="MK28" i="1" s="1"/>
  <c r="MQ28" i="1" s="1"/>
  <c r="MJ53" i="1"/>
  <c r="MK53" i="1" s="1"/>
  <c r="MQ53" i="1" s="1"/>
  <c r="WH49" i="1"/>
  <c r="VF53" i="1"/>
  <c r="VI53" i="1" s="1"/>
  <c r="VV33" i="1"/>
  <c r="MJ35" i="1"/>
  <c r="MK35" i="1" s="1"/>
  <c r="MQ35" i="1" s="1"/>
  <c r="WH41" i="1"/>
  <c r="MJ48" i="1"/>
  <c r="MK48" i="1" s="1"/>
  <c r="MQ48" i="1" s="1"/>
  <c r="VF42" i="1"/>
  <c r="VI42" i="1" s="1"/>
  <c r="VE34" i="1"/>
  <c r="VH34" i="1" s="1"/>
  <c r="US34" i="1" a="1"/>
  <c r="US34" i="1" s="1"/>
  <c r="US33" i="1" a="1"/>
  <c r="US33" i="1" s="1"/>
  <c r="VF33" i="1" s="1"/>
  <c r="VI33" i="1" s="1"/>
  <c r="US48" i="1" a="1"/>
  <c r="US48" i="1" s="1"/>
  <c r="VF48" i="1" s="1"/>
  <c r="VI48" i="1" s="1"/>
  <c r="WH38" i="1"/>
  <c r="VJ43" i="1"/>
  <c r="VV53" i="1"/>
  <c r="VN49" i="1"/>
  <c r="VO49" i="1" s="1"/>
  <c r="VU49" i="1" s="1"/>
  <c r="VL33" i="1"/>
  <c r="VL54" i="1"/>
  <c r="MA28" i="1"/>
  <c r="VL45" i="1"/>
  <c r="VL48" i="1"/>
  <c r="MM45" i="1"/>
  <c r="MM42" i="1"/>
  <c r="VV31" i="1"/>
  <c r="VJ47" i="1"/>
  <c r="VV48" i="1"/>
  <c r="WH29" i="1"/>
  <c r="VN41" i="1"/>
  <c r="VO41" i="1" s="1"/>
  <c r="VU41" i="1" s="1"/>
  <c r="VL32" i="1"/>
  <c r="VX29" i="1"/>
  <c r="VL30" i="1"/>
  <c r="VL35" i="1"/>
  <c r="VL53" i="1"/>
  <c r="VL52" i="1"/>
  <c r="MA37" i="1"/>
  <c r="MA48" i="1"/>
  <c r="MM28" i="1"/>
  <c r="VJ39" i="1"/>
  <c r="VV46" i="1"/>
  <c r="VV55" i="1"/>
  <c r="VV40" i="1"/>
  <c r="VV50" i="1"/>
  <c r="VV54" i="1"/>
  <c r="VN29" i="1"/>
  <c r="VO29" i="1" s="1"/>
  <c r="VU29" i="1" s="1"/>
  <c r="VL31" i="1"/>
  <c r="MM53" i="1"/>
  <c r="VX37" i="1"/>
  <c r="MA54" i="1"/>
  <c r="VN38" i="1"/>
  <c r="VO38" i="1" s="1"/>
  <c r="VU38" i="1" s="1"/>
  <c r="VL55" i="1"/>
  <c r="MM48" i="1"/>
  <c r="MM44" i="1"/>
  <c r="VN37" i="1"/>
  <c r="VO37" i="1" s="1"/>
  <c r="VU37" i="1" s="1"/>
  <c r="VL50" i="1"/>
  <c r="MA49" i="1"/>
  <c r="VL51" i="1"/>
  <c r="VL36" i="1"/>
  <c r="VX41" i="1"/>
  <c r="MM36" i="1"/>
  <c r="WH37" i="1"/>
  <c r="VV45" i="1"/>
  <c r="VV42" i="1"/>
  <c r="VV30" i="1"/>
  <c r="VV52" i="1"/>
  <c r="MJ37" i="1"/>
  <c r="MK37" i="1" s="1"/>
  <c r="MQ37" i="1" s="1"/>
  <c r="VN40" i="1"/>
  <c r="VO40" i="1" s="1"/>
  <c r="VU40" i="1" s="1"/>
  <c r="VL34" i="1"/>
  <c r="VL56" i="1"/>
  <c r="VL57" i="1"/>
  <c r="MA53" i="1"/>
  <c r="MJ54" i="1"/>
  <c r="MK54" i="1" s="1"/>
  <c r="MQ54" i="1" s="1"/>
  <c r="VL46" i="1"/>
  <c r="VL28" i="1"/>
  <c r="VL44" i="1"/>
  <c r="VX38" i="1"/>
  <c r="VL42" i="1"/>
  <c r="VX49" i="1"/>
  <c r="YE50" i="1"/>
  <c r="YC50" i="1"/>
  <c r="YD50" i="1"/>
  <c r="YH50" i="1"/>
  <c r="YH48" i="1"/>
  <c r="YC48" i="1"/>
  <c r="YD48" i="1"/>
  <c r="YE48" i="1"/>
  <c r="US45" i="1" a="1"/>
  <c r="US45" i="1" s="1"/>
  <c r="VF45" i="1" s="1"/>
  <c r="VI45" i="1" s="1"/>
  <c r="VE56" i="1"/>
  <c r="VH56" i="1" s="1"/>
  <c r="US56" i="1" a="1"/>
  <c r="US56" i="1" s="1"/>
  <c r="YD37" i="1"/>
  <c r="YE37" i="1"/>
  <c r="YC37" i="1"/>
  <c r="YH37" i="1"/>
  <c r="VE47" i="1"/>
  <c r="VH47" i="1" s="1"/>
  <c r="US47" i="1" a="1"/>
  <c r="US47" i="1" s="1"/>
  <c r="YE33" i="1"/>
  <c r="YC33" i="1"/>
  <c r="YD33" i="1"/>
  <c r="YH33" i="1"/>
  <c r="YC45" i="1"/>
  <c r="YD45" i="1"/>
  <c r="YH45" i="1"/>
  <c r="YE45" i="1"/>
  <c r="YC29" i="1"/>
  <c r="YD29" i="1"/>
  <c r="YE29" i="1"/>
  <c r="YH29" i="1"/>
  <c r="YE35" i="1"/>
  <c r="YC35" i="1"/>
  <c r="YH35" i="1"/>
  <c r="YD35" i="1"/>
  <c r="YC43" i="1"/>
  <c r="YE43" i="1"/>
  <c r="YD43" i="1"/>
  <c r="YH43" i="1"/>
  <c r="US30" i="1" a="1"/>
  <c r="US30" i="1" s="1"/>
  <c r="VF30" i="1" s="1"/>
  <c r="VI30" i="1" s="1"/>
  <c r="YE34" i="1"/>
  <c r="YD34" i="1"/>
  <c r="YH34" i="1"/>
  <c r="YC34" i="1"/>
  <c r="VE36" i="1"/>
  <c r="VH36" i="1" s="1"/>
  <c r="US36" i="1" a="1"/>
  <c r="US36" i="1" s="1"/>
  <c r="US52" i="1" a="1"/>
  <c r="US52" i="1" s="1"/>
  <c r="VF52" i="1" s="1"/>
  <c r="VI52" i="1" s="1"/>
  <c r="YD32" i="1"/>
  <c r="YE32" i="1"/>
  <c r="YH32" i="1"/>
  <c r="YC32" i="1"/>
  <c r="VS33" i="1"/>
  <c r="VT33" i="1"/>
  <c r="WE33" i="1"/>
  <c r="WF33" i="1"/>
  <c r="VS54" i="1"/>
  <c r="VT54" i="1"/>
  <c r="VT45" i="1"/>
  <c r="VS45" i="1"/>
  <c r="VT48" i="1"/>
  <c r="VS48" i="1"/>
  <c r="VE51" i="1"/>
  <c r="VH51" i="1" s="1"/>
  <c r="US51" i="1" a="1"/>
  <c r="US51" i="1" s="1"/>
  <c r="VE39" i="1"/>
  <c r="VH39" i="1" s="1"/>
  <c r="US39" i="1" a="1"/>
  <c r="US39" i="1" s="1"/>
  <c r="YD46" i="1"/>
  <c r="YE46" i="1"/>
  <c r="YH46" i="1"/>
  <c r="YC46" i="1"/>
  <c r="VE35" i="1"/>
  <c r="VH35" i="1" s="1"/>
  <c r="US35" i="1" a="1"/>
  <c r="US35" i="1" s="1"/>
  <c r="VF46" i="1"/>
  <c r="VI46" i="1" s="1"/>
  <c r="VE28" i="1"/>
  <c r="VH28" i="1" s="1"/>
  <c r="US28" i="1" a="1"/>
  <c r="US28" i="1" s="1"/>
  <c r="VF40" i="1"/>
  <c r="VI40" i="1" s="1"/>
  <c r="VF50" i="1"/>
  <c r="VI50" i="1" s="1"/>
  <c r="YD42" i="1"/>
  <c r="YC42" i="1"/>
  <c r="YH42" i="1"/>
  <c r="YE42" i="1"/>
  <c r="YE44" i="1"/>
  <c r="YD44" i="1"/>
  <c r="YH44" i="1"/>
  <c r="YC44" i="1"/>
  <c r="VT32" i="1"/>
  <c r="VS32" i="1"/>
  <c r="WE29" i="1"/>
  <c r="WF29" i="1"/>
  <c r="VT30" i="1"/>
  <c r="VS30" i="1"/>
  <c r="VS35" i="1"/>
  <c r="VT35" i="1"/>
  <c r="VT53" i="1"/>
  <c r="VS53" i="1"/>
  <c r="VS52" i="1"/>
  <c r="VT52" i="1"/>
  <c r="WR49" i="1"/>
  <c r="WQ49" i="1"/>
  <c r="YD30" i="1"/>
  <c r="YH30" i="1"/>
  <c r="YE30" i="1"/>
  <c r="YC30" i="1"/>
  <c r="VE32" i="1"/>
  <c r="VH32" i="1" s="1"/>
  <c r="US32" i="1" a="1"/>
  <c r="US32" i="1" s="1"/>
  <c r="VE44" i="1"/>
  <c r="VH44" i="1" s="1"/>
  <c r="US44" i="1" a="1"/>
  <c r="US44" i="1" s="1"/>
  <c r="YH54" i="1"/>
  <c r="YC54" i="1"/>
  <c r="YE54" i="1"/>
  <c r="YD54" i="1"/>
  <c r="YC51" i="1"/>
  <c r="YH51" i="1"/>
  <c r="YE51" i="1"/>
  <c r="YD51" i="1"/>
  <c r="YH38" i="1"/>
  <c r="YC38" i="1"/>
  <c r="YE38" i="1"/>
  <c r="YD38" i="1"/>
  <c r="US55" i="1" a="1"/>
  <c r="US55" i="1" s="1"/>
  <c r="VF55" i="1" s="1"/>
  <c r="VI55" i="1" s="1"/>
  <c r="VS31" i="1"/>
  <c r="VT31" i="1"/>
  <c r="WE37" i="1"/>
  <c r="WF37" i="1"/>
  <c r="VT55" i="1"/>
  <c r="VS55" i="1"/>
  <c r="VT50" i="1"/>
  <c r="VS50" i="1"/>
  <c r="VT51" i="1"/>
  <c r="VS51" i="1"/>
  <c r="VT36" i="1"/>
  <c r="VS36" i="1"/>
  <c r="WE41" i="1"/>
  <c r="WF41" i="1"/>
  <c r="YC56" i="1"/>
  <c r="YH56" i="1"/>
  <c r="YE56" i="1"/>
  <c r="YD56" i="1"/>
  <c r="VE57" i="1"/>
  <c r="VH57" i="1" s="1"/>
  <c r="US57" i="1" a="1"/>
  <c r="US57" i="1" s="1"/>
  <c r="YM57" i="1"/>
  <c r="YQ57" i="1" s="1"/>
  <c r="YH57" i="1"/>
  <c r="YD57" i="1"/>
  <c r="YE57" i="1"/>
  <c r="YC57" i="1"/>
  <c r="US31" i="1" a="1"/>
  <c r="US31" i="1" s="1"/>
  <c r="VF31" i="1" s="1"/>
  <c r="VI31" i="1" s="1"/>
  <c r="YC40" i="1"/>
  <c r="YE40" i="1"/>
  <c r="YD40" i="1"/>
  <c r="YH40" i="1"/>
  <c r="YC47" i="1"/>
  <c r="YH47" i="1"/>
  <c r="YE47" i="1"/>
  <c r="YD47" i="1"/>
  <c r="YE49" i="1"/>
  <c r="YH49" i="1"/>
  <c r="YD49" i="1"/>
  <c r="YC49" i="1"/>
  <c r="VE43" i="1"/>
  <c r="VH43" i="1" s="1"/>
  <c r="US43" i="1" a="1"/>
  <c r="US43" i="1" s="1"/>
  <c r="YC53" i="1"/>
  <c r="YE53" i="1"/>
  <c r="YD53" i="1"/>
  <c r="YH53" i="1"/>
  <c r="YH39" i="1"/>
  <c r="YD39" i="1"/>
  <c r="YE39" i="1"/>
  <c r="YC39" i="1"/>
  <c r="YC52" i="1"/>
  <c r="YE52" i="1"/>
  <c r="YD52" i="1"/>
  <c r="YH52" i="1"/>
  <c r="US54" i="1" a="1"/>
  <c r="US54" i="1" s="1"/>
  <c r="VF54" i="1" s="1"/>
  <c r="VI54" i="1" s="1"/>
  <c r="VS34" i="1"/>
  <c r="VT34" i="1"/>
  <c r="VS56" i="1"/>
  <c r="VT56" i="1"/>
  <c r="VT57" i="1"/>
  <c r="VS57" i="1"/>
  <c r="VS46" i="1"/>
  <c r="VT46" i="1"/>
  <c r="VS28" i="1"/>
  <c r="N52" i="21" s="1" a="1"/>
  <c r="N52" i="21" s="1"/>
  <c r="VT28" i="1"/>
  <c r="O52" i="21" s="1" a="1"/>
  <c r="O52" i="21" s="1"/>
  <c r="VT44" i="1"/>
  <c r="VS44" i="1"/>
  <c r="WF38" i="1"/>
  <c r="WE38" i="1"/>
  <c r="VS42" i="1"/>
  <c r="VT42" i="1"/>
  <c r="WF49" i="1"/>
  <c r="WE49" i="1"/>
  <c r="WR41" i="1"/>
  <c r="WQ41" i="1"/>
  <c r="RE31" i="1" a="1"/>
  <c r="RE37" i="1" a="1"/>
  <c r="MA56" i="1" a="1"/>
  <c r="OF34" i="1"/>
  <c r="LX41" i="1" a="1"/>
  <c r="RJ44" i="1"/>
  <c r="RJ33" i="1"/>
  <c r="LP52" i="1"/>
  <c r="OF44" i="1"/>
  <c r="MJ34" i="1" a="1"/>
  <c r="MA34" i="1" a="1"/>
  <c r="RJ54" i="1"/>
  <c r="LX38" i="1" a="1"/>
  <c r="OF38" i="1"/>
  <c r="OF36" i="1"/>
  <c r="LP43" i="1"/>
  <c r="RJ41" i="1"/>
  <c r="MA57" i="1" a="1"/>
  <c r="RE52" i="1" a="1"/>
  <c r="OF32" i="1"/>
  <c r="LX29" i="1" a="1"/>
  <c r="LX43" i="1" a="1"/>
  <c r="LP57" i="1"/>
  <c r="MJ47" i="1" a="1"/>
  <c r="RJ57" i="1"/>
  <c r="LX55" i="1" a="1"/>
  <c r="RE40" i="1" a="1"/>
  <c r="OF56" i="1"/>
  <c r="OF55" i="1"/>
  <c r="RJ45" i="1"/>
  <c r="MN30" i="1"/>
  <c r="MJ52" i="1" a="1"/>
  <c r="RJ34" i="1"/>
  <c r="MJ57" i="1" a="1"/>
  <c r="LU41" i="1"/>
  <c r="LW51" i="1"/>
  <c r="LZ52" i="1"/>
  <c r="ML46" i="1"/>
  <c r="LZ38" i="1"/>
  <c r="ML56" i="1"/>
  <c r="LW46" i="1"/>
  <c r="LU29" i="1"/>
  <c r="LW43" i="1"/>
  <c r="LZ40" i="1"/>
  <c r="LW40" i="1"/>
  <c r="MI47" i="1"/>
  <c r="LW33" i="1"/>
  <c r="LZ55" i="1"/>
  <c r="LZ50" i="1"/>
  <c r="LW39" i="1"/>
  <c r="MG43" i="1"/>
  <c r="MI49" i="1"/>
  <c r="MI57" i="1"/>
  <c r="OQ53" i="1"/>
  <c r="VX33" i="1" a="1"/>
  <c r="OQ48" i="1"/>
  <c r="MM33" i="1" a="1"/>
  <c r="VX31" i="1" a="1"/>
  <c r="VN52" i="1" a="1"/>
  <c r="VN36" i="1" a="1"/>
  <c r="OQ54" i="1"/>
  <c r="VY33" i="1"/>
  <c r="VV51" i="1" a="1"/>
  <c r="VP30" i="1"/>
  <c r="WK49" i="1"/>
  <c r="VW37" i="1"/>
  <c r="VK57" i="1"/>
  <c r="WB37" i="1"/>
  <c r="VV43" i="1" a="1"/>
  <c r="VX53" i="1" a="1"/>
  <c r="VQ29" i="1" a="1"/>
  <c r="MB54" i="1"/>
  <c r="VX42" i="1" a="1"/>
  <c r="VN46" i="1" a="1"/>
  <c r="VK33" i="1"/>
  <c r="VM32" i="1"/>
  <c r="WH54" i="1" a="1"/>
  <c r="MM41" i="1" a="1"/>
  <c r="VQ41" i="1" a="1"/>
  <c r="VL39" i="1" a="1"/>
  <c r="MN44" i="1"/>
  <c r="VV39" i="1" a="1"/>
  <c r="VN33" i="1" a="1"/>
  <c r="VZ38" i="1" a="1"/>
  <c r="VK48" i="1"/>
  <c r="VK50" i="1"/>
  <c r="VK28" i="1"/>
  <c r="VM28" i="1"/>
  <c r="VP42" i="1"/>
  <c r="VV32" i="1" a="1"/>
  <c r="MN48" i="1"/>
  <c r="VN57" i="1" a="1"/>
  <c r="WH46" i="1" a="1"/>
  <c r="VP28" i="1"/>
  <c r="VN55" i="1" a="1"/>
  <c r="VN34" i="1" a="1"/>
  <c r="VP54" i="1"/>
  <c r="WH40" i="1" a="1"/>
  <c r="WN41" i="1"/>
  <c r="VM46" i="1"/>
  <c r="VN44" i="1" a="1"/>
  <c r="WH55" i="1" a="1"/>
  <c r="VV36" i="1" a="1"/>
  <c r="WI41" i="1"/>
  <c r="RE54" i="1" a="1"/>
  <c r="RE44" i="1" a="1"/>
  <c r="RE29" i="1" a="1"/>
  <c r="RJ38" i="1"/>
  <c r="LX51" i="1" a="1"/>
  <c r="OF48" i="1"/>
  <c r="RJ40" i="1"/>
  <c r="OF47" i="1"/>
  <c r="OF42" i="1"/>
  <c r="RJ55" i="1"/>
  <c r="MH39" i="1" a="1"/>
  <c r="OF30" i="1"/>
  <c r="OF52" i="1"/>
  <c r="OF35" i="1"/>
  <c r="MJ51" i="1" a="1"/>
  <c r="OF41" i="1"/>
  <c r="RJ49" i="1"/>
  <c r="RE48" i="1" a="1"/>
  <c r="RE57" i="1" a="1"/>
  <c r="OF37" i="1"/>
  <c r="OF57" i="1"/>
  <c r="RJ50" i="1"/>
  <c r="MJ38" i="1" a="1"/>
  <c r="LP55" i="1"/>
  <c r="LP47" i="1"/>
  <c r="RE45" i="1" a="1"/>
  <c r="RE34" i="1" a="1"/>
  <c r="OF43" i="1"/>
  <c r="LX39" i="1" a="1"/>
  <c r="OF50" i="1"/>
  <c r="MJ41" i="1" a="1"/>
  <c r="LP30" i="1"/>
  <c r="MJ49" i="1" a="1"/>
  <c r="RJ29" i="1"/>
  <c r="LZ51" i="1"/>
  <c r="LU52" i="1"/>
  <c r="LW52" i="1"/>
  <c r="MI34" i="1"/>
  <c r="MG46" i="1"/>
  <c r="LU38" i="1"/>
  <c r="MI51" i="1"/>
  <c r="LZ46" i="1"/>
  <c r="LW29" i="1"/>
  <c r="MG47" i="1"/>
  <c r="MG55" i="1"/>
  <c r="LU33" i="1"/>
  <c r="LU55" i="1"/>
  <c r="LW50" i="1"/>
  <c r="LZ39" i="1"/>
  <c r="ML43" i="1"/>
  <c r="MG49" i="1"/>
  <c r="ML57" i="1"/>
  <c r="WJ49" i="1" a="1"/>
  <c r="WJ41" i="1" a="1"/>
  <c r="WH48" i="1" a="1"/>
  <c r="MB28" i="1"/>
  <c r="VX48" i="1" a="1"/>
  <c r="MB37" i="1"/>
  <c r="VZ37" i="1" a="1"/>
  <c r="VX45" i="1" a="1"/>
  <c r="VN42" i="1" a="1"/>
  <c r="VK54" i="1"/>
  <c r="VV35" i="1" a="1"/>
  <c r="VM55" i="1"/>
  <c r="VK55" i="1"/>
  <c r="VN54" i="1" a="1"/>
  <c r="WH30" i="1" a="1"/>
  <c r="VN45" i="1" a="1"/>
  <c r="MN28" i="1"/>
  <c r="VP56" i="1"/>
  <c r="VV34" i="1" a="1"/>
  <c r="VQ40" i="1" a="1"/>
  <c r="VX46" i="1" a="1"/>
  <c r="MM52" i="1" a="1"/>
  <c r="WH45" i="1" a="1"/>
  <c r="VM34" i="1"/>
  <c r="VQ37" i="1" a="1"/>
  <c r="MB53" i="1"/>
  <c r="VY41" i="1"/>
  <c r="RE38" i="1" a="1"/>
  <c r="RE30" i="1" a="1"/>
  <c r="OF45" i="1"/>
  <c r="MJ40" i="1" a="1"/>
  <c r="LP34" i="1"/>
  <c r="MN35" i="1"/>
  <c r="OF51" i="1"/>
  <c r="OF31" i="1"/>
  <c r="H39" i="21" a="1"/>
  <c r="RE33" i="1" a="1"/>
  <c r="MJ33" i="1" a="1"/>
  <c r="MJ46" i="1" a="1"/>
  <c r="OF54" i="1"/>
  <c r="LP38" i="1"/>
  <c r="RJ52" i="1"/>
  <c r="LP56" i="1"/>
  <c r="MA47" i="1" a="1"/>
  <c r="RE49" i="1" a="1"/>
  <c r="LP46" i="1"/>
  <c r="RF56" i="1"/>
  <c r="RJ39" i="1"/>
  <c r="OF33" i="1"/>
  <c r="MJ55" i="1" a="1"/>
  <c r="OF46" i="1"/>
  <c r="RE50" i="1" a="1"/>
  <c r="RE41" i="1" a="1"/>
  <c r="LP31" i="1"/>
  <c r="RJ48" i="1"/>
  <c r="LP50" i="1"/>
  <c r="RJ32" i="1"/>
  <c r="OF53" i="1"/>
  <c r="FR31" i="1"/>
  <c r="LP37" i="1"/>
  <c r="LW41" i="1"/>
  <c r="LU51" i="1"/>
  <c r="MG34" i="1"/>
  <c r="MI46" i="1"/>
  <c r="ML51" i="1"/>
  <c r="MG56" i="1"/>
  <c r="LZ29" i="1"/>
  <c r="ML47" i="1"/>
  <c r="MI55" i="1"/>
  <c r="ML55" i="1"/>
  <c r="LW55" i="1"/>
  <c r="LU50" i="1"/>
  <c r="LU39" i="1"/>
  <c r="ML49" i="1"/>
  <c r="WH42" i="1" a="1"/>
  <c r="VN48" i="1" a="1"/>
  <c r="VV47" i="1" a="1"/>
  <c r="VK45" i="1"/>
  <c r="WH50" i="1" a="1"/>
  <c r="VP50" i="1"/>
  <c r="WB49" i="1"/>
  <c r="VP36" i="1"/>
  <c r="MM54" i="1" a="1"/>
  <c r="VN32" i="1" a="1"/>
  <c r="VN50" i="1" a="1"/>
  <c r="WB29" i="1"/>
  <c r="VN53" i="1" a="1"/>
  <c r="MN36" i="1"/>
  <c r="VN30" i="1" a="1"/>
  <c r="VN51" i="1" a="1"/>
  <c r="VK52" i="1"/>
  <c r="VK51" i="1"/>
  <c r="VM42" i="1"/>
  <c r="VM44" i="1"/>
  <c r="MH29" i="1" a="1"/>
  <c r="RE32" i="1" a="1"/>
  <c r="RJ31" i="1"/>
  <c r="LP40" i="1"/>
  <c r="LX52" i="1" a="1"/>
  <c r="RF43" i="1"/>
  <c r="OF40" i="1"/>
  <c r="MA31" i="1" a="1"/>
  <c r="MH50" i="1" a="1"/>
  <c r="OF28" i="1"/>
  <c r="RF42" i="1"/>
  <c r="RJ37" i="1"/>
  <c r="OF39" i="1"/>
  <c r="MJ56" i="1" a="1"/>
  <c r="LX46" i="1" a="1"/>
  <c r="MM31" i="1" a="1"/>
  <c r="RE55" i="1" a="1"/>
  <c r="RF35" i="1"/>
  <c r="LP49" i="1"/>
  <c r="LX40" i="1" a="1"/>
  <c r="OF49" i="1"/>
  <c r="LX33" i="1" a="1"/>
  <c r="LP51" i="1"/>
  <c r="RE39" i="1" a="1"/>
  <c r="LX50" i="1" a="1"/>
  <c r="MB30" i="1"/>
  <c r="RJ30" i="1"/>
  <c r="MJ43" i="1" a="1"/>
  <c r="LP39" i="1"/>
  <c r="OF29" i="1"/>
  <c r="LZ41" i="1"/>
  <c r="ML34" i="1"/>
  <c r="LW38" i="1"/>
  <c r="MG51" i="1"/>
  <c r="MI56" i="1"/>
  <c r="LU46" i="1"/>
  <c r="LZ43" i="1"/>
  <c r="LU43" i="1"/>
  <c r="LU40" i="1"/>
  <c r="OQ30" i="1"/>
  <c r="LZ33" i="1"/>
  <c r="MI43" i="1"/>
  <c r="MG57" i="1"/>
  <c r="OQ28" i="1"/>
  <c r="WH53" i="1" a="1"/>
  <c r="OQ35" i="1"/>
  <c r="WH33" i="1" a="1"/>
  <c r="VQ49" i="1" a="1"/>
  <c r="VN35" i="1" a="1"/>
  <c r="VX40" i="1" a="1"/>
  <c r="VN56" i="1" a="1"/>
  <c r="VM33" i="1"/>
  <c r="VM48" i="1"/>
  <c r="VW29" i="1"/>
  <c r="VM52" i="1"/>
  <c r="VP31" i="1"/>
  <c r="VM36" i="1"/>
  <c r="VM31" i="1"/>
  <c r="WH31" i="1" a="1"/>
  <c r="WJ38" i="1" a="1"/>
  <c r="VN31" i="1" a="1"/>
  <c r="VZ41" i="1" a="1"/>
  <c r="WH52" i="1" a="1"/>
  <c r="VP48" i="1"/>
  <c r="WI49" i="1"/>
  <c r="WK41" i="1"/>
  <c r="MN42" i="1"/>
  <c r="MB48" i="1"/>
  <c r="MN53" i="1"/>
  <c r="VQ38" i="1" a="1"/>
  <c r="VZ49" i="1" a="1"/>
  <c r="VM54" i="1"/>
  <c r="VM53" i="1"/>
  <c r="VY37" i="1"/>
  <c r="VK36" i="1"/>
  <c r="VK56" i="1"/>
  <c r="VL43" i="1" a="1"/>
  <c r="MM37" i="1" a="1"/>
  <c r="VX55" i="1" a="1"/>
  <c r="WJ37" i="1" a="1"/>
  <c r="VN28" i="1" a="1"/>
  <c r="VP33" i="1"/>
  <c r="VP45" i="1"/>
  <c r="VY29" i="1"/>
  <c r="VK31" i="1"/>
  <c r="VW41" i="1"/>
  <c r="VK42" i="1"/>
  <c r="VP46" i="1"/>
  <c r="VV28" i="1" a="1"/>
  <c r="VP34" i="1"/>
  <c r="VW38" i="1"/>
  <c r="VX52" i="1" a="1"/>
  <c r="VV56" i="1" a="1"/>
  <c r="VP52" i="1"/>
  <c r="VP55" i="1"/>
  <c r="WB41" i="1"/>
  <c r="VP57" i="1"/>
  <c r="VL47" i="1" a="1"/>
  <c r="VX30" i="1" a="1"/>
  <c r="WB33" i="1"/>
  <c r="VK30" i="1"/>
  <c r="VW49" i="1"/>
  <c r="VP35" i="1"/>
  <c r="VM56" i="1"/>
  <c r="VK35" i="1"/>
  <c r="VK46" i="1"/>
  <c r="VY38" i="1"/>
  <c r="WJ29" i="1" a="1"/>
  <c r="MM40" i="1" a="1"/>
  <c r="MM38" i="1" a="1"/>
  <c r="VK32" i="1"/>
  <c r="VP44" i="1"/>
  <c r="VZ29" i="1" a="1"/>
  <c r="MB49" i="1"/>
  <c r="WN49" i="1"/>
  <c r="VM50" i="1"/>
  <c r="VV57" i="1" a="1"/>
  <c r="VM30" i="1"/>
  <c r="VP51" i="1"/>
  <c r="WB38" i="1"/>
  <c r="VK44" i="1"/>
  <c r="VK53" i="1"/>
  <c r="VY49" i="1"/>
  <c r="VP53" i="1"/>
  <c r="VV44" i="1" a="1"/>
  <c r="VX50" i="1" a="1"/>
  <c r="VM45" i="1"/>
  <c r="VX54" i="1" a="1"/>
  <c r="VW33" i="1"/>
  <c r="VM35" i="1"/>
  <c r="VM51" i="1"/>
  <c r="MN45" i="1"/>
  <c r="VP32" i="1"/>
  <c r="VM57" i="1"/>
  <c r="VK34" i="1"/>
  <c r="OQ37" i="1"/>
  <c r="MJ43" i="1" l="1"/>
  <c r="MK43" i="1" s="1"/>
  <c r="MQ43" i="1" s="1"/>
  <c r="LX50" i="1"/>
  <c r="LY50" i="1" s="1"/>
  <c r="ME50" i="1" s="1"/>
  <c r="RE39" i="1"/>
  <c r="LX33" i="1"/>
  <c r="LY33" i="1" s="1"/>
  <c r="ME33" i="1" s="1"/>
  <c r="LX40" i="1"/>
  <c r="LY40" i="1" s="1"/>
  <c r="ME40" i="1" s="1"/>
  <c r="RE55" i="1"/>
  <c r="MM31" i="1"/>
  <c r="LX46" i="1"/>
  <c r="LY46" i="1" s="1"/>
  <c r="ME46" i="1" s="1"/>
  <c r="MJ56" i="1"/>
  <c r="MK56" i="1" s="1"/>
  <c r="MQ56" i="1" s="1"/>
  <c r="MH50" i="1"/>
  <c r="MA31" i="1"/>
  <c r="LX52" i="1"/>
  <c r="LY52" i="1" s="1"/>
  <c r="ME52" i="1" s="1"/>
  <c r="RE32" i="1"/>
  <c r="MH29" i="1"/>
  <c r="RE41" i="1"/>
  <c r="RE50" i="1"/>
  <c r="MJ55" i="1"/>
  <c r="MK55" i="1" s="1"/>
  <c r="MQ55" i="1" s="1"/>
  <c r="RE49" i="1"/>
  <c r="MA47" i="1"/>
  <c r="MJ46" i="1"/>
  <c r="MK46" i="1" s="1"/>
  <c r="MQ46" i="1" s="1"/>
  <c r="MJ33" i="1"/>
  <c r="MK33" i="1" s="1"/>
  <c r="MQ33" i="1" s="1"/>
  <c r="RE33" i="1"/>
  <c r="H39" i="21"/>
  <c r="MJ40" i="1"/>
  <c r="MK40" i="1" s="1"/>
  <c r="MQ40" i="1" s="1"/>
  <c r="RE30" i="1"/>
  <c r="RE38" i="1"/>
  <c r="MJ49" i="1"/>
  <c r="MK49" i="1" s="1"/>
  <c r="MQ49" i="1" s="1"/>
  <c r="MJ41" i="1"/>
  <c r="MK41" i="1" s="1"/>
  <c r="MQ41" i="1" s="1"/>
  <c r="LX39" i="1"/>
  <c r="LY39" i="1" s="1"/>
  <c r="ME39" i="1" s="1"/>
  <c r="RE34" i="1"/>
  <c r="RE45" i="1"/>
  <c r="MJ38" i="1"/>
  <c r="MK38" i="1" s="1"/>
  <c r="MQ38" i="1" s="1"/>
  <c r="RE57" i="1"/>
  <c r="RE48" i="1"/>
  <c r="MJ51" i="1"/>
  <c r="MK51" i="1" s="1"/>
  <c r="MQ51" i="1" s="1"/>
  <c r="MH39" i="1"/>
  <c r="LX51" i="1"/>
  <c r="LY51" i="1" s="1"/>
  <c r="ME51" i="1" s="1"/>
  <c r="RE29" i="1"/>
  <c r="RE44" i="1"/>
  <c r="RE54" i="1"/>
  <c r="MJ57" i="1"/>
  <c r="MK57" i="1" s="1"/>
  <c r="MQ57" i="1" s="1"/>
  <c r="MJ52" i="1"/>
  <c r="MK52" i="1" s="1"/>
  <c r="MQ52" i="1" s="1"/>
  <c r="RE40" i="1"/>
  <c r="LX55" i="1"/>
  <c r="LY55" i="1" s="1"/>
  <c r="ME55" i="1" s="1"/>
  <c r="MJ47" i="1"/>
  <c r="MK47" i="1" s="1"/>
  <c r="MQ47" i="1" s="1"/>
  <c r="LX43" i="1"/>
  <c r="LY43" i="1" s="1"/>
  <c r="ME43" i="1" s="1"/>
  <c r="LX29" i="1"/>
  <c r="LY29" i="1" s="1"/>
  <c r="ME29" i="1" s="1"/>
  <c r="RE52" i="1"/>
  <c r="MA57" i="1"/>
  <c r="LX38" i="1"/>
  <c r="LY38" i="1" s="1"/>
  <c r="ME38" i="1" s="1"/>
  <c r="MA34" i="1"/>
  <c r="MJ34" i="1"/>
  <c r="MK34" i="1" s="1"/>
  <c r="MQ34" i="1" s="1"/>
  <c r="LX41" i="1"/>
  <c r="LY41" i="1" s="1"/>
  <c r="ME41" i="1" s="1"/>
  <c r="MA56" i="1"/>
  <c r="RE37" i="1"/>
  <c r="RE31" i="1"/>
  <c r="YI31" i="1"/>
  <c r="YD31" i="1"/>
  <c r="YF31" i="1" s="1"/>
  <c r="YL31" i="1" s="1"/>
  <c r="ZD31" i="1" s="1"/>
  <c r="YC31" i="1"/>
  <c r="YE31" i="1"/>
  <c r="MP50" i="1"/>
  <c r="MO50" i="1"/>
  <c r="MP29" i="1"/>
  <c r="MO29" i="1"/>
  <c r="YI41" i="1"/>
  <c r="YE41" i="1"/>
  <c r="YD41" i="1"/>
  <c r="YF41" i="1" s="1"/>
  <c r="YC41" i="1"/>
  <c r="YI55" i="1"/>
  <c r="YC55" i="1"/>
  <c r="YD55" i="1"/>
  <c r="YF55" i="1" s="1"/>
  <c r="YE55" i="1"/>
  <c r="MO39" i="1"/>
  <c r="MP39" i="1"/>
  <c r="YI36" i="1"/>
  <c r="YE36" i="1"/>
  <c r="YD36" i="1"/>
  <c r="YF36" i="1" s="1"/>
  <c r="YC36" i="1"/>
  <c r="YI28" i="1"/>
  <c r="YE28" i="1"/>
  <c r="YD28" i="1"/>
  <c r="YC28" i="1"/>
  <c r="VF36" i="1"/>
  <c r="VI36" i="1" s="1"/>
  <c r="YF47" i="1"/>
  <c r="YL47" i="1" s="1"/>
  <c r="ZD47" i="1" s="1"/>
  <c r="YF56" i="1"/>
  <c r="YL56" i="1" s="1"/>
  <c r="ZD56" i="1" s="1"/>
  <c r="VF34" i="1"/>
  <c r="VI34" i="1" s="1"/>
  <c r="YF57" i="1"/>
  <c r="YG57" i="1" s="1"/>
  <c r="YF35" i="1"/>
  <c r="YL35" i="1" s="1"/>
  <c r="ZD35" i="1" s="1"/>
  <c r="YF38" i="1"/>
  <c r="YL38" i="1" s="1"/>
  <c r="ZD38" i="1" s="1"/>
  <c r="YF51" i="1"/>
  <c r="YG51" i="1" s="1"/>
  <c r="YF54" i="1"/>
  <c r="YG54" i="1" s="1"/>
  <c r="VF44" i="1"/>
  <c r="VI44" i="1" s="1"/>
  <c r="VF32" i="1"/>
  <c r="VI32" i="1" s="1"/>
  <c r="YF53" i="1"/>
  <c r="YG53" i="1" s="1"/>
  <c r="Q34" i="21" a="1"/>
  <c r="Q34" i="21" s="1"/>
  <c r="WH53" i="1"/>
  <c r="WR53" i="1" s="1"/>
  <c r="WJ49" i="1"/>
  <c r="YF39" i="1"/>
  <c r="YL39" i="1" s="1"/>
  <c r="ZD39" i="1" s="1"/>
  <c r="YF34" i="1"/>
  <c r="YG34" i="1" s="1"/>
  <c r="YF43" i="1"/>
  <c r="YG43" i="1" s="1"/>
  <c r="WH48" i="1"/>
  <c r="WQ48" i="1" s="1"/>
  <c r="WH33" i="1"/>
  <c r="WH42" i="1"/>
  <c r="WQ42" i="1" s="1"/>
  <c r="WJ41" i="1"/>
  <c r="VV34" i="1"/>
  <c r="VX33" i="1"/>
  <c r="YF42" i="1"/>
  <c r="YL42" i="1" s="1"/>
  <c r="ZD42" i="1" s="1"/>
  <c r="VF35" i="1"/>
  <c r="VI35" i="1" s="1"/>
  <c r="VF51" i="1"/>
  <c r="VI51" i="1" s="1"/>
  <c r="VF47" i="1"/>
  <c r="VI47" i="1" s="1"/>
  <c r="YF40" i="1"/>
  <c r="YL40" i="1" s="1"/>
  <c r="ZD40" i="1" s="1"/>
  <c r="YF32" i="1"/>
  <c r="YL32" i="1" s="1"/>
  <c r="ZD32" i="1" s="1"/>
  <c r="VV28" i="1"/>
  <c r="WH40" i="1"/>
  <c r="VV36" i="1"/>
  <c r="VZ38" i="1"/>
  <c r="WA38" i="1" s="1"/>
  <c r="WG38" i="1" s="1"/>
  <c r="VN28" i="1"/>
  <c r="VO28" i="1" s="1"/>
  <c r="VU28" i="1" s="1"/>
  <c r="VN34" i="1"/>
  <c r="VO34" i="1" s="1"/>
  <c r="VU34" i="1" s="1"/>
  <c r="VX30" i="1"/>
  <c r="WJ37" i="1"/>
  <c r="VN51" i="1"/>
  <c r="VO51" i="1" s="1"/>
  <c r="VU51" i="1" s="1"/>
  <c r="VN55" i="1"/>
  <c r="VO55" i="1" s="1"/>
  <c r="VU55" i="1" s="1"/>
  <c r="VX55" i="1"/>
  <c r="VQ37" i="1"/>
  <c r="VN30" i="1"/>
  <c r="VO30" i="1" s="1"/>
  <c r="VU30" i="1" s="1"/>
  <c r="VL47" i="1"/>
  <c r="MM37" i="1"/>
  <c r="VN45" i="1"/>
  <c r="VO45" i="1" s="1"/>
  <c r="VU45" i="1" s="1"/>
  <c r="VN33" i="1"/>
  <c r="VO33" i="1" s="1"/>
  <c r="VU33" i="1" s="1"/>
  <c r="VL43" i="1"/>
  <c r="VV57" i="1"/>
  <c r="WH55" i="1"/>
  <c r="WH46" i="1"/>
  <c r="VV39" i="1"/>
  <c r="WH30" i="1"/>
  <c r="VV56" i="1"/>
  <c r="VZ49" i="1"/>
  <c r="WA49" i="1" s="1"/>
  <c r="WG49" i="1" s="1"/>
  <c r="VN44" i="1"/>
  <c r="VO44" i="1" s="1"/>
  <c r="VU44" i="1" s="1"/>
  <c r="VN57" i="1"/>
  <c r="VO57" i="1" s="1"/>
  <c r="VU57" i="1" s="1"/>
  <c r="VX52" i="1"/>
  <c r="VQ38" i="1"/>
  <c r="VX54" i="1"/>
  <c r="VL39" i="1"/>
  <c r="VN53" i="1"/>
  <c r="VO53" i="1" s="1"/>
  <c r="VU53" i="1" s="1"/>
  <c r="VZ29" i="1"/>
  <c r="WA29" i="1" s="1"/>
  <c r="WG29" i="1" s="1"/>
  <c r="VQ41" i="1"/>
  <c r="MM41" i="1"/>
  <c r="WH54" i="1"/>
  <c r="WH52" i="1"/>
  <c r="WH45" i="1"/>
  <c r="VN46" i="1"/>
  <c r="VO46" i="1" s="1"/>
  <c r="VU46" i="1" s="1"/>
  <c r="MM38" i="1"/>
  <c r="VX42" i="1"/>
  <c r="VZ41" i="1"/>
  <c r="WA41" i="1" s="1"/>
  <c r="WG41" i="1" s="1"/>
  <c r="VN50" i="1"/>
  <c r="VO50" i="1" s="1"/>
  <c r="VU50" i="1" s="1"/>
  <c r="VN31" i="1"/>
  <c r="VO31" i="1" s="1"/>
  <c r="VU31" i="1" s="1"/>
  <c r="VX50" i="1"/>
  <c r="MM40" i="1"/>
  <c r="VN32" i="1"/>
  <c r="VO32" i="1" s="1"/>
  <c r="VU32" i="1" s="1"/>
  <c r="WJ29" i="1"/>
  <c r="VQ29" i="1"/>
  <c r="VN54" i="1"/>
  <c r="VO54" i="1" s="1"/>
  <c r="VU54" i="1" s="1"/>
  <c r="VX53" i="1"/>
  <c r="WJ38" i="1"/>
  <c r="MM54" i="1"/>
  <c r="VV43" i="1"/>
  <c r="WH31" i="1"/>
  <c r="VV44" i="1"/>
  <c r="VV32" i="1"/>
  <c r="WH50" i="1"/>
  <c r="VV35" i="1"/>
  <c r="VV51" i="1"/>
  <c r="VV47" i="1"/>
  <c r="VN42" i="1"/>
  <c r="VO42" i="1" s="1"/>
  <c r="VU42" i="1" s="1"/>
  <c r="VN56" i="1"/>
  <c r="VO56" i="1" s="1"/>
  <c r="VU56" i="1" s="1"/>
  <c r="MM52" i="1"/>
  <c r="VX45" i="1"/>
  <c r="VN36" i="1"/>
  <c r="VO36" i="1" s="1"/>
  <c r="VU36" i="1" s="1"/>
  <c r="VZ37" i="1"/>
  <c r="WA37" i="1" s="1"/>
  <c r="WG37" i="1" s="1"/>
  <c r="VX40" i="1"/>
  <c r="VX46" i="1"/>
  <c r="VN52" i="1"/>
  <c r="VO52" i="1" s="1"/>
  <c r="VU52" i="1" s="1"/>
  <c r="VN35" i="1"/>
  <c r="VO35" i="1" s="1"/>
  <c r="VU35" i="1" s="1"/>
  <c r="VX48" i="1"/>
  <c r="VX31" i="1"/>
  <c r="VN48" i="1"/>
  <c r="VO48" i="1" s="1"/>
  <c r="VU48" i="1" s="1"/>
  <c r="MM33" i="1"/>
  <c r="VQ49" i="1"/>
  <c r="VQ40" i="1"/>
  <c r="YG55" i="1"/>
  <c r="YL55" i="1"/>
  <c r="ZD55" i="1" s="1"/>
  <c r="YF49" i="1"/>
  <c r="YF52" i="1"/>
  <c r="VF43" i="1"/>
  <c r="VI43" i="1" s="1"/>
  <c r="VF57" i="1"/>
  <c r="VI57" i="1" s="1"/>
  <c r="YG36" i="1"/>
  <c r="YL36" i="1"/>
  <c r="ZD36" i="1" s="1"/>
  <c r="VF39" i="1"/>
  <c r="VI39" i="1" s="1"/>
  <c r="YF29" i="1"/>
  <c r="YF45" i="1"/>
  <c r="VF56" i="1"/>
  <c r="VI56" i="1" s="1"/>
  <c r="YF48" i="1"/>
  <c r="YF50" i="1"/>
  <c r="WF30" i="1"/>
  <c r="WE30" i="1"/>
  <c r="WQ37" i="1"/>
  <c r="WR37" i="1"/>
  <c r="WE55" i="1"/>
  <c r="WF55" i="1"/>
  <c r="VS47" i="1"/>
  <c r="VT47" i="1"/>
  <c r="VT43" i="1"/>
  <c r="VS43" i="1"/>
  <c r="YF44" i="1"/>
  <c r="VF28" i="1"/>
  <c r="VI28" i="1" s="1"/>
  <c r="WF52" i="1"/>
  <c r="WE52" i="1"/>
  <c r="WE54" i="1"/>
  <c r="WF54" i="1"/>
  <c r="VS39" i="1"/>
  <c r="VT39" i="1"/>
  <c r="YG56" i="1"/>
  <c r="YG35" i="1"/>
  <c r="WE42" i="1"/>
  <c r="WF42" i="1"/>
  <c r="WF50" i="1"/>
  <c r="WE50" i="1"/>
  <c r="WR29" i="1"/>
  <c r="WQ29" i="1"/>
  <c r="WF53" i="1"/>
  <c r="WE53" i="1"/>
  <c r="WR38" i="1"/>
  <c r="WQ38" i="1"/>
  <c r="YL51" i="1"/>
  <c r="ZD51" i="1" s="1"/>
  <c r="YL54" i="1"/>
  <c r="ZD54" i="1" s="1"/>
  <c r="YF30" i="1"/>
  <c r="YF46" i="1"/>
  <c r="YF33" i="1"/>
  <c r="YF37" i="1"/>
  <c r="WF45" i="1"/>
  <c r="WE45" i="1"/>
  <c r="WF40" i="1"/>
  <c r="WE40" i="1"/>
  <c r="WF46" i="1"/>
  <c r="WE46" i="1"/>
  <c r="WE48" i="1"/>
  <c r="WF48" i="1"/>
  <c r="WF31" i="1"/>
  <c r="WE31" i="1"/>
  <c r="MA33" i="1" a="1"/>
  <c r="OQ56" i="1"/>
  <c r="RF32" i="1"/>
  <c r="MM47" i="1" a="1"/>
  <c r="RF50" i="1"/>
  <c r="MM43" i="1" a="1"/>
  <c r="OQ49" i="1"/>
  <c r="RF45" i="1"/>
  <c r="RF44" i="1"/>
  <c r="MA40" i="1" a="1"/>
  <c r="MA52" i="1" a="1"/>
  <c r="OQ55" i="1"/>
  <c r="RF52" i="1"/>
  <c r="OQ34" i="1"/>
  <c r="RF31" i="1"/>
  <c r="MG50" i="1"/>
  <c r="OQ57" i="1"/>
  <c r="MG39" i="1"/>
  <c r="WJ48" i="1" a="1"/>
  <c r="WI33" i="1"/>
  <c r="VZ33" i="1" a="1"/>
  <c r="VX28" i="1" a="1"/>
  <c r="VQ28" i="1" a="1"/>
  <c r="VR29" i="1"/>
  <c r="VQ53" i="1" a="1"/>
  <c r="VZ48" i="1" a="1"/>
  <c r="VY30" i="1"/>
  <c r="VP43" i="1"/>
  <c r="VY50" i="1"/>
  <c r="WN38" i="1"/>
  <c r="VY48" i="1"/>
  <c r="WN48" i="1"/>
  <c r="WN53" i="1"/>
  <c r="VQ46" i="1" a="1"/>
  <c r="VN47" i="1" a="1"/>
  <c r="VR38" i="1"/>
  <c r="VX43" i="1" a="1"/>
  <c r="VR49" i="1"/>
  <c r="WI38" i="1"/>
  <c r="WB55" i="1"/>
  <c r="WI48" i="1"/>
  <c r="VW48" i="1"/>
  <c r="VQ54" i="1" a="1"/>
  <c r="VN43" i="1" a="1"/>
  <c r="VZ54" i="1" a="1"/>
  <c r="VZ50" i="1" a="1"/>
  <c r="VX44" i="1" a="1"/>
  <c r="WH56" i="1" a="1"/>
  <c r="VQ32" i="1" a="1"/>
  <c r="WL29" i="1" a="1"/>
  <c r="VX32" i="1" a="1"/>
  <c r="VZ40" i="1" a="1"/>
  <c r="VY55" i="1"/>
  <c r="WK29" i="1"/>
  <c r="WB40" i="1"/>
  <c r="WN37" i="1"/>
  <c r="WH35" i="1" a="1"/>
  <c r="MN41" i="1"/>
  <c r="WK37" i="1"/>
  <c r="WK48" i="1"/>
  <c r="VW45" i="1"/>
  <c r="WH43" i="1" a="1"/>
  <c r="VQ57" i="1" a="1"/>
  <c r="VY52" i="1"/>
  <c r="WI29" i="1"/>
  <c r="VX57" i="1" a="1"/>
  <c r="VZ53" i="1" a="1"/>
  <c r="VY42" i="1"/>
  <c r="VR41" i="1"/>
  <c r="WH36" i="1" a="1"/>
  <c r="WL41" i="1" a="1"/>
  <c r="WC29" i="1" a="1"/>
  <c r="VZ45" i="1" a="1"/>
  <c r="VW52" i="1"/>
  <c r="VM39" i="1"/>
  <c r="VQ45" i="1" a="1"/>
  <c r="VQ30" i="1" a="1"/>
  <c r="VY46" i="1"/>
  <c r="VQ48" i="1" a="1"/>
  <c r="VQ35" i="1" a="1"/>
  <c r="WJ52" i="1" a="1"/>
  <c r="VW30" i="1"/>
  <c r="WI42" i="1"/>
  <c r="MA43" i="1" a="1"/>
  <c r="RF55" i="1"/>
  <c r="MJ50" i="1" a="1"/>
  <c r="MJ29" i="1" a="1"/>
  <c r="MA29" i="1" a="1"/>
  <c r="RF30" i="1"/>
  <c r="MA39" i="1" a="1"/>
  <c r="MJ39" i="1" a="1"/>
  <c r="RF54" i="1"/>
  <c r="MM56" i="1" a="1"/>
  <c r="MB57" i="1"/>
  <c r="OQ41" i="1"/>
  <c r="OQ47" i="1"/>
  <c r="ML29" i="1"/>
  <c r="ML39" i="1"/>
  <c r="WH44" i="1" a="1"/>
  <c r="VQ55" i="1" a="1"/>
  <c r="VX51" i="1" a="1"/>
  <c r="MN33" i="1"/>
  <c r="WB46" i="1"/>
  <c r="VQ31" i="1" a="1"/>
  <c r="VY31" i="1"/>
  <c r="WC41" i="1" a="1"/>
  <c r="VY53" i="1"/>
  <c r="VY34" i="1"/>
  <c r="WJ46" i="1" a="1"/>
  <c r="WC37" i="1" a="1"/>
  <c r="VW55" i="1"/>
  <c r="VY40" i="1"/>
  <c r="VW50" i="1"/>
  <c r="WJ45" i="1" a="1"/>
  <c r="WB50" i="1"/>
  <c r="VY54" i="1"/>
  <c r="WO49" i="1" a="1"/>
  <c r="VR40" i="1"/>
  <c r="MM34" i="1" a="1"/>
  <c r="RF39" i="1"/>
  <c r="MN31" i="1"/>
  <c r="MB31" i="1"/>
  <c r="MM49" i="1" a="1"/>
  <c r="MM51" i="1" a="1"/>
  <c r="RF49" i="1"/>
  <c r="RF33" i="1"/>
  <c r="RF38" i="1"/>
  <c r="MA46" i="1" a="1"/>
  <c r="RF57" i="1"/>
  <c r="OQ51" i="1"/>
  <c r="MA50" i="1" a="1"/>
  <c r="MA38" i="1" a="1"/>
  <c r="OQ43" i="1"/>
  <c r="OQ38" i="1"/>
  <c r="MB56" i="1"/>
  <c r="MI50" i="1"/>
  <c r="MI29" i="1"/>
  <c r="MI39" i="1"/>
  <c r="OQ31" i="1"/>
  <c r="WJ40" i="1" a="1"/>
  <c r="WH39" i="1" a="1"/>
  <c r="WO41" i="1" a="1"/>
  <c r="VQ52" i="1" a="1"/>
  <c r="VX47" i="1" a="1"/>
  <c r="VW54" i="1"/>
  <c r="MA41" i="1" a="1"/>
  <c r="MM55" i="1" a="1"/>
  <c r="RF41" i="1"/>
  <c r="MB47" i="1"/>
  <c r="MM57" i="1" a="1"/>
  <c r="MA51" i="1" a="1"/>
  <c r="RF34" i="1"/>
  <c r="RF48" i="1"/>
  <c r="RF29" i="1"/>
  <c r="MA55" i="1" a="1"/>
  <c r="MM46" i="1" a="1"/>
  <c r="RF40" i="1"/>
  <c r="MB34" i="1"/>
  <c r="RF37" i="1"/>
  <c r="ML50" i="1"/>
  <c r="MG29" i="1"/>
  <c r="WH34" i="1" a="1"/>
  <c r="WL49" i="1" a="1"/>
  <c r="WN33" i="1"/>
  <c r="VW34" i="1"/>
  <c r="WJ42" i="1" a="1"/>
  <c r="VQ42" i="1" a="1"/>
  <c r="VQ33" i="1" a="1"/>
  <c r="H29" i="21" a="1"/>
  <c r="VQ50" i="1" a="1"/>
  <c r="VZ46" i="1" a="1"/>
  <c r="WK53" i="1"/>
  <c r="VP47" i="1"/>
  <c r="VK39" i="1"/>
  <c r="WB53" i="1"/>
  <c r="VW46" i="1"/>
  <c r="VW42" i="1"/>
  <c r="VW31" i="1"/>
  <c r="VQ34" i="1" a="1"/>
  <c r="VX36" i="1" a="1"/>
  <c r="VX39" i="1" a="1"/>
  <c r="MN38" i="1"/>
  <c r="VZ31" i="1" a="1"/>
  <c r="VW53" i="1"/>
  <c r="WN42" i="1"/>
  <c r="WB54" i="1"/>
  <c r="WK42" i="1"/>
  <c r="VQ51" i="1" a="1"/>
  <c r="MN37" i="1"/>
  <c r="WJ30" i="1" a="1"/>
  <c r="VZ42" i="1" a="1"/>
  <c r="WC49" i="1" a="1"/>
  <c r="WC38" i="1" a="1"/>
  <c r="VR37" i="1"/>
  <c r="VX56" i="1" a="1"/>
  <c r="MN40" i="1"/>
  <c r="MN52" i="1"/>
  <c r="WI37" i="1"/>
  <c r="WB42" i="1"/>
  <c r="VY45" i="1"/>
  <c r="WB30" i="1"/>
  <c r="VP39" i="1"/>
  <c r="WJ33" i="1" a="1"/>
  <c r="VX34" i="1" a="1"/>
  <c r="WH47" i="1" a="1"/>
  <c r="MN54" i="1"/>
  <c r="WH28" i="1" a="1"/>
  <c r="WB52" i="1"/>
  <c r="VQ56" i="1" a="1"/>
  <c r="VQ44" i="1" a="1"/>
  <c r="WB45" i="1"/>
  <c r="VM47" i="1"/>
  <c r="VZ30" i="1" a="1"/>
  <c r="WJ54" i="1" a="1"/>
  <c r="WJ50" i="1" a="1"/>
  <c r="WC33" i="1" a="1"/>
  <c r="WL38" i="1" a="1"/>
  <c r="VX35" i="1" a="1"/>
  <c r="WI53" i="1"/>
  <c r="VK47" i="1"/>
  <c r="WB31" i="1"/>
  <c r="VM43" i="1"/>
  <c r="WJ53" i="1" a="1"/>
  <c r="WK33" i="1"/>
  <c r="WH51" i="1" a="1"/>
  <c r="WN29" i="1"/>
  <c r="WB48" i="1"/>
  <c r="WJ55" i="1" a="1"/>
  <c r="VW40" i="1"/>
  <c r="VZ55" i="1" a="1"/>
  <c r="WJ31" i="1" a="1"/>
  <c r="WL37" i="1" a="1"/>
  <c r="VQ36" i="1" a="1"/>
  <c r="WK38" i="1"/>
  <c r="VK43" i="1"/>
  <c r="WH32" i="1" a="1"/>
  <c r="WB34" i="1"/>
  <c r="WH57" i="1" a="1"/>
  <c r="VN39" i="1" a="1"/>
  <c r="VZ52" i="1" a="1"/>
  <c r="MM46" i="1" l="1"/>
  <c r="MA55" i="1"/>
  <c r="MA51" i="1"/>
  <c r="MM57" i="1"/>
  <c r="MM55" i="1"/>
  <c r="MA41" i="1"/>
  <c r="MA38" i="1"/>
  <c r="MA50" i="1"/>
  <c r="MA46" i="1"/>
  <c r="MM51" i="1"/>
  <c r="MM49" i="1"/>
  <c r="MM34" i="1"/>
  <c r="MM56" i="1"/>
  <c r="MJ39" i="1"/>
  <c r="MK39" i="1" s="1"/>
  <c r="MQ39" i="1" s="1"/>
  <c r="MA39" i="1"/>
  <c r="MA29" i="1"/>
  <c r="MJ29" i="1"/>
  <c r="MK29" i="1" s="1"/>
  <c r="MQ29" i="1" s="1"/>
  <c r="MJ50" i="1"/>
  <c r="MK50" i="1" s="1"/>
  <c r="MQ50" i="1" s="1"/>
  <c r="MA43" i="1"/>
  <c r="MA52" i="1"/>
  <c r="MA40" i="1"/>
  <c r="MM43" i="1"/>
  <c r="MM47" i="1"/>
  <c r="MA33" i="1"/>
  <c r="YL41" i="1"/>
  <c r="ZD41" i="1" s="1"/>
  <c r="YG41" i="1"/>
  <c r="YG31" i="1"/>
  <c r="ZF31" i="1" s="1"/>
  <c r="YF28" i="1"/>
  <c r="WH36" i="1"/>
  <c r="YG38" i="1"/>
  <c r="YR38" i="1" s="1"/>
  <c r="YS38" i="1" s="1"/>
  <c r="WR48" i="1"/>
  <c r="YG47" i="1"/>
  <c r="YT47" i="1" s="1"/>
  <c r="WQ53" i="1"/>
  <c r="YL43" i="1"/>
  <c r="ZD43" i="1" s="1"/>
  <c r="YL57" i="1"/>
  <c r="ZD57" i="1" s="1"/>
  <c r="WH34" i="1"/>
  <c r="WR34" i="1" s="1"/>
  <c r="YG42" i="1"/>
  <c r="YR42" i="1" s="1"/>
  <c r="YS42" i="1" s="1"/>
  <c r="YR31" i="1"/>
  <c r="YS31" i="1" s="1"/>
  <c r="YG40" i="1"/>
  <c r="ZF40" i="1" s="1"/>
  <c r="YL53" i="1"/>
  <c r="ZD53" i="1" s="1"/>
  <c r="YG39" i="1"/>
  <c r="ZF39" i="1" s="1"/>
  <c r="WH44" i="1"/>
  <c r="WR44" i="1" s="1"/>
  <c r="WH32" i="1"/>
  <c r="WR32" i="1" s="1"/>
  <c r="WR42" i="1"/>
  <c r="YL34" i="1"/>
  <c r="ZD34" i="1" s="1"/>
  <c r="WL49" i="1"/>
  <c r="WM49" i="1" s="1"/>
  <c r="WS49" i="1" s="1"/>
  <c r="WJ53" i="1"/>
  <c r="WL41" i="1"/>
  <c r="WM41" i="1" s="1"/>
  <c r="WS41" i="1" s="1"/>
  <c r="WH47" i="1"/>
  <c r="WR47" i="1" s="1"/>
  <c r="VZ33" i="1"/>
  <c r="WA33" i="1" s="1"/>
  <c r="WG33" i="1" s="1"/>
  <c r="WJ42" i="1"/>
  <c r="WH51" i="1"/>
  <c r="WR51" i="1" s="1"/>
  <c r="VX34" i="1"/>
  <c r="WJ33" i="1"/>
  <c r="WH35" i="1"/>
  <c r="WR35" i="1" s="1"/>
  <c r="WJ48" i="1"/>
  <c r="YG32" i="1"/>
  <c r="YT32" i="1" s="1"/>
  <c r="WE34" i="1"/>
  <c r="WF34" i="1"/>
  <c r="WR33" i="1"/>
  <c r="WQ33" i="1"/>
  <c r="VZ40" i="1"/>
  <c r="WA40" i="1" s="1"/>
  <c r="WG40" i="1" s="1"/>
  <c r="VX47" i="1"/>
  <c r="VX35" i="1"/>
  <c r="VX32" i="1"/>
  <c r="VQ36" i="1"/>
  <c r="WL38" i="1"/>
  <c r="WM38" i="1" s="1"/>
  <c r="WS38" i="1" s="1"/>
  <c r="WL29" i="1"/>
  <c r="WM29" i="1" s="1"/>
  <c r="WS29" i="1" s="1"/>
  <c r="WJ52" i="1"/>
  <c r="VX56" i="1"/>
  <c r="VQ52" i="1"/>
  <c r="WC41" i="1"/>
  <c r="WL37" i="1"/>
  <c r="WM37" i="1" s="1"/>
  <c r="WS37" i="1" s="1"/>
  <c r="WC33" i="1"/>
  <c r="VQ32" i="1"/>
  <c r="WC38" i="1"/>
  <c r="VQ35" i="1"/>
  <c r="WH56" i="1"/>
  <c r="WH57" i="1"/>
  <c r="WJ50" i="1"/>
  <c r="VX44" i="1"/>
  <c r="WC49" i="1"/>
  <c r="WJ31" i="1"/>
  <c r="VZ53" i="1"/>
  <c r="WA53" i="1" s="1"/>
  <c r="WG53" i="1" s="1"/>
  <c r="VZ50" i="1"/>
  <c r="WA50" i="1" s="1"/>
  <c r="WG50" i="1" s="1"/>
  <c r="VZ42" i="1"/>
  <c r="WA42" i="1" s="1"/>
  <c r="WG42" i="1" s="1"/>
  <c r="VQ48" i="1"/>
  <c r="WJ54" i="1"/>
  <c r="VZ54" i="1"/>
  <c r="WA54" i="1" s="1"/>
  <c r="WG54" i="1" s="1"/>
  <c r="WJ30" i="1"/>
  <c r="WO49" i="1"/>
  <c r="VX57" i="1"/>
  <c r="VN43" i="1"/>
  <c r="VO43" i="1" s="1"/>
  <c r="VU43" i="1" s="1"/>
  <c r="VZ55" i="1"/>
  <c r="WA55" i="1" s="1"/>
  <c r="WG55" i="1" s="1"/>
  <c r="VZ30" i="1"/>
  <c r="WA30" i="1" s="1"/>
  <c r="WG30" i="1" s="1"/>
  <c r="VQ54" i="1"/>
  <c r="VQ51" i="1"/>
  <c r="WO41" i="1"/>
  <c r="VZ31" i="1"/>
  <c r="WA31" i="1" s="1"/>
  <c r="WG31" i="1" s="1"/>
  <c r="VQ30" i="1"/>
  <c r="VQ31" i="1"/>
  <c r="VX43" i="1"/>
  <c r="WJ45" i="1"/>
  <c r="VQ44" i="1"/>
  <c r="VX39" i="1"/>
  <c r="WJ55" i="1"/>
  <c r="VQ57" i="1"/>
  <c r="VN47" i="1"/>
  <c r="VO47" i="1" s="1"/>
  <c r="VU47" i="1" s="1"/>
  <c r="VX36" i="1"/>
  <c r="VQ45" i="1"/>
  <c r="VQ56" i="1"/>
  <c r="VQ46" i="1"/>
  <c r="VQ34" i="1"/>
  <c r="WH43" i="1"/>
  <c r="WH28" i="1"/>
  <c r="WH39" i="1"/>
  <c r="VZ48" i="1"/>
  <c r="WA48" i="1" s="1"/>
  <c r="WG48" i="1" s="1"/>
  <c r="VZ46" i="1"/>
  <c r="WA46" i="1" s="1"/>
  <c r="WG46" i="1" s="1"/>
  <c r="VZ45" i="1"/>
  <c r="WA45" i="1" s="1"/>
  <c r="WG45" i="1" s="1"/>
  <c r="VX51" i="1"/>
  <c r="VQ53" i="1"/>
  <c r="VQ50" i="1"/>
  <c r="WC37" i="1"/>
  <c r="H29" i="21"/>
  <c r="WC29" i="1"/>
  <c r="VN39" i="1"/>
  <c r="VO39" i="1" s="1"/>
  <c r="VU39" i="1" s="1"/>
  <c r="VZ52" i="1"/>
  <c r="WA52" i="1" s="1"/>
  <c r="WG52" i="1" s="1"/>
  <c r="WJ46" i="1"/>
  <c r="VQ55" i="1"/>
  <c r="VQ28" i="1"/>
  <c r="VQ33" i="1"/>
  <c r="WJ40" i="1"/>
  <c r="VX28" i="1"/>
  <c r="VQ42" i="1"/>
  <c r="YG33" i="1"/>
  <c r="YL33" i="1"/>
  <c r="ZD33" i="1" s="1"/>
  <c r="YG46" i="1"/>
  <c r="YL46" i="1"/>
  <c r="ZD46" i="1" s="1"/>
  <c r="YL49" i="1"/>
  <c r="ZD49" i="1" s="1"/>
  <c r="YG49" i="1"/>
  <c r="YG37" i="1"/>
  <c r="YL37" i="1"/>
  <c r="ZD37" i="1" s="1"/>
  <c r="YT51" i="1"/>
  <c r="YR51" i="1"/>
  <c r="YS51" i="1" s="1"/>
  <c r="ZF51" i="1"/>
  <c r="YG44" i="1"/>
  <c r="YL44" i="1"/>
  <c r="ZD44" i="1" s="1"/>
  <c r="YL48" i="1"/>
  <c r="ZD48" i="1" s="1"/>
  <c r="YG48" i="1"/>
  <c r="ZF55" i="1"/>
  <c r="YR55" i="1"/>
  <c r="YS55" i="1" s="1"/>
  <c r="YT55" i="1"/>
  <c r="WE47" i="1"/>
  <c r="WF47" i="1"/>
  <c r="WF35" i="1"/>
  <c r="WE35" i="1"/>
  <c r="WE32" i="1"/>
  <c r="WF32" i="1"/>
  <c r="WR52" i="1"/>
  <c r="WQ52" i="1"/>
  <c r="WF56" i="1"/>
  <c r="WE56" i="1"/>
  <c r="Q52" i="21" a="1"/>
  <c r="Q52" i="21" s="1"/>
  <c r="YT36" i="1"/>
  <c r="ZF36" i="1"/>
  <c r="YR36" i="1"/>
  <c r="YS36" i="1" s="1"/>
  <c r="WQ36" i="1"/>
  <c r="WR36" i="1"/>
  <c r="WR50" i="1"/>
  <c r="WQ50" i="1"/>
  <c r="WF44" i="1"/>
  <c r="WE44" i="1"/>
  <c r="WQ31" i="1"/>
  <c r="WR31" i="1"/>
  <c r="WR54" i="1"/>
  <c r="WQ54" i="1"/>
  <c r="WQ30" i="1"/>
  <c r="WR30" i="1"/>
  <c r="WE57" i="1"/>
  <c r="WF57" i="1"/>
  <c r="YT34" i="1"/>
  <c r="ZF34" i="1"/>
  <c r="YR34" i="1"/>
  <c r="YS34" i="1" s="1"/>
  <c r="YT38" i="1"/>
  <c r="ZF38" i="1"/>
  <c r="YL45" i="1"/>
  <c r="ZD45" i="1" s="1"/>
  <c r="YG45" i="1"/>
  <c r="WE43" i="1"/>
  <c r="WF43" i="1"/>
  <c r="WQ45" i="1"/>
  <c r="WR45" i="1"/>
  <c r="WF39" i="1"/>
  <c r="WE39" i="1"/>
  <c r="WQ55" i="1"/>
  <c r="WR55" i="1"/>
  <c r="WF36" i="1"/>
  <c r="WE36" i="1"/>
  <c r="YL30" i="1"/>
  <c r="ZD30" i="1" s="1"/>
  <c r="YG30" i="1"/>
  <c r="YR53" i="1"/>
  <c r="YS53" i="1" s="1"/>
  <c r="ZF53" i="1"/>
  <c r="YT53" i="1"/>
  <c r="YR54" i="1"/>
  <c r="YS54" i="1" s="1"/>
  <c r="YT54" i="1"/>
  <c r="ZF54" i="1"/>
  <c r="YT56" i="1"/>
  <c r="ZF56" i="1"/>
  <c r="YR56" i="1"/>
  <c r="YS56" i="1" s="1"/>
  <c r="ZF43" i="1"/>
  <c r="YT43" i="1"/>
  <c r="YR43" i="1"/>
  <c r="YS43" i="1" s="1"/>
  <c r="YR35" i="1"/>
  <c r="YS35" i="1" s="1"/>
  <c r="YT35" i="1"/>
  <c r="ZF35" i="1"/>
  <c r="YG50" i="1"/>
  <c r="YL50" i="1"/>
  <c r="ZD50" i="1" s="1"/>
  <c r="YG29" i="1"/>
  <c r="YL29" i="1"/>
  <c r="ZD29" i="1" s="1"/>
  <c r="YG52" i="1"/>
  <c r="YL52" i="1"/>
  <c r="ZD52" i="1" s="1"/>
  <c r="ZF57" i="1"/>
  <c r="YR57" i="1"/>
  <c r="YS57" i="1" s="1"/>
  <c r="YT57" i="1"/>
  <c r="WF51" i="1"/>
  <c r="WE51" i="1"/>
  <c r="WR46" i="1"/>
  <c r="WQ46" i="1"/>
  <c r="WQ40" i="1"/>
  <c r="WR40" i="1"/>
  <c r="WE28" i="1"/>
  <c r="N53" i="21" s="1" a="1"/>
  <c r="N53" i="21" s="1"/>
  <c r="WC34" i="1" a="1"/>
  <c r="MB55" i="1"/>
  <c r="MB41" i="1"/>
  <c r="MN51" i="1"/>
  <c r="MM29" i="1" a="1"/>
  <c r="MB29" i="1"/>
  <c r="MB52" i="1"/>
  <c r="MB33" i="1"/>
  <c r="OQ33" i="1"/>
  <c r="WJ36" i="1" a="1"/>
  <c r="WK34" i="1"/>
  <c r="WL53" i="1" a="1"/>
  <c r="VZ34" i="1" a="1"/>
  <c r="WJ35" i="1" a="1"/>
  <c r="XL38" i="1"/>
  <c r="VZ44" i="1" a="1"/>
  <c r="VR57" i="1"/>
  <c r="WO29" i="1" a="1"/>
  <c r="VZ28" i="1" a="1"/>
  <c r="WB56" i="1"/>
  <c r="WN31" i="1"/>
  <c r="WN35" i="1"/>
  <c r="VY39" i="1"/>
  <c r="WN47" i="1"/>
  <c r="WK52" i="1"/>
  <c r="WK40" i="1"/>
  <c r="WD49" i="1"/>
  <c r="WJ28" i="1" a="1"/>
  <c r="WN32" i="1"/>
  <c r="WI46" i="1"/>
  <c r="WD41" i="1"/>
  <c r="VR46" i="1"/>
  <c r="WB47" i="1"/>
  <c r="VY44" i="1"/>
  <c r="VR35" i="1"/>
  <c r="WC46" i="1" a="1"/>
  <c r="WB35" i="1"/>
  <c r="WB44" i="1"/>
  <c r="VY57" i="1"/>
  <c r="WK47" i="1"/>
  <c r="VW57" i="1"/>
  <c r="WN51" i="1"/>
  <c r="WJ34" i="1" a="1"/>
  <c r="XL41" i="1"/>
  <c r="VZ56" i="1" a="1"/>
  <c r="WJ39" i="1" a="1"/>
  <c r="WB32" i="1"/>
  <c r="WN36" i="1"/>
  <c r="WI54" i="1"/>
  <c r="WN55" i="1"/>
  <c r="WK35" i="1"/>
  <c r="VR52" i="1"/>
  <c r="VW36" i="1"/>
  <c r="WD38" i="1"/>
  <c r="WC31" i="1" a="1"/>
  <c r="WC53" i="1" a="1"/>
  <c r="WI31" i="1"/>
  <c r="VW39" i="1"/>
  <c r="VR42" i="1"/>
  <c r="WI51" i="1"/>
  <c r="WO53" i="1" a="1"/>
  <c r="WB51" i="1"/>
  <c r="WL31" i="1" a="1"/>
  <c r="WO38" i="1" a="1"/>
  <c r="WI36" i="1"/>
  <c r="VZ47" i="1" a="1"/>
  <c r="VQ47" i="1" a="1"/>
  <c r="WI35" i="1"/>
  <c r="VY28" i="1"/>
  <c r="WO33" i="1" a="1"/>
  <c r="MB51" i="1"/>
  <c r="MB38" i="1"/>
  <c r="MN49" i="1"/>
  <c r="MN56" i="1"/>
  <c r="MB40" i="1"/>
  <c r="OQ29" i="1"/>
  <c r="WL48" i="1" a="1"/>
  <c r="VR51" i="1"/>
  <c r="WN46" i="1"/>
  <c r="VR56" i="1"/>
  <c r="WC30" i="1" a="1"/>
  <c r="WC48" i="1" a="1"/>
  <c r="WL46" i="1" a="1"/>
  <c r="VW56" i="1"/>
  <c r="WL50" i="1" a="1"/>
  <c r="WL55" i="1" a="1"/>
  <c r="VR55" i="1"/>
  <c r="WI55" i="1"/>
  <c r="WB36" i="1"/>
  <c r="WP41" i="1"/>
  <c r="WL40" i="1" a="1"/>
  <c r="WL54" i="1" a="1"/>
  <c r="WK55" i="1"/>
  <c r="WK46" i="1"/>
  <c r="MM50" i="1" a="1"/>
  <c r="MN57" i="1"/>
  <c r="MB50" i="1"/>
  <c r="MN34" i="1"/>
  <c r="MN43" i="1"/>
  <c r="OQ52" i="1"/>
  <c r="WN34" i="1"/>
  <c r="WJ32" i="1" a="1"/>
  <c r="WJ51" i="1" a="1"/>
  <c r="WL33" i="1" a="1"/>
  <c r="WC40" i="1" a="1"/>
  <c r="WD33" i="1"/>
  <c r="WC55" i="1" a="1"/>
  <c r="WC52" i="1" a="1"/>
  <c r="VZ51" i="1" a="1"/>
  <c r="WI52" i="1"/>
  <c r="WN50" i="1"/>
  <c r="WK45" i="1"/>
  <c r="WI40" i="1"/>
  <c r="WC42" i="1" a="1"/>
  <c r="WI44" i="1"/>
  <c r="VZ43" i="1" a="1"/>
  <c r="WI30" i="1"/>
  <c r="VZ36" i="1" a="1"/>
  <c r="WK54" i="1"/>
  <c r="WB28" i="1"/>
  <c r="MN46" i="1"/>
  <c r="MN55" i="1"/>
  <c r="MB46" i="1"/>
  <c r="MM39" i="1" a="1"/>
  <c r="MB39" i="1"/>
  <c r="MB43" i="1"/>
  <c r="MN47" i="1"/>
  <c r="OQ46" i="1"/>
  <c r="OQ40" i="1"/>
  <c r="WI34" i="1"/>
  <c r="XL49" i="1"/>
  <c r="WJ47" i="1" a="1"/>
  <c r="WL42" i="1" a="1"/>
  <c r="VZ35" i="1" a="1"/>
  <c r="WJ56" i="1" a="1"/>
  <c r="WO48" i="1" a="1"/>
  <c r="VR28" i="1"/>
  <c r="WN44" i="1"/>
  <c r="VW44" i="1"/>
  <c r="WB57" i="1"/>
  <c r="WK51" i="1"/>
  <c r="VY51" i="1"/>
  <c r="VY47" i="1"/>
  <c r="WB39" i="1"/>
  <c r="VZ32" i="1" a="1"/>
  <c r="WJ57" i="1" a="1"/>
  <c r="WO42" i="1" a="1"/>
  <c r="WJ43" i="1" a="1"/>
  <c r="WK36" i="1"/>
  <c r="WI47" i="1"/>
  <c r="WL52" i="1" a="1"/>
  <c r="VR48" i="1"/>
  <c r="VZ39" i="1" a="1"/>
  <c r="VQ43" i="1" a="1"/>
  <c r="XL37" i="1"/>
  <c r="WN52" i="1"/>
  <c r="WI50" i="1"/>
  <c r="WB43" i="1"/>
  <c r="VR36" i="1"/>
  <c r="VZ57" i="1" a="1"/>
  <c r="VR30" i="1"/>
  <c r="VR34" i="1"/>
  <c r="WD37" i="1"/>
  <c r="VW47" i="1"/>
  <c r="WK50" i="1"/>
  <c r="WK30" i="1"/>
  <c r="VW43" i="1"/>
  <c r="VW51" i="1"/>
  <c r="VW28" i="1"/>
  <c r="WK31" i="1"/>
  <c r="WI32" i="1"/>
  <c r="XL29" i="1"/>
  <c r="VR44" i="1"/>
  <c r="WP49" i="1"/>
  <c r="VR50" i="1"/>
  <c r="WK44" i="1"/>
  <c r="VY36" i="1"/>
  <c r="VR54" i="1"/>
  <c r="WL45" i="1" a="1"/>
  <c r="WD29" i="1"/>
  <c r="WN45" i="1"/>
  <c r="VR33" i="1"/>
  <c r="WJ44" i="1" a="1"/>
  <c r="VQ39" i="1" a="1"/>
  <c r="VR45" i="1"/>
  <c r="VY43" i="1"/>
  <c r="WO37" i="1" a="1"/>
  <c r="WL30" i="1" a="1"/>
  <c r="VR53" i="1"/>
  <c r="WC45" i="1" a="1"/>
  <c r="VW35" i="1"/>
  <c r="WN54" i="1"/>
  <c r="WC54" i="1" a="1"/>
  <c r="VY32" i="1"/>
  <c r="WK32" i="1"/>
  <c r="WN40" i="1"/>
  <c r="WI45" i="1"/>
  <c r="WN30" i="1"/>
  <c r="VR32" i="1"/>
  <c r="VW32" i="1"/>
  <c r="WC50" i="1" a="1"/>
  <c r="VY56" i="1"/>
  <c r="VY35" i="1"/>
  <c r="VR31" i="1"/>
  <c r="OQ39" i="1"/>
  <c r="OQ50" i="1"/>
  <c r="MM39" i="1" l="1"/>
  <c r="MM50" i="1"/>
  <c r="WO33" i="1"/>
  <c r="MM29" i="1"/>
  <c r="WC34" i="1"/>
  <c r="YT31" i="1"/>
  <c r="YL28" i="1"/>
  <c r="ZD28" i="1" s="1"/>
  <c r="YG28" i="1"/>
  <c r="YT41" i="1"/>
  <c r="ZF41" i="1"/>
  <c r="YR41" i="1"/>
  <c r="YS41" i="1" s="1"/>
  <c r="WJ36" i="1"/>
  <c r="YT39" i="1"/>
  <c r="YR47" i="1"/>
  <c r="YS47" i="1" s="1"/>
  <c r="WQ47" i="1"/>
  <c r="ZF47" i="1"/>
  <c r="WQ34" i="1"/>
  <c r="WQ51" i="1"/>
  <c r="YT42" i="1"/>
  <c r="WQ44" i="1"/>
  <c r="YT40" i="1"/>
  <c r="YR40" i="1"/>
  <c r="YS40" i="1" s="1"/>
  <c r="WJ34" i="1"/>
  <c r="YR39" i="1"/>
  <c r="YS39" i="1" s="1"/>
  <c r="ZF42" i="1"/>
  <c r="WQ32" i="1"/>
  <c r="WQ35" i="1"/>
  <c r="ZF32" i="1"/>
  <c r="WJ32" i="1"/>
  <c r="WJ44" i="1"/>
  <c r="YR32" i="1"/>
  <c r="YS32" i="1" s="1"/>
  <c r="WL53" i="1"/>
  <c r="WM53" i="1" s="1"/>
  <c r="WS53" i="1" s="1"/>
  <c r="WJ35" i="1"/>
  <c r="WL42" i="1"/>
  <c r="WM42" i="1" s="1"/>
  <c r="WS42" i="1" s="1"/>
  <c r="WL33" i="1"/>
  <c r="WM33" i="1" s="1"/>
  <c r="WS33" i="1" s="1"/>
  <c r="WL48" i="1"/>
  <c r="WM48" i="1" s="1"/>
  <c r="WS48" i="1" s="1"/>
  <c r="VZ34" i="1"/>
  <c r="WA34" i="1" s="1"/>
  <c r="WG34" i="1" s="1"/>
  <c r="WJ47" i="1"/>
  <c r="WJ51" i="1"/>
  <c r="VQ47" i="1"/>
  <c r="WC53" i="1"/>
  <c r="WC46" i="1"/>
  <c r="VZ36" i="1"/>
  <c r="WA36" i="1" s="1"/>
  <c r="WG36" i="1" s="1"/>
  <c r="WL55" i="1"/>
  <c r="WM55" i="1" s="1"/>
  <c r="WS55" i="1" s="1"/>
  <c r="WL45" i="1"/>
  <c r="WM45" i="1" s="1"/>
  <c r="WS45" i="1" s="1"/>
  <c r="WC50" i="1"/>
  <c r="WC54" i="1"/>
  <c r="VZ57" i="1"/>
  <c r="WA57" i="1" s="1"/>
  <c r="WG57" i="1" s="1"/>
  <c r="WL54" i="1"/>
  <c r="WM54" i="1" s="1"/>
  <c r="WS54" i="1" s="1"/>
  <c r="WL50" i="1"/>
  <c r="WM50" i="1" s="1"/>
  <c r="WS50" i="1" s="1"/>
  <c r="VZ47" i="1"/>
  <c r="WA47" i="1" s="1"/>
  <c r="WG47" i="1" s="1"/>
  <c r="WC31" i="1"/>
  <c r="WL40" i="1"/>
  <c r="WM40" i="1" s="1"/>
  <c r="WS40" i="1" s="1"/>
  <c r="WL46" i="1"/>
  <c r="WM46" i="1" s="1"/>
  <c r="WS46" i="1" s="1"/>
  <c r="VQ43" i="1"/>
  <c r="WO38" i="1"/>
  <c r="WC48" i="1"/>
  <c r="VZ39" i="1"/>
  <c r="WA39" i="1" s="1"/>
  <c r="WG39" i="1" s="1"/>
  <c r="VZ43" i="1"/>
  <c r="WA43" i="1" s="1"/>
  <c r="WG43" i="1" s="1"/>
  <c r="WC45" i="1"/>
  <c r="WL31" i="1"/>
  <c r="WM31" i="1" s="1"/>
  <c r="WS31" i="1" s="1"/>
  <c r="WL52" i="1"/>
  <c r="WM52" i="1" s="1"/>
  <c r="WS52" i="1" s="1"/>
  <c r="WC30" i="1"/>
  <c r="WJ28" i="1"/>
  <c r="WJ43" i="1"/>
  <c r="WO53" i="1"/>
  <c r="WO42" i="1"/>
  <c r="WL30" i="1"/>
  <c r="WM30" i="1" s="1"/>
  <c r="WS30" i="1" s="1"/>
  <c r="WJ57" i="1"/>
  <c r="VZ32" i="1"/>
  <c r="WA32" i="1" s="1"/>
  <c r="WG32" i="1" s="1"/>
  <c r="WC42" i="1"/>
  <c r="WO37" i="1"/>
  <c r="VZ28" i="1"/>
  <c r="WA28" i="1" s="1"/>
  <c r="WG28" i="1" s="1"/>
  <c r="VZ51" i="1"/>
  <c r="WA51" i="1" s="1"/>
  <c r="WG51" i="1" s="1"/>
  <c r="WJ39" i="1"/>
  <c r="WO29" i="1"/>
  <c r="WO48" i="1"/>
  <c r="WC52" i="1"/>
  <c r="WC55" i="1"/>
  <c r="VZ44" i="1"/>
  <c r="WA44" i="1" s="1"/>
  <c r="WG44" i="1" s="1"/>
  <c r="WJ56" i="1"/>
  <c r="VZ56" i="1"/>
  <c r="WA56" i="1" s="1"/>
  <c r="WG56" i="1" s="1"/>
  <c r="VZ35" i="1"/>
  <c r="WA35" i="1" s="1"/>
  <c r="WG35" i="1" s="1"/>
  <c r="WC40" i="1"/>
  <c r="VQ39" i="1"/>
  <c r="ZF52" i="1"/>
  <c r="YR52" i="1"/>
  <c r="YS52" i="1" s="1"/>
  <c r="YT52" i="1"/>
  <c r="YR48" i="1"/>
  <c r="YS48" i="1" s="1"/>
  <c r="ZF48" i="1"/>
  <c r="YT48" i="1"/>
  <c r="YT49" i="1"/>
  <c r="ZF49" i="1"/>
  <c r="YR49" i="1"/>
  <c r="YS49" i="1" s="1"/>
  <c r="ZF33" i="1"/>
  <c r="YT33" i="1"/>
  <c r="YR33" i="1"/>
  <c r="YS33" i="1" s="1"/>
  <c r="YR30" i="1"/>
  <c r="YS30" i="1" s="1"/>
  <c r="ZF30" i="1"/>
  <c r="YT30" i="1"/>
  <c r="YR45" i="1"/>
  <c r="YS45" i="1" s="1"/>
  <c r="ZF45" i="1"/>
  <c r="YT45" i="1"/>
  <c r="WQ28" i="1"/>
  <c r="N54" i="21" s="1" a="1"/>
  <c r="N54" i="21" s="1"/>
  <c r="WR28" i="1"/>
  <c r="O54" i="21" s="1" a="1"/>
  <c r="O54" i="21" s="1"/>
  <c r="WQ43" i="1"/>
  <c r="WR43" i="1"/>
  <c r="WQ57" i="1"/>
  <c r="WR57" i="1"/>
  <c r="YT50" i="1"/>
  <c r="ZF50" i="1"/>
  <c r="YR50" i="1"/>
  <c r="YS50" i="1" s="1"/>
  <c r="YT29" i="1"/>
  <c r="ZF29" i="1"/>
  <c r="YR29" i="1"/>
  <c r="YS29" i="1" s="1"/>
  <c r="YR44" i="1"/>
  <c r="YS44" i="1" s="1"/>
  <c r="YT44" i="1"/>
  <c r="ZF44" i="1"/>
  <c r="YT37" i="1"/>
  <c r="YR37" i="1"/>
  <c r="YS37" i="1" s="1"/>
  <c r="ZF37" i="1"/>
  <c r="YT46" i="1"/>
  <c r="ZF46" i="1"/>
  <c r="YR46" i="1"/>
  <c r="YS46" i="1" s="1"/>
  <c r="WR39" i="1"/>
  <c r="WQ39" i="1"/>
  <c r="WR56" i="1"/>
  <c r="WQ56" i="1"/>
  <c r="MN39" i="1"/>
  <c r="MN29" i="1"/>
  <c r="WL34" i="1" a="1"/>
  <c r="WD46" i="1"/>
  <c r="WP42" i="1"/>
  <c r="WO36" i="1" a="1"/>
  <c r="WI43" i="1"/>
  <c r="WC39" i="1" a="1"/>
  <c r="WO54" i="1" a="1"/>
  <c r="WO52" i="1" a="1"/>
  <c r="WL39" i="1" a="1"/>
  <c r="WC47" i="1" a="1"/>
  <c r="WO35" i="1" a="1"/>
  <c r="WD55" i="1"/>
  <c r="WK39" i="1"/>
  <c r="WP53" i="1"/>
  <c r="WD45" i="1"/>
  <c r="WK57" i="1"/>
  <c r="XL30" i="1"/>
  <c r="XL45" i="1"/>
  <c r="WO50" i="1" a="1"/>
  <c r="WK56" i="1"/>
  <c r="WD30" i="1"/>
  <c r="WL36" i="1" a="1"/>
  <c r="WL47" i="1" a="1"/>
  <c r="XL50" i="1"/>
  <c r="WI39" i="1"/>
  <c r="WC56" i="1" a="1"/>
  <c r="WN39" i="1"/>
  <c r="WO40" i="1" a="1"/>
  <c r="WO55" i="1" a="1"/>
  <c r="WN57" i="1"/>
  <c r="WC32" i="1" a="1"/>
  <c r="WI28" i="1"/>
  <c r="WP37" i="1"/>
  <c r="WO34" i="1" a="1"/>
  <c r="WD34" i="1"/>
  <c r="WL32" i="1" a="1"/>
  <c r="WL51" i="1" a="1"/>
  <c r="WD50" i="1"/>
  <c r="WN43" i="1"/>
  <c r="VR43" i="1"/>
  <c r="WN56" i="1"/>
  <c r="WL44" i="1" a="1"/>
  <c r="WO51" i="1" a="1"/>
  <c r="XL52" i="1"/>
  <c r="WK43" i="1"/>
  <c r="WO32" i="1" a="1"/>
  <c r="WC35" i="1" a="1"/>
  <c r="WK28" i="1"/>
  <c r="MN50" i="1"/>
  <c r="WP33" i="1"/>
  <c r="XL33" i="1"/>
  <c r="WC44" i="1" a="1"/>
  <c r="WC43" i="1" a="1"/>
  <c r="WC57" i="1" a="1"/>
  <c r="WN28" i="1"/>
  <c r="XL46" i="1"/>
  <c r="WD52" i="1"/>
  <c r="WI56" i="1"/>
  <c r="WC28" i="1" a="1"/>
  <c r="WO31" i="1" a="1"/>
  <c r="WO45" i="1" a="1"/>
  <c r="WO46" i="1" a="1"/>
  <c r="WI57" i="1"/>
  <c r="WD54" i="1"/>
  <c r="WC36" i="1" a="1"/>
  <c r="WC51" i="1" a="1"/>
  <c r="WO30" i="1" a="1"/>
  <c r="XL42" i="1"/>
  <c r="WD42" i="1"/>
  <c r="WO44" i="1" a="1"/>
  <c r="XL55" i="1"/>
  <c r="XL40" i="1"/>
  <c r="WO47" i="1" a="1"/>
  <c r="WD40" i="1"/>
  <c r="XL54" i="1"/>
  <c r="WL35" i="1" a="1"/>
  <c r="WD53" i="1"/>
  <c r="WD48" i="1"/>
  <c r="XL31" i="1"/>
  <c r="WL43" i="1" a="1"/>
  <c r="WL57" i="1" a="1"/>
  <c r="WL56" i="1" a="1"/>
  <c r="VR39" i="1"/>
  <c r="XL53" i="1"/>
  <c r="XL48" i="1"/>
  <c r="VR47" i="1"/>
  <c r="WD31" i="1"/>
  <c r="WP38" i="1"/>
  <c r="WL28" i="1" a="1"/>
  <c r="WP29" i="1"/>
  <c r="WP48" i="1"/>
  <c r="WO34" i="1" l="1"/>
  <c r="YR28" i="1"/>
  <c r="YS28" i="1" s="1"/>
  <c r="ZF28" i="1"/>
  <c r="YT28" i="1"/>
  <c r="WL36" i="1"/>
  <c r="WM36" i="1" s="1"/>
  <c r="WS36" i="1" s="1"/>
  <c r="WL34" i="1"/>
  <c r="WM34" i="1" s="1"/>
  <c r="WS34" i="1" s="1"/>
  <c r="WL44" i="1"/>
  <c r="WM44" i="1" s="1"/>
  <c r="WS44" i="1" s="1"/>
  <c r="WL32" i="1"/>
  <c r="WM32" i="1" s="1"/>
  <c r="WS32" i="1" s="1"/>
  <c r="WL51" i="1"/>
  <c r="WM51" i="1" s="1"/>
  <c r="WS51" i="1" s="1"/>
  <c r="WL47" i="1"/>
  <c r="WM47" i="1" s="1"/>
  <c r="WS47" i="1" s="1"/>
  <c r="WL35" i="1"/>
  <c r="WM35" i="1" s="1"/>
  <c r="WS35" i="1" s="1"/>
  <c r="WC51" i="1"/>
  <c r="WO30" i="1"/>
  <c r="WC36" i="1"/>
  <c r="WC35" i="1"/>
  <c r="WC32" i="1"/>
  <c r="WO50" i="1"/>
  <c r="WO35" i="1"/>
  <c r="WO46" i="1"/>
  <c r="WO32" i="1"/>
  <c r="WC47" i="1"/>
  <c r="WO45" i="1"/>
  <c r="WL39" i="1"/>
  <c r="WM39" i="1" s="1"/>
  <c r="WS39" i="1" s="1"/>
  <c r="WO31" i="1"/>
  <c r="WO55" i="1"/>
  <c r="WL57" i="1"/>
  <c r="WM57" i="1" s="1"/>
  <c r="WS57" i="1" s="1"/>
  <c r="WO52" i="1"/>
  <c r="WO40" i="1"/>
  <c r="WO54" i="1"/>
  <c r="WC28" i="1"/>
  <c r="WO44" i="1"/>
  <c r="WC39" i="1"/>
  <c r="WL56" i="1"/>
  <c r="WM56" i="1" s="1"/>
  <c r="WS56" i="1" s="1"/>
  <c r="WC56" i="1"/>
  <c r="WL43" i="1"/>
  <c r="WM43" i="1" s="1"/>
  <c r="WS43" i="1" s="1"/>
  <c r="WO36" i="1"/>
  <c r="WC57" i="1"/>
  <c r="WO47" i="1"/>
  <c r="WL28" i="1"/>
  <c r="WM28" i="1" s="1"/>
  <c r="WS28" i="1" s="1"/>
  <c r="Q54" i="21" s="1" a="1"/>
  <c r="Q54" i="21" s="1"/>
  <c r="WC43" i="1"/>
  <c r="WC44" i="1"/>
  <c r="WO51" i="1"/>
  <c r="WF28" i="1"/>
  <c r="O53" i="21" s="1" a="1"/>
  <c r="O53" i="21" s="1"/>
  <c r="H51" i="21" s="1"/>
  <c r="Q53" i="21" a="1"/>
  <c r="Q53" i="21" s="1"/>
  <c r="WP34" i="1"/>
  <c r="XL36" i="1"/>
  <c r="WO56" i="1" a="1"/>
  <c r="WD43" i="1"/>
  <c r="WD32" i="1"/>
  <c r="WO43" i="1" a="1"/>
  <c r="WD57" i="1"/>
  <c r="WD44" i="1"/>
  <c r="XL47" i="1"/>
  <c r="WP46" i="1"/>
  <c r="WO28" i="1" a="1"/>
  <c r="WP32" i="1"/>
  <c r="XL57" i="1"/>
  <c r="WP55" i="1"/>
  <c r="WP44" i="1"/>
  <c r="XL56" i="1"/>
  <c r="WO57" i="1" a="1"/>
  <c r="WP31" i="1"/>
  <c r="WP54" i="1"/>
  <c r="WP36" i="1"/>
  <c r="WP40" i="1"/>
  <c r="WD39" i="1"/>
  <c r="WO39" i="1" a="1"/>
  <c r="XL32" i="1"/>
  <c r="XL34" i="1"/>
  <c r="WD51" i="1"/>
  <c r="WP45" i="1"/>
  <c r="WP30" i="1"/>
  <c r="WP50" i="1"/>
  <c r="WP47" i="1"/>
  <c r="WD47" i="1"/>
  <c r="WP52" i="1"/>
  <c r="XL51" i="1"/>
  <c r="WD36" i="1"/>
  <c r="WP35" i="1"/>
  <c r="WD28" i="1"/>
  <c r="WD56" i="1"/>
  <c r="WP51" i="1"/>
  <c r="XL44" i="1"/>
  <c r="XL35" i="1"/>
  <c r="WD35" i="1"/>
  <c r="XL39" i="1"/>
  <c r="XL43" i="1"/>
  <c r="WO39" i="1" l="1"/>
  <c r="WO28" i="1"/>
  <c r="WO43" i="1"/>
  <c r="WO57" i="1"/>
  <c r="WO56" i="1"/>
  <c r="WP43" i="1"/>
  <c r="XL28" i="1"/>
  <c r="WP56" i="1"/>
  <c r="H49" i="21" a="1"/>
  <c r="WP28" i="1"/>
  <c r="WP57" i="1"/>
  <c r="WP39" i="1"/>
  <c r="H49" i="2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<sst xmlns="http://schemas.openxmlformats.org/spreadsheetml/2006/main" count="1805" uniqueCount="463">
  <si>
    <t>Ballwurf</t>
  </si>
  <si>
    <t>Kugelstossen</t>
  </si>
  <si>
    <t>Speerwurf</t>
  </si>
  <si>
    <t>Sprungdisziplinen</t>
  </si>
  <si>
    <t>Hochsprung</t>
  </si>
  <si>
    <t>Weitsprung</t>
  </si>
  <si>
    <t>Geräteturnen</t>
  </si>
  <si>
    <t>Note</t>
  </si>
  <si>
    <t>Punktzahl</t>
  </si>
  <si>
    <t>Tanzen</t>
  </si>
  <si>
    <t>Aerobic</t>
  </si>
  <si>
    <t>Zeit</t>
  </si>
  <si>
    <t>Basketball</t>
  </si>
  <si>
    <t>Fussball</t>
  </si>
  <si>
    <t>Handball</t>
  </si>
  <si>
    <t>Unihockey</t>
  </si>
  <si>
    <t>Volleyball</t>
  </si>
  <si>
    <t>Ausdauer</t>
  </si>
  <si>
    <t>Beweglichkeit</t>
  </si>
  <si>
    <t>Rumpfkraft</t>
  </si>
  <si>
    <t>Schnelligkeit</t>
  </si>
  <si>
    <t>Rope-Skipping</t>
  </si>
  <si>
    <t>Resultat</t>
  </si>
  <si>
    <t>60-m-Lauf</t>
  </si>
  <si>
    <t>80-m-Lauf</t>
  </si>
  <si>
    <t>Status</t>
  </si>
  <si>
    <t>Lehrperson:</t>
  </si>
  <si>
    <t>Schulhaus:</t>
  </si>
  <si>
    <t>Klasse:</t>
  </si>
  <si>
    <t>Schulgemeinde:</t>
  </si>
  <si>
    <t>Knaben</t>
  </si>
  <si>
    <t>Mädchen</t>
  </si>
  <si>
    <t>Sekunden</t>
  </si>
  <si>
    <t>Punkte</t>
  </si>
  <si>
    <t>Bewertung</t>
  </si>
  <si>
    <t>Meter</t>
  </si>
  <si>
    <t>StdGeschlecht</t>
  </si>
  <si>
    <t>StdBewertung</t>
  </si>
  <si>
    <t>StdDisziplin</t>
  </si>
  <si>
    <t>StdBS</t>
  </si>
  <si>
    <t>StdAnzeigetext</t>
  </si>
  <si>
    <t>Anzeigetext</t>
  </si>
  <si>
    <t>Distanz</t>
  </si>
  <si>
    <t>12-Min.-Lauf (Halle)</t>
  </si>
  <si>
    <t>12-Min.-Lauf (im Freien)</t>
  </si>
  <si>
    <t>Meter, Zentimeter</t>
  </si>
  <si>
    <t>Anzahl</t>
  </si>
  <si>
    <t>Gruppe</t>
  </si>
  <si>
    <t>StdGruppe</t>
  </si>
  <si>
    <t>Wurfdisziplinen</t>
  </si>
  <si>
    <t>Sprintdisziplinen</t>
  </si>
  <si>
    <t>Ausdauerdisziplinen</t>
  </si>
  <si>
    <t>StdFähigkeit</t>
  </si>
  <si>
    <t>Fähigkeit</t>
  </si>
  <si>
    <t>Sekunden, Zehntelsekunden</t>
  </si>
  <si>
    <t>Schwimmen</t>
  </si>
  <si>
    <t>StdNummer</t>
  </si>
  <si>
    <t>Laufen, Springen, Werfen</t>
  </si>
  <si>
    <t>BS-Nr.</t>
  </si>
  <si>
    <t>Bewegen an Geräten</t>
  </si>
  <si>
    <t>Darstellen und Tanzen</t>
  </si>
  <si>
    <t>Spielen</t>
  </si>
  <si>
    <t>Bewegen im Wasser</t>
  </si>
  <si>
    <t>Fit-Check</t>
  </si>
  <si>
    <t>Konditionsparcours</t>
  </si>
  <si>
    <t>StdFit0</t>
  </si>
  <si>
    <t>StdFit1</t>
  </si>
  <si>
    <t>Fit0</t>
  </si>
  <si>
    <t>Fit1</t>
  </si>
  <si>
    <t>Zentimeter</t>
  </si>
  <si>
    <t>StdTabÜberschrift</t>
  </si>
  <si>
    <t>BS 5</t>
  </si>
  <si>
    <t>F A K U L T A T I V</t>
  </si>
  <si>
    <t>Ergebnis</t>
  </si>
  <si>
    <t>StdErgebnis</t>
  </si>
  <si>
    <t>Gleiten</t>
  </si>
  <si>
    <t>Erfüllt</t>
  </si>
  <si>
    <t>Name:</t>
  </si>
  <si>
    <t>Vorname:</t>
  </si>
  <si>
    <t>ID</t>
  </si>
  <si>
    <t>SechzigmLauf</t>
  </si>
  <si>
    <t>AchtzigmLauf</t>
  </si>
  <si>
    <t>ZwölfMinLaufHalle</t>
  </si>
  <si>
    <t>ZwölfMinLaufimFreien</t>
  </si>
  <si>
    <t>RopeSkipping</t>
  </si>
  <si>
    <t>Absolviert</t>
  </si>
  <si>
    <t>Sehr gut</t>
  </si>
  <si>
    <t>Gut</t>
  </si>
  <si>
    <t>Befriedigend</t>
  </si>
  <si>
    <t>Ungenügend</t>
  </si>
  <si>
    <t>S C H U L S P O R T P R Ü F U N G   NW  OW  SZ  UR</t>
  </si>
  <si>
    <t>Anzahl Runden</t>
  </si>
  <si>
    <t>Gleiten, Rollen, Fahren</t>
  </si>
  <si>
    <t>Datum Abgabe:</t>
  </si>
  <si>
    <t>an die Abteilung Sport / das Sportamt</t>
  </si>
  <si>
    <t>Bitte diese Resultatmappe</t>
  </si>
  <si>
    <t>Schüler/-in:</t>
  </si>
  <si>
    <t>Allgemeine Fitness</t>
  </si>
  <si>
    <t>StdFit2</t>
  </si>
  <si>
    <t>FIT</t>
  </si>
  <si>
    <t>Ø</t>
  </si>
  <si>
    <t>des betreffenden Kantons senden</t>
  </si>
  <si>
    <t>StdJahr</t>
  </si>
  <si>
    <t>StdJahrText</t>
  </si>
  <si>
    <t>Dispensiert</t>
  </si>
  <si>
    <t>bis Ende der 2. Oberstufe</t>
  </si>
  <si>
    <t>1. Oberstufe</t>
  </si>
  <si>
    <t>2. Oberstufe</t>
  </si>
  <si>
    <t>Geschlecht (Skala)</t>
  </si>
  <si>
    <t>Parkour</t>
  </si>
  <si>
    <t>Reck</t>
  </si>
  <si>
    <t>Boden</t>
  </si>
  <si>
    <t>Stufenbarren</t>
  </si>
  <si>
    <t>Parallelbarren</t>
  </si>
  <si>
    <t>Schaukelringe</t>
  </si>
  <si>
    <t>Sprung</t>
  </si>
  <si>
    <t>Titelanzeige</t>
  </si>
  <si>
    <t>Skala-Wert</t>
  </si>
  <si>
    <t>Resultatanzeige</t>
  </si>
  <si>
    <t>TabÜberschriftResultat</t>
  </si>
  <si>
    <t>TabÜberschriftNote</t>
  </si>
  <si>
    <t>TabÜberschriftDurchschnitt</t>
  </si>
  <si>
    <t>Sekunden, gerundet auf Hundertstelsekunden</t>
  </si>
  <si>
    <t>Anzahl Runden, gerundet auf halbe Runden</t>
  </si>
  <si>
    <t>Meter, gerundet auf ganze Zahl</t>
  </si>
  <si>
    <t>Zentimeter, gerundet auf ganze Zahl</t>
  </si>
  <si>
    <t>Meter, gerundet auf zwei Stellen</t>
  </si>
  <si>
    <t>StdResultatform</t>
  </si>
  <si>
    <t>Resultatform</t>
  </si>
  <si>
    <t>Effektiv erzieltes Resultat eintragen:</t>
  </si>
  <si>
    <t>Sekunden, gerundet auf Zehntelsekunden</t>
  </si>
  <si>
    <t>Punkte, gerundet auf ganze Zahl</t>
  </si>
  <si>
    <t>Vergleichstyp</t>
  </si>
  <si>
    <t>StdVergleichstyp</t>
  </si>
  <si>
    <t>Disziplin</t>
  </si>
  <si>
    <t>Punkte, abgerundet auf ganze Zahl</t>
  </si>
  <si>
    <t>2. OS</t>
  </si>
  <si>
    <t>Zentimeter, abgerundet auf ganze Zahl</t>
  </si>
  <si>
    <t>Sekunden, abgerundet auf ganze Zahl</t>
  </si>
  <si>
    <t>BereichBedingteFormatierung</t>
  </si>
  <si>
    <t>Rundung</t>
  </si>
  <si>
    <t>Positionen</t>
  </si>
  <si>
    <t>Maximalwert_OS2</t>
  </si>
  <si>
    <t>Maximalwert_OS1</t>
  </si>
  <si>
    <t>Durchschnitt</t>
  </si>
  <si>
    <t>Geräte Summe</t>
  </si>
  <si>
    <t>Disziplin BS 5</t>
  </si>
  <si>
    <t>Geschl</t>
  </si>
  <si>
    <t>SL</t>
  </si>
  <si>
    <t>AL</t>
  </si>
  <si>
    <t>ZH</t>
  </si>
  <si>
    <t>ZF</t>
  </si>
  <si>
    <t>Hs</t>
  </si>
  <si>
    <t>Ws</t>
  </si>
  <si>
    <t>Bw</t>
  </si>
  <si>
    <t>Ks</t>
  </si>
  <si>
    <t>Sw</t>
  </si>
  <si>
    <t>Rk</t>
  </si>
  <si>
    <t>Bd</t>
  </si>
  <si>
    <t>Sb</t>
  </si>
  <si>
    <t>Pb</t>
  </si>
  <si>
    <t>Sr</t>
  </si>
  <si>
    <t>Sp</t>
  </si>
  <si>
    <t>GS</t>
  </si>
  <si>
    <t>Pk</t>
  </si>
  <si>
    <t>Tz</t>
  </si>
  <si>
    <t>Rs</t>
  </si>
  <si>
    <t>Ae</t>
  </si>
  <si>
    <t>Bb</t>
  </si>
  <si>
    <t>Fb</t>
  </si>
  <si>
    <t>Hb</t>
  </si>
  <si>
    <t>Uh</t>
  </si>
  <si>
    <t>Vb</t>
  </si>
  <si>
    <t>Bf</t>
  </si>
  <si>
    <t>Sc</t>
  </si>
  <si>
    <t>Bg</t>
  </si>
  <si>
    <t>Ru</t>
  </si>
  <si>
    <t>Kp</t>
  </si>
  <si>
    <t>Nicht erfüllt</t>
  </si>
  <si>
    <t>N_60-m-Lauf</t>
  </si>
  <si>
    <t>N_80-m-Lauf</t>
  </si>
  <si>
    <t>N_12-Min.-Lauf (Halle)</t>
  </si>
  <si>
    <t>N_12-Min.-Lauf (im Freien)</t>
  </si>
  <si>
    <t>N_Hochsprung</t>
  </si>
  <si>
    <t>N_Weitsprung</t>
  </si>
  <si>
    <t>N_Ballwurf</t>
  </si>
  <si>
    <t>N_Kugelstossen</t>
  </si>
  <si>
    <t>N_Speerwurf</t>
  </si>
  <si>
    <t>N_Reck</t>
  </si>
  <si>
    <t>N_Boden</t>
  </si>
  <si>
    <t>N_Stufenbarren</t>
  </si>
  <si>
    <t>N_Parallelbarren</t>
  </si>
  <si>
    <t>N_Schaukelringe</t>
  </si>
  <si>
    <t>N_Sprung</t>
  </si>
  <si>
    <t>N_Geräte Summe</t>
  </si>
  <si>
    <t>N_Parkour</t>
  </si>
  <si>
    <t>N_Tanzen</t>
  </si>
  <si>
    <t>N_Rope-Skipping</t>
  </si>
  <si>
    <t>N_Aerobic</t>
  </si>
  <si>
    <t>N_Basketball</t>
  </si>
  <si>
    <t>N_Fussball</t>
  </si>
  <si>
    <t>N_Handball</t>
  </si>
  <si>
    <t>N_Unihockey</t>
  </si>
  <si>
    <t>N_Volleyball</t>
  </si>
  <si>
    <t>N_BS 5</t>
  </si>
  <si>
    <t>N_Schwimmen</t>
  </si>
  <si>
    <t>N_Beweglichkeit</t>
  </si>
  <si>
    <t>N_Rumpfkraft</t>
  </si>
  <si>
    <t>N_Konditionsparcours</t>
  </si>
  <si>
    <t>Schulsportprüfung</t>
  </si>
  <si>
    <t>Kanton</t>
  </si>
  <si>
    <t>Schulgemeinde</t>
  </si>
  <si>
    <t>Kantone</t>
  </si>
  <si>
    <t>Nidwalden</t>
  </si>
  <si>
    <t>Obwalden</t>
  </si>
  <si>
    <t>Schwyz</t>
  </si>
  <si>
    <t>Uri</t>
  </si>
  <si>
    <t>Niveau gehalten</t>
  </si>
  <si>
    <t>Bemerkungen</t>
  </si>
  <si>
    <t>Medaille</t>
  </si>
  <si>
    <t>Gold</t>
  </si>
  <si>
    <t>Silber</t>
  </si>
  <si>
    <t>Bronze</t>
  </si>
  <si>
    <t>Beurteilung</t>
  </si>
  <si>
    <t>Niveau deutlich verbessert</t>
  </si>
  <si>
    <t>Niveau verbessert</t>
  </si>
  <si>
    <t>Medaillen[Medaille]</t>
  </si>
  <si>
    <t>Niveau gesunken</t>
  </si>
  <si>
    <t>BS_1</t>
  </si>
  <si>
    <t>BS_2</t>
  </si>
  <si>
    <t>BS_3</t>
  </si>
  <si>
    <t>BS_4</t>
  </si>
  <si>
    <t>Notendurchschnitt</t>
  </si>
  <si>
    <t>Verteilschlüssel für Medaillen</t>
  </si>
  <si>
    <t>Erreichter Wert</t>
  </si>
  <si>
    <t>Bewertung2</t>
  </si>
  <si>
    <t xml:space="preserve"> nicht durchgeführt</t>
  </si>
  <si>
    <t>StdDisziplinen</t>
  </si>
  <si>
    <t>Skalawert</t>
  </si>
  <si>
    <t>Stans</t>
  </si>
  <si>
    <t>Runden</t>
  </si>
  <si>
    <t>Einsiedeln</t>
  </si>
  <si>
    <t>Gersau</t>
  </si>
  <si>
    <t>Wollerau</t>
  </si>
  <si>
    <t>Freienbach</t>
  </si>
  <si>
    <t>Pfäffikon</t>
  </si>
  <si>
    <t>Lachen</t>
  </si>
  <si>
    <t>Siebnen</t>
  </si>
  <si>
    <t>Buttikon</t>
  </si>
  <si>
    <t>Küssnacht</t>
  </si>
  <si>
    <t>Ingenbohl-Brunnen</t>
  </si>
  <si>
    <t>Muotathal</t>
  </si>
  <si>
    <t>Steinen</t>
  </si>
  <si>
    <t>Unteriberg</t>
  </si>
  <si>
    <t>Oberarth</t>
  </si>
  <si>
    <t>Rothenthurm</t>
  </si>
  <si>
    <t>Beckenried</t>
  </si>
  <si>
    <t>Buochs</t>
  </si>
  <si>
    <t>Dallenwil</t>
  </si>
  <si>
    <t>Emmetten</t>
  </si>
  <si>
    <t>Ennetbürgen</t>
  </si>
  <si>
    <t>Hergiswil</t>
  </si>
  <si>
    <t>Oberdorf</t>
  </si>
  <si>
    <t>Stansstad</t>
  </si>
  <si>
    <t>Wolfenschiessen</t>
  </si>
  <si>
    <t>Alpnach</t>
  </si>
  <si>
    <t>Engelberg</t>
  </si>
  <si>
    <t>Giswil</t>
  </si>
  <si>
    <t>Kerns</t>
  </si>
  <si>
    <t>Lungern</t>
  </si>
  <si>
    <t>Sachseln</t>
  </si>
  <si>
    <t>Sarnen</t>
  </si>
  <si>
    <t>Altdorf</t>
  </si>
  <si>
    <t>Bürglen</t>
  </si>
  <si>
    <t>Erstfeld</t>
  </si>
  <si>
    <t>Flüelen</t>
  </si>
  <si>
    <t>Seedorf</t>
  </si>
  <si>
    <t>Gurtnellen</t>
  </si>
  <si>
    <t>Andermatt</t>
  </si>
  <si>
    <t>Schattdorf</t>
  </si>
  <si>
    <t>Spiringen</t>
  </si>
  <si>
    <t>Silenen</t>
  </si>
  <si>
    <t>Schuljahr</t>
  </si>
  <si>
    <t>Zähler</t>
  </si>
  <si>
    <t>Gerundet</t>
  </si>
  <si>
    <t>BS_11</t>
  </si>
  <si>
    <t>BS_21</t>
  </si>
  <si>
    <t>BS_41</t>
  </si>
  <si>
    <t>3.75–4.74</t>
  </si>
  <si>
    <t>4.75–5.74</t>
  </si>
  <si>
    <t>1.00–3.74</t>
  </si>
  <si>
    <t>5.75–6.00</t>
  </si>
  <si>
    <t>Spielsportart</t>
  </si>
  <si>
    <t>Position</t>
  </si>
  <si>
    <t>Schulgemeinden</t>
  </si>
  <si>
    <t>BS.1</t>
  </si>
  <si>
    <t>BS.2</t>
  </si>
  <si>
    <t>BS.3</t>
  </si>
  <si>
    <t>BS.4</t>
  </si>
  <si>
    <t>BS.5</t>
  </si>
  <si>
    <t>BS.6</t>
  </si>
  <si>
    <t>DIPLOM</t>
  </si>
  <si>
    <t>OBLIGATORISCHE KOMPETENZBEREICHE</t>
  </si>
  <si>
    <t>FORMATIVE BEURTEILUNG</t>
  </si>
  <si>
    <t>MaxTextSt1</t>
  </si>
  <si>
    <t>MaxTextSt2</t>
  </si>
  <si>
    <r>
      <rPr>
        <sz val="11"/>
        <color rgb="FFC00000"/>
        <rFont val="Bahnschrift SemiBold"/>
        <family val="2"/>
      </rPr>
      <t xml:space="preserve">Schuljahr
</t>
    </r>
    <r>
      <rPr>
        <sz val="11"/>
        <color rgb="FFC00000"/>
        <rFont val="Bahnschrift"/>
        <family val="2"/>
      </rPr>
      <t xml:space="preserve">. </t>
    </r>
    <r>
      <rPr>
        <u/>
        <sz val="11"/>
        <color rgb="FFC00000"/>
        <rFont val="Bahnschrift"/>
        <family val="2"/>
      </rPr>
      <t>Standard:</t>
    </r>
    <r>
      <rPr>
        <sz val="11"/>
        <color rgb="FFC00000"/>
        <rFont val="Bahnschrift"/>
        <family val="2"/>
      </rPr>
      <t xml:space="preserve"> aus Vorgabeliste wählen
. </t>
    </r>
    <r>
      <rPr>
        <u/>
        <sz val="11"/>
        <color rgb="FFC00000"/>
        <rFont val="Bahnschrift"/>
        <family val="2"/>
      </rPr>
      <t>Alternative:</t>
    </r>
    <r>
      <rPr>
        <sz val="11"/>
        <color rgb="FFC00000"/>
        <rFont val="Bahnschrift"/>
        <family val="2"/>
      </rPr>
      <t xml:space="preserve"> Falls gewünschtes
  Schuljahr nicht in Liste enthalten:
  Jahreszahlen in untenstehender
  Zelle manuell eintragen, erscheinen
  anschliessend an unterster Position
  in Liste und können ausgewählt
  werden</t>
    </r>
  </si>
  <si>
    <r>
      <rPr>
        <sz val="11"/>
        <color rgb="FFC00000"/>
        <rFont val="Bahnschrift SemiBold"/>
        <family val="2"/>
      </rPr>
      <t>Je SuS: Beleg abspeichern möglich</t>
    </r>
    <r>
      <rPr>
        <sz val="11"/>
        <color rgb="FFC00000"/>
        <rFont val="Bahnschrift"/>
        <family val="2"/>
      </rPr>
      <t xml:space="preserve">
über «Microsoft Print to PDF»
(unter «Drucker» auswählen im Druckmenü)</t>
    </r>
  </si>
  <si>
    <r>
      <rPr>
        <sz val="11"/>
        <color rgb="FFC00000"/>
        <rFont val="Bahnschrift SemiBold"/>
        <family val="2"/>
      </rPr>
      <t>Drucken über Druckmenü im Excel</t>
    </r>
    <r>
      <rPr>
        <sz val="11"/>
        <color rgb="FFC00000"/>
        <rFont val="Bahnschrift"/>
        <family val="2"/>
      </rPr>
      <t xml:space="preserve">
</t>
    </r>
    <r>
      <rPr>
        <u/>
        <sz val="11"/>
        <color rgb="FFC00000"/>
        <rFont val="Bahnschrift"/>
        <family val="2"/>
      </rPr>
      <t>Hinweis:</t>
    </r>
    <r>
      <rPr>
        <sz val="11"/>
        <color rgb="FFC00000"/>
        <rFont val="Bahnschrift"/>
        <family val="2"/>
      </rPr>
      <t xml:space="preserve"> Graue Positionsrahmen bei
Grafiken erscheinen nicht im Druck</t>
    </r>
  </si>
  <si>
    <t>Vorgehen für LP</t>
  </si>
  <si>
    <t>Je SuS: Zutreffenden Text jeweils neu
aus Vorgabeliste auswählen</t>
  </si>
  <si>
    <r>
      <rPr>
        <sz val="11"/>
        <color rgb="FFC00000"/>
        <rFont val="Bahnschrift SemiBold"/>
        <family val="2"/>
      </rPr>
      <t>Je SuS: Bemerkungen jeweils neu
manuell eintragen</t>
    </r>
    <r>
      <rPr>
        <sz val="11"/>
        <color rgb="FFC00000"/>
        <rFont val="Bahnschrift"/>
        <family val="2"/>
      </rPr>
      <t xml:space="preserve">
(Zeilenumbruch mit Alt + Enter)
</t>
    </r>
    <r>
      <rPr>
        <u/>
        <sz val="11"/>
        <color rgb="FFC00000"/>
        <rFont val="Bahnschrift"/>
        <family val="2"/>
      </rPr>
      <t>Hinweis:</t>
    </r>
    <r>
      <rPr>
        <sz val="11"/>
        <color rgb="FFC00000"/>
        <rFont val="Bahnschrift"/>
        <family val="2"/>
      </rPr>
      <t xml:space="preserve"> Text muss je SuS zuerst
manuell gelöscht werden</t>
    </r>
  </si>
  <si>
    <r>
      <rPr>
        <sz val="11"/>
        <color rgb="FFC00000"/>
        <rFont val="Bahnschrift SemiBold"/>
        <family val="2"/>
      </rPr>
      <t xml:space="preserve">Je SuS: Nummer wählen
</t>
    </r>
    <r>
      <rPr>
        <sz val="11"/>
        <color rgb="FFC00000"/>
        <rFont val="Bahnschrift"/>
        <family val="2"/>
      </rPr>
      <t>Vorname/Name sowie Disziplinen/
Resultate/Medaillen erscheinen
automatisch</t>
    </r>
  </si>
  <si>
    <r>
      <rPr>
        <sz val="11"/>
        <color rgb="FFC00000"/>
        <rFont val="Bahnschrift SemiBold"/>
        <family val="2"/>
      </rPr>
      <t xml:space="preserve">Hinweise für die Handhabung der Unterschriftsgrafik
</t>
    </r>
    <r>
      <rPr>
        <sz val="11"/>
        <color rgb="FFC00000"/>
        <rFont val="Bahnschrift"/>
        <family val="2"/>
      </rPr>
      <t>. Die eingerahmte Zelle für die Unterschrift soll in der Grösse
  nicht verändert werden, da die Unterschrift sonst auf dem
  Diplom verzerrt erscheint.
. Wenn die Unterschrift von der Grösse her nicht in die
  eingerahmte Zelle passt, die Unterschrift in nebenstehenden
  freien Raum unterhalb der eingerahmten Zelle kopieren/
  einfügen und in der Grösse verringern (skalieren), bis sie
  in die eingerahmte Zelle passt.
. Skalieren ohne Verzerren: Grafik mit Maus an einem der
  Eckpunkte fassen und mit Shift + linke Maustaste auf Grösse
  stauchen, anschliessend in die eingerahmte Zelle verschieben.
. Grafik kann innerhalb der eingerahmten Zelle verschoben
  werden, um die vertikale und die horizontale Position
  der Unterschrift auf dem Diplom zu optimieren.</t>
    </r>
  </si>
  <si>
    <t>Umrechnung</t>
  </si>
  <si>
    <t>ResultatMin_K</t>
  </si>
  <si>
    <t>ResultatSek_K</t>
  </si>
  <si>
    <t>Resultat_K</t>
  </si>
  <si>
    <t>ResultatMin_M</t>
  </si>
  <si>
    <t>ResultatSek_M</t>
  </si>
  <si>
    <t>Resultat_M</t>
  </si>
  <si>
    <t>Minuten und Sekunden, jeweils ganze Zahl</t>
  </si>
  <si>
    <t>Anzeige</t>
  </si>
  <si>
    <t>Skala-Wert0</t>
  </si>
  <si>
    <t>Minuten, Sekunden</t>
  </si>
  <si>
    <t>StdTabResultat</t>
  </si>
  <si>
    <t>StdTabGerundet</t>
  </si>
  <si>
    <t>_X</t>
  </si>
  <si>
    <t>StdTabResRes</t>
  </si>
  <si>
    <t>StdTabGerRun</t>
  </si>
  <si>
    <t>TabÜberschriftSkala</t>
  </si>
  <si>
    <t>StdTabPos</t>
  </si>
  <si>
    <t>∑</t>
  </si>
  <si>
    <t>Ausgabe</t>
  </si>
  <si>
    <t>Erste</t>
  </si>
  <si>
    <t>Zweite</t>
  </si>
  <si>
    <t>Dritte</t>
  </si>
  <si>
    <t>Gerät</t>
  </si>
  <si>
    <t>Anz.</t>
  </si>
  <si>
    <t>#</t>
  </si>
  <si>
    <t>Bei Gleichheit</t>
  </si>
  <si>
    <t>=3</t>
  </si>
  <si>
    <t>=2X</t>
  </si>
  <si>
    <t>=X2</t>
  </si>
  <si>
    <t>Min</t>
  </si>
  <si>
    <t>Sek</t>
  </si>
  <si>
    <t>Teiler</t>
  </si>
  <si>
    <t>AnzGeforderteDiszGruppe</t>
  </si>
  <si>
    <t>RundungDurchschnitt</t>
  </si>
  <si>
    <t>StufeMax</t>
  </si>
  <si>
    <t>_Stufe_</t>
  </si>
  <si>
    <t>StdTabMax</t>
  </si>
  <si>
    <t>Spalte</t>
  </si>
  <si>
    <t>Schuljahre[Schuljahr]</t>
  </si>
  <si>
    <t>_Nr</t>
  </si>
  <si>
    <t>Form_Beurt[Beurteilung]</t>
  </si>
  <si>
    <t>AuswDipl1</t>
  </si>
  <si>
    <t>AuswDipl2</t>
  </si>
  <si>
    <t>AuswDipl3</t>
  </si>
  <si>
    <t>AuswDipl4</t>
  </si>
  <si>
    <t>Medaillen[Position]</t>
  </si>
  <si>
    <t>_M_BS_1</t>
  </si>
  <si>
    <t>_M_BS_4</t>
  </si>
  <si>
    <t>_M_BS_3</t>
  </si>
  <si>
    <t>_M_BS_2</t>
  </si>
  <si>
    <t>Form_Beurt[Position]</t>
  </si>
  <si>
    <t>_SuS</t>
  </si>
  <si>
    <t>Maximalwert_Text</t>
  </si>
  <si>
    <t>este</t>
  </si>
  <si>
    <t>aus jeder der</t>
  </si>
  <si>
    <t>AnzDisz</t>
  </si>
  <si>
    <t>AuswDipl0</t>
  </si>
  <si>
    <t>BS_0</t>
  </si>
  <si>
    <t>1</t>
  </si>
  <si>
    <t>2</t>
  </si>
  <si>
    <t xml:space="preserve">In den </t>
  </si>
  <si>
    <t xml:space="preserve"> eingehende </t>
  </si>
  <si>
    <t>Gesamt</t>
  </si>
  <si>
    <t>x</t>
  </si>
  <si>
    <r>
      <rPr>
        <b/>
        <sz val="11"/>
        <color theme="0"/>
        <rFont val="Calibri"/>
        <family val="2"/>
        <scheme val="minor"/>
      </rPr>
      <t>0</t>
    </r>
    <r>
      <rPr>
        <sz val="11"/>
        <color theme="0"/>
        <rFont val="Calibri"/>
        <family val="2"/>
        <scheme val="minor"/>
      </rPr>
      <t xml:space="preserve">  für Betrug/Verweigerung</t>
    </r>
  </si>
  <si>
    <r>
      <rPr>
        <b/>
        <sz val="11"/>
        <color theme="0"/>
        <rFont val="Calibri"/>
        <family val="2"/>
        <scheme val="minor"/>
      </rPr>
      <t>d</t>
    </r>
    <r>
      <rPr>
        <sz val="11"/>
        <color theme="0"/>
        <rFont val="Calibri"/>
        <family val="2"/>
        <scheme val="minor"/>
      </rPr>
      <t xml:space="preserve">  für Dispensation</t>
    </r>
  </si>
  <si>
    <r>
      <rPr>
        <sz val="11"/>
        <color theme="0"/>
        <rFont val="Calibri"/>
        <family val="2"/>
        <scheme val="minor"/>
      </rPr>
      <t xml:space="preserve">Stufe der Prüfung wählen  </t>
    </r>
    <r>
      <rPr>
        <sz val="11"/>
        <color theme="0"/>
        <rFont val="Wingdings"/>
        <charset val="2"/>
      </rPr>
      <t>ð</t>
    </r>
  </si>
  <si>
    <t>Umgerechnet</t>
  </si>
  <si>
    <t>_Code</t>
  </si>
  <si>
    <t>Typ Spalte</t>
  </si>
  <si>
    <t>2+</t>
  </si>
  <si>
    <t>GZRes</t>
  </si>
  <si>
    <t>GZMin</t>
  </si>
  <si>
    <t>GZSek</t>
  </si>
  <si>
    <t>AnzGeforderteDiszBS</t>
  </si>
  <si>
    <t>Format</t>
  </si>
  <si>
    <t>ZeileStellenDurchschnitt</t>
  </si>
  <si>
    <t>Res_Code</t>
  </si>
  <si>
    <t>Run_Code</t>
  </si>
  <si>
    <t>Ska_Code</t>
  </si>
  <si>
    <t>Not_Code</t>
  </si>
  <si>
    <t>R-Anzeige</t>
  </si>
  <si>
    <t>N-Anzeige</t>
  </si>
  <si>
    <t>R-A_Code</t>
  </si>
  <si>
    <t>N-A_Code</t>
  </si>
  <si>
    <t xml:space="preserve"> gem. Stufe</t>
  </si>
  <si>
    <t>GemStufe</t>
  </si>
  <si>
    <t>steuerung</t>
  </si>
  <si>
    <t>BS_31</t>
  </si>
  <si>
    <t>M-Position</t>
  </si>
  <si>
    <t>M-P_Code</t>
  </si>
  <si>
    <t>StdTabResEin</t>
  </si>
  <si>
    <t>Eingabe</t>
  </si>
  <si>
    <t>BedRes</t>
  </si>
  <si>
    <t>SchwimmenResultatMin[@[BedRes]]</t>
  </si>
  <si>
    <t>SchwimmenResultatSek[@[BedRes]]</t>
  </si>
  <si>
    <t>Not</t>
  </si>
  <si>
    <r>
      <rPr>
        <sz val="11"/>
        <color rgb="FFC00000"/>
        <rFont val="Bahnschrift SemiBold"/>
        <family val="2"/>
      </rPr>
      <t xml:space="preserve">Unterschrift
</t>
    </r>
    <r>
      <rPr>
        <sz val="11"/>
        <color rgb="FFC00000"/>
        <rFont val="Bahnschrift"/>
        <family val="2"/>
      </rPr>
      <t xml:space="preserve">. </t>
    </r>
    <r>
      <rPr>
        <u/>
        <sz val="11"/>
        <color rgb="FFC00000"/>
        <rFont val="Bahnschrift"/>
        <family val="2"/>
      </rPr>
      <t>Variante 1:</t>
    </r>
    <r>
      <rPr>
        <sz val="11"/>
        <color rgb="FFC00000"/>
        <rFont val="Bahnschrift"/>
        <family val="2"/>
      </rPr>
      <t xml:space="preserve"> ausdrucken und von Hand
  unterschreiben
. </t>
    </r>
    <r>
      <rPr>
        <u/>
        <sz val="11"/>
        <color rgb="FFC00000"/>
        <rFont val="Bahnschrift"/>
        <family val="2"/>
      </rPr>
      <t>Variante 2:</t>
    </r>
    <r>
      <rPr>
        <sz val="11"/>
        <color rgb="FFC00000"/>
        <rFont val="Bahnschrift"/>
        <family val="2"/>
      </rPr>
      <t xml:space="preserve"> Falls Unterschrift mittels
  Grafikdatei (JPG, BMP usw.) eingefügt
  werden soll: Grafik in Tabellenblatt
  «Diplom_Unterschrift» in eingerahmte
  Zelle kopieren oder dort via Menüband
  «Einfügen»/«Illustrationen»/«Bilder»
  einfügen. Grafik kann skaliert und 
  positioniert werden gemäss Hinweisen 
  in Tabellenblatt «Diplom_Unterschrift».</t>
    </r>
  </si>
  <si>
    <t>StdTabEingabe</t>
  </si>
  <si>
    <t>Anz_StdTabEingabe</t>
  </si>
  <si>
    <t>Rundung_Stellen</t>
  </si>
  <si>
    <t>Rundung_Aufrunden</t>
  </si>
  <si>
    <t>Punkte, aufgerundet auf ganze oder halbe Punkte</t>
  </si>
  <si>
    <t>Punkte, gerundet auf ganze Punkte</t>
  </si>
  <si>
    <t>Schuljahr 2026/2027</t>
  </si>
  <si>
    <t>StdBewertungen</t>
  </si>
  <si>
    <t>StdFit</t>
  </si>
  <si>
    <t>[@[</t>
  </si>
  <si>
    <t>wert</t>
  </si>
  <si>
    <t>Diplom</t>
  </si>
  <si>
    <t>Zehntel</t>
  </si>
  <si>
    <t>Hundertstel</t>
  </si>
  <si>
    <t>Zenti</t>
  </si>
  <si>
    <t>Minuten</t>
  </si>
  <si>
    <t>Zahl</t>
  </si>
  <si>
    <t xml:space="preserve">halbe </t>
  </si>
  <si>
    <t xml:space="preserve">ganze </t>
  </si>
  <si>
    <t>#Kopfzeilen</t>
  </si>
  <si>
    <t>Resultatmappe</t>
  </si>
  <si>
    <t>Bereich_Ein_Z</t>
  </si>
  <si>
    <t>Bereich_Ein_S</t>
  </si>
  <si>
    <t>Bereich_Ein_ZStart</t>
  </si>
  <si>
    <t>Bereich_Ein_ZEnde</t>
  </si>
  <si>
    <t>Bereich_Ein_Adr</t>
  </si>
  <si>
    <t>Bereich_Stu_Adr</t>
  </si>
  <si>
    <t>Bereichsbearbeitung zulassen</t>
  </si>
  <si>
    <t>StdSpezBer</t>
  </si>
  <si>
    <t>SpezBer_Name</t>
  </si>
  <si>
    <t>SpezBer_Start</t>
  </si>
  <si>
    <t>SpezBer_Ende</t>
  </si>
  <si>
    <t>SpezBer_SpKorr</t>
  </si>
  <si>
    <t>SpezBer_Adr</t>
  </si>
  <si>
    <t xml:space="preserve"> Stellen</t>
  </si>
  <si>
    <t>Resultat/Note werden von BS.1 übernommen</t>
  </si>
  <si>
    <t>Effektiv erzieltes Resultat bei BS.1 eintragen</t>
  </si>
  <si>
    <t>SpezBer_offen2</t>
  </si>
  <si>
    <t>SpezBer_ZlKorr</t>
  </si>
  <si>
    <t>_Zellen_offen_Eingabe</t>
  </si>
  <si>
    <t>_Zellen_offen_StartStufen</t>
  </si>
  <si>
    <t>(_LP1)</t>
  </si>
  <si>
    <t>(_LP2)</t>
  </si>
  <si>
    <t>(_Disz)</t>
  </si>
  <si>
    <t>(_Gesch)</t>
  </si>
  <si>
    <t>$G$28:$G$57;$S$28:$S$57;$AE$28:$AE$57;$AQ$28:$AQ$57;$BC$28:$BC$57;$BO$28:$BO$57;$CA$28:$CA$57;$CM$28:$CM$57;$CY$28:$CY$57;$HP$28:$HP$57;$HY$28:$HY$57;$IH$28:$IH$57;$IQ$28:$IQ$57;$IZ$28:$IZ$57;$JI$28:$JI$57;$NG$28:$NG$57;$PC$28:$PC$57;$PO$28:$PO$57;$QB$28:$QB$57;$RN$28:$RN$57;$RZ$28:$RZ$57;$SL$28:$SL$57;$SX$28:$SX$57;$TJ$28:$TJ$57;$ZK$28:$ZK$57;$ZM$28:$ZM$57;$AAR$28:$AAR$57;$ABD$28:$ABD$57;$ACB$28:$ACB$57;$ZR$28:$ZR$57</t>
  </si>
  <si>
    <t>$C$17:$C$21;$E$17:$E$17;Resultatmappe!$B$28:$C$57;$ZH$27:$ZH$57;$E$28:$E$57;$G$25;$S$25;$AE$25;$AQ$25;$BC$25;$BO$25;$CA$25;$CM$25;$CY$25;$HP$25;$HY$25;$IH$25;$IQ$25;$IZ$25;$JI$25;$NG$25;$PC$25;$PO$25;$QB$25;$RN$25;$RZ$25;$SL$25;$SX$25;$TJ$25;$ZK$25;$ZM$25;$AAR$25;$ABD$25;$ACB$25</t>
  </si>
  <si>
    <t>Version: 4.0, 08-2026</t>
  </si>
  <si>
    <r>
      <t xml:space="preserve">–  Wenn die ganze Klasse dieselbe Disziplin absolviert hat, Disziplin </t>
    </r>
    <r>
      <rPr>
        <b/>
        <sz val="8"/>
        <color rgb="FF00B050"/>
        <rFont val="Calibri"/>
        <family val="2"/>
        <scheme val="minor"/>
      </rPr>
      <t>im obersten Feld</t>
    </r>
    <r>
      <rPr>
        <sz val="8"/>
        <color theme="1"/>
        <rFont val="Calibri"/>
        <family val="2"/>
        <scheme val="minor"/>
      </rPr>
      <t xml:space="preserve"> eintragen: leere Zeile auswählen und Disziplin eintragen
–  Zeile je Schüler/-in: Disziplin auswählen oder leere Zeile auswählen und individuelle Disziplin eintragen</t>
    </r>
  </si>
  <si>
    <t>In Spalte "Eingabe":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</si>
</sst>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807]d/\ mmmm\ yyyy;@"/>
    <numFmt numFmtId="166" formatCode="00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0"/>
      <name val="Calibri"/>
      <family val="2"/>
      <scheme val="minor"/>
    </font>
    <font>
      <b/>
      <sz val="8"/>
      <color rgb="FF00B05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Bahnschrift"/>
      <family val="2"/>
    </font>
    <font>
      <b/>
      <sz val="16"/>
      <color theme="1"/>
      <name val="Bahnschrift"/>
      <family val="2"/>
    </font>
    <font>
      <sz val="16"/>
      <color theme="1"/>
      <name val="Bahnschrift"/>
      <family val="2"/>
    </font>
    <font>
      <sz val="11"/>
      <color theme="0"/>
      <name val="Bahnschrift"/>
      <family val="2"/>
    </font>
    <font>
      <sz val="14"/>
      <color theme="1"/>
      <name val="Bahnschrift"/>
      <family val="2"/>
    </font>
    <font>
      <sz val="11"/>
      <color rgb="FFC00000"/>
      <name val="Bahnschrift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6"/>
      <name val="Bahnschrift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1"/>
      <name val="Bahnschrift"/>
      <family val="2"/>
    </font>
    <font>
      <sz val="12"/>
      <color theme="0"/>
      <name val="Bahnschrift"/>
      <family val="2"/>
    </font>
    <font>
      <b/>
      <sz val="16"/>
      <color rgb="FFC00000"/>
      <name val="Bahnschrift"/>
      <family val="2"/>
    </font>
    <font>
      <sz val="10"/>
      <color rgb="FF000000"/>
      <name val="Calibri"/>
      <family val="2"/>
      <scheme val="minor"/>
    </font>
    <font>
      <sz val="9"/>
      <color theme="1"/>
      <name val="Bahnschrift"/>
      <family val="2"/>
    </font>
    <font>
      <sz val="9"/>
      <name val="Bahnschrift"/>
      <family val="2"/>
    </font>
    <font>
      <sz val="8"/>
      <color rgb="FF000000"/>
      <name val="Bahnschrift"/>
      <family val="2"/>
    </font>
    <font>
      <sz val="6"/>
      <color theme="1"/>
      <name val="Bahnschrift"/>
      <family val="2"/>
    </font>
    <font>
      <b/>
      <sz val="16"/>
      <color rgb="FFCC9933"/>
      <name val="Bahnschrift"/>
      <family val="2"/>
    </font>
    <font>
      <sz val="18"/>
      <color theme="1"/>
      <name val="Bahnschrift"/>
      <family val="2"/>
    </font>
    <font>
      <sz val="48"/>
      <color rgb="FFFF0000"/>
      <name val="Bahnschrift SemiBold"/>
      <family val="2"/>
    </font>
    <font>
      <sz val="11"/>
      <color rgb="FFC00000"/>
      <name val="Bahnschrift SemiBold"/>
      <family val="2"/>
    </font>
    <font>
      <sz val="14"/>
      <color rgb="FFC00000"/>
      <name val="Bahnschrift SemiBold"/>
      <family val="2"/>
    </font>
    <font>
      <u/>
      <sz val="11"/>
      <color rgb="FFC00000"/>
      <name val="Bahnschrift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Narrow"/>
    </font>
    <font>
      <sz val="11"/>
      <color theme="1"/>
      <name val="Aptos Narrow"/>
      <charset val="1"/>
    </font>
    <font>
      <sz val="11"/>
      <color theme="1"/>
      <name val="Calibri"/>
      <family val="2"/>
      <scheme val="minor"/>
    </font>
    <font>
      <sz val="11"/>
      <color theme="0"/>
      <name val="Wingdings"/>
      <charset val="2"/>
    </font>
    <font>
      <sz val="11"/>
      <color theme="0"/>
      <name val="Wingdings"/>
      <family val="2"/>
      <charset val="2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ck">
        <color rgb="FFCC9933"/>
      </left>
      <right/>
      <top style="thick">
        <color rgb="FFCC9933"/>
      </top>
      <bottom/>
      <diagonal/>
    </border>
    <border>
      <left/>
      <right/>
      <top style="thick">
        <color rgb="FFCC9933"/>
      </top>
      <bottom/>
      <diagonal/>
    </border>
    <border>
      <left/>
      <right style="thick">
        <color rgb="FFCC9933"/>
      </right>
      <top style="thick">
        <color rgb="FFCC9933"/>
      </top>
      <bottom/>
      <diagonal/>
    </border>
    <border>
      <left style="thick">
        <color rgb="FFCC9933"/>
      </left>
      <right/>
      <top/>
      <bottom/>
      <diagonal/>
    </border>
    <border>
      <left/>
      <right style="thick">
        <color rgb="FFCC9933"/>
      </right>
      <top/>
      <bottom/>
      <diagonal/>
    </border>
    <border>
      <left style="thick">
        <color rgb="FFCC9933"/>
      </left>
      <right/>
      <top/>
      <bottom style="thick">
        <color rgb="FFCC9933"/>
      </bottom>
      <diagonal/>
    </border>
    <border>
      <left/>
      <right/>
      <top/>
      <bottom style="thick">
        <color rgb="FFCC9933"/>
      </bottom>
      <diagonal/>
    </border>
    <border>
      <left/>
      <right style="thick">
        <color rgb="FFCC9933"/>
      </right>
      <top/>
      <bottom style="thick">
        <color rgb="FFCC9933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2">
    <xf numFmtId="0" fontId="0" fillId="0" borderId="0"/>
    <xf numFmtId="0" fontId="9" fillId="0" borderId="16" applyNumberFormat="0" applyFont="0" applyFill="0" applyBorder="0" applyAlignment="0">
      <protection locked="0"/>
    </xf>
  </cellStyleXfs>
  <cellXfs count="392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left"/>
    </xf>
    <xf numFmtId="2" fontId="0" fillId="0" borderId="0" xfId="0" applyNumberFormat="1"/>
    <xf numFmtId="1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/>
    <xf numFmtId="0" fontId="5" fillId="0" borderId="0" xfId="0" applyFont="1"/>
    <xf numFmtId="2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5" fillId="6" borderId="0" xfId="0" applyFont="1" applyFill="1"/>
    <xf numFmtId="1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18" fillId="0" borderId="0" xfId="0" applyFont="1"/>
    <xf numFmtId="0" fontId="0" fillId="0" borderId="0" xfId="0" applyAlignment="1">
      <alignment horizontal="left" vertical="top"/>
    </xf>
    <xf numFmtId="164" fontId="0" fillId="0" borderId="17" xfId="0" applyNumberFormat="1" applyBorder="1" applyAlignment="1">
      <alignment horizontal="left"/>
    </xf>
    <xf numFmtId="0" fontId="21" fillId="0" borderId="0" xfId="0" applyFont="1" applyAlignment="1">
      <alignment horizontal="left" vertical="center" wrapText="1"/>
    </xf>
    <xf numFmtId="2" fontId="22" fillId="0" borderId="0" xfId="0" applyNumberFormat="1" applyFont="1" applyAlignment="1">
      <alignment horizontal="left" vertical="center" wrapText="1"/>
    </xf>
    <xf numFmtId="1" fontId="22" fillId="0" borderId="0" xfId="0" applyNumberFormat="1" applyFont="1" applyAlignment="1">
      <alignment horizontal="left" vertical="center" wrapText="1"/>
    </xf>
    <xf numFmtId="164" fontId="22" fillId="0" borderId="0" xfId="0" applyNumberFormat="1" applyFont="1" applyAlignment="1">
      <alignment horizontal="left" vertical="center" wrapText="1"/>
    </xf>
    <xf numFmtId="164" fontId="19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2" fontId="22" fillId="0" borderId="0" xfId="0" applyNumberFormat="1" applyFont="1" applyAlignment="1">
      <alignment horizontal="left" vertical="top" wrapText="1"/>
    </xf>
    <xf numFmtId="164" fontId="18" fillId="0" borderId="0" xfId="0" applyNumberFormat="1" applyFont="1" applyAlignment="1">
      <alignment horizontal="left"/>
    </xf>
    <xf numFmtId="2" fontId="23" fillId="0" borderId="0" xfId="0" applyNumberFormat="1" applyFont="1" applyAlignment="1">
      <alignment horizontal="left" vertical="top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left" vertical="center"/>
    </xf>
    <xf numFmtId="0" fontId="0" fillId="0" borderId="27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8" borderId="0" xfId="0" applyFill="1"/>
    <xf numFmtId="0" fontId="5" fillId="0" borderId="0" xfId="0" applyFont="1" applyAlignment="1">
      <alignment horizontal="left"/>
    </xf>
    <xf numFmtId="1" fontId="0" fillId="0" borderId="0" xfId="0" applyNumberFormat="1"/>
    <xf numFmtId="0" fontId="0" fillId="0" borderId="1" xfId="0" applyBorder="1" applyAlignment="1">
      <alignment horizontal="left"/>
    </xf>
    <xf numFmtId="1" fontId="34" fillId="0" borderId="0" xfId="0" applyNumberFormat="1" applyFont="1" applyAlignment="1">
      <alignment horizontal="left" vertical="top"/>
    </xf>
    <xf numFmtId="2" fontId="35" fillId="0" borderId="0" xfId="0" applyNumberFormat="1" applyFont="1" applyAlignment="1">
      <alignment horizontal="left" vertical="top" wrapText="1"/>
    </xf>
    <xf numFmtId="0" fontId="36" fillId="0" borderId="0" xfId="0" applyFont="1"/>
    <xf numFmtId="0" fontId="2" fillId="0" borderId="17" xfId="0" applyFont="1" applyBorder="1"/>
    <xf numFmtId="0" fontId="4" fillId="10" borderId="31" xfId="0" applyFont="1" applyFill="1" applyBorder="1"/>
    <xf numFmtId="2" fontId="0" fillId="0" borderId="31" xfId="0" applyNumberFormat="1" applyBorder="1" applyAlignment="1">
      <alignment horizontal="left"/>
    </xf>
    <xf numFmtId="2" fontId="0" fillId="11" borderId="31" xfId="0" applyNumberFormat="1" applyFill="1" applyBorder="1" applyAlignment="1">
      <alignment horizontal="left"/>
    </xf>
    <xf numFmtId="0" fontId="0" fillId="0" borderId="0" xfId="0" applyAlignment="1">
      <alignment horizontal="right"/>
    </xf>
    <xf numFmtId="0" fontId="40" fillId="0" borderId="0" xfId="0" applyFont="1" applyAlignment="1">
      <alignment horizontal="center" vertical="top"/>
    </xf>
    <xf numFmtId="0" fontId="0" fillId="0" borderId="0" xfId="0" applyProtection="1">
      <protection locked="0"/>
    </xf>
    <xf numFmtId="2" fontId="0" fillId="14" borderId="0" xfId="0" applyNumberFormat="1" applyFill="1" applyAlignment="1">
      <alignment horizontal="left"/>
    </xf>
    <xf numFmtId="0" fontId="54" fillId="0" borderId="0" xfId="0" applyFont="1" applyAlignment="1">
      <alignment horizontal="left"/>
    </xf>
    <xf numFmtId="2" fontId="54" fillId="0" borderId="0" xfId="0" applyNumberFormat="1" applyFont="1" applyAlignment="1">
      <alignment horizontal="left"/>
    </xf>
    <xf numFmtId="164" fontId="54" fillId="0" borderId="0" xfId="0" applyNumberFormat="1" applyFont="1" applyAlignment="1">
      <alignment horizontal="left"/>
    </xf>
    <xf numFmtId="164" fontId="0" fillId="14" borderId="0" xfId="0" applyNumberFormat="1" applyFill="1" applyAlignment="1">
      <alignment horizontal="left"/>
    </xf>
    <xf numFmtId="0" fontId="0" fillId="14" borderId="0" xfId="0" applyFill="1"/>
    <xf numFmtId="1" fontId="0" fillId="14" borderId="0" xfId="0" applyNumberFormat="1" applyFill="1" applyAlignment="1">
      <alignment horizontal="left"/>
    </xf>
    <xf numFmtId="2" fontId="54" fillId="0" borderId="0" xfId="0" applyNumberFormat="1" applyFont="1" applyAlignment="1">
      <alignment horizontal="left" vertical="top"/>
    </xf>
    <xf numFmtId="1" fontId="55" fillId="0" borderId="0" xfId="0" applyNumberFormat="1" applyFont="1" applyAlignment="1">
      <alignment horizontal="left" vertical="top"/>
    </xf>
    <xf numFmtId="1" fontId="34" fillId="14" borderId="0" xfId="0" applyNumberFormat="1" applyFont="1" applyFill="1" applyAlignment="1">
      <alignment horizontal="left" vertical="top"/>
    </xf>
    <xf numFmtId="164" fontId="19" fillId="0" borderId="0" xfId="0" applyNumberFormat="1" applyFont="1" applyAlignment="1">
      <alignment horizontal="left"/>
    </xf>
    <xf numFmtId="164" fontId="18" fillId="14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 vertical="center"/>
    </xf>
    <xf numFmtId="166" fontId="0" fillId="0" borderId="0" xfId="0" applyNumberFormat="1"/>
    <xf numFmtId="0" fontId="5" fillId="0" borderId="0" xfId="0" applyFont="1" applyAlignment="1">
      <alignment horizontal="center"/>
    </xf>
    <xf numFmtId="0" fontId="59" fillId="0" borderId="0" xfId="0" applyFont="1"/>
    <xf numFmtId="0" fontId="0" fillId="0" borderId="42" xfId="0" applyBorder="1"/>
    <xf numFmtId="166" fontId="0" fillId="0" borderId="44" xfId="0" applyNumberFormat="1" applyBorder="1"/>
    <xf numFmtId="0" fontId="0" fillId="0" borderId="41" xfId="0" applyBorder="1"/>
    <xf numFmtId="164" fontId="0" fillId="0" borderId="43" xfId="0" applyNumberFormat="1" applyBorder="1" applyAlignment="1">
      <alignment horizontal="left" vertical="center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1" fontId="43" fillId="0" borderId="0" xfId="0" applyNumberFormat="1" applyFont="1" applyAlignment="1">
      <alignment horizontal="left" vertical="center" wrapText="1"/>
    </xf>
    <xf numFmtId="164" fontId="63" fillId="0" borderId="0" xfId="0" applyNumberFormat="1" applyFont="1" applyAlignment="1">
      <alignment horizontal="left"/>
    </xf>
    <xf numFmtId="0" fontId="0" fillId="0" borderId="0" xfId="0" quotePrefix="1"/>
    <xf numFmtId="0" fontId="36" fillId="0" borderId="0" xfId="0" quotePrefix="1" applyFont="1" applyAlignment="1">
      <alignment horizontal="center"/>
    </xf>
    <xf numFmtId="0" fontId="6" fillId="17" borderId="0" xfId="0" applyFont="1" applyFill="1" applyAlignment="1">
      <alignment horizontal="center"/>
    </xf>
    <xf numFmtId="0" fontId="64" fillId="0" borderId="0" xfId="0" applyFont="1" applyAlignment="1">
      <alignment horizontal="center"/>
    </xf>
    <xf numFmtId="2" fontId="6" fillId="17" borderId="0" xfId="0" applyNumberFormat="1" applyFont="1" applyFill="1" applyAlignment="1">
      <alignment horizontal="center"/>
    </xf>
    <xf numFmtId="1" fontId="19" fillId="0" borderId="0" xfId="0" applyNumberFormat="1" applyFont="1" applyAlignment="1">
      <alignment horizontal="left" vertical="top"/>
    </xf>
    <xf numFmtId="0" fontId="36" fillId="0" borderId="0" xfId="0" applyFont="1" applyAlignment="1">
      <alignment horizontal="left"/>
    </xf>
    <xf numFmtId="0" fontId="36" fillId="0" borderId="0" xfId="0" quotePrefix="1" applyFont="1" applyAlignment="1">
      <alignment horizontal="left"/>
    </xf>
    <xf numFmtId="0" fontId="0" fillId="9" borderId="0" xfId="0" applyFill="1"/>
    <xf numFmtId="0" fontId="1" fillId="9" borderId="0" xfId="0" applyFont="1" applyFill="1" applyAlignment="1">
      <alignment horizontal="right"/>
    </xf>
    <xf numFmtId="0" fontId="1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left"/>
    </xf>
    <xf numFmtId="0" fontId="0" fillId="18" borderId="0" xfId="0" applyFill="1"/>
    <xf numFmtId="0" fontId="0" fillId="12" borderId="0" xfId="0" applyFill="1"/>
    <xf numFmtId="0" fontId="0" fillId="0" borderId="0" xfId="0" applyAlignment="1">
      <alignment wrapText="1"/>
    </xf>
    <xf numFmtId="0" fontId="3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top"/>
      <protection hidden="1"/>
    </xf>
    <xf numFmtId="0" fontId="0" fillId="0" borderId="0" xfId="0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64" fillId="0" borderId="0" xfId="0" applyFont="1" applyAlignment="1" applyProtection="1">
      <alignment horizontal="left"/>
      <protection hidden="1"/>
    </xf>
    <xf numFmtId="16" fontId="0" fillId="0" borderId="0" xfId="0" applyNumberFormat="1" applyAlignment="1" applyProtection="1">
      <alignment horizontal="left"/>
      <protection hidden="1"/>
    </xf>
    <xf numFmtId="0" fontId="0" fillId="15" borderId="0" xfId="0" applyFill="1" applyAlignment="1" applyProtection="1">
      <alignment horizontal="left"/>
      <protection hidden="1"/>
    </xf>
    <xf numFmtId="0" fontId="0" fillId="4" borderId="0" xfId="0" applyFill="1" applyAlignment="1" applyProtection="1">
      <alignment horizontal="left" vertical="top"/>
      <protection hidden="1"/>
    </xf>
    <xf numFmtId="0" fontId="0" fillId="4" borderId="0" xfId="0" applyFill="1" applyProtection="1">
      <protection hidden="1"/>
    </xf>
    <xf numFmtId="0" fontId="0" fillId="4" borderId="0" xfId="0" applyFill="1" applyAlignment="1" applyProtection="1">
      <alignment horizontal="center" vertical="top"/>
      <protection hidden="1"/>
    </xf>
    <xf numFmtId="0" fontId="5" fillId="4" borderId="0" xfId="0" applyFont="1" applyFill="1" applyAlignment="1" applyProtection="1">
      <alignment horizontal="left" vertical="top"/>
      <protection hidden="1"/>
    </xf>
    <xf numFmtId="0" fontId="7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4" fillId="3" borderId="0" xfId="0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left" vertical="center" indent="10"/>
      <protection hidden="1"/>
    </xf>
    <xf numFmtId="0" fontId="1" fillId="0" borderId="4" xfId="0" applyFont="1" applyBorder="1" applyAlignment="1" applyProtection="1">
      <alignment horizontal="left" vertical="center" indent="10"/>
      <protection hidden="1"/>
    </xf>
    <xf numFmtId="0" fontId="1" fillId="0" borderId="7" xfId="0" applyFont="1" applyBorder="1" applyAlignment="1" applyProtection="1">
      <alignment horizontal="left" vertical="center" indent="10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1" fillId="0" borderId="28" xfId="0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/>
      <protection hidden="1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left" vertical="center" indent="10"/>
      <protection hidden="1"/>
    </xf>
    <xf numFmtId="0" fontId="1" fillId="0" borderId="14" xfId="0" applyFont="1" applyBorder="1" applyAlignment="1" applyProtection="1">
      <alignment horizontal="left" vertical="center" indent="10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vertical="center" indent="10"/>
      <protection hidden="1"/>
    </xf>
    <xf numFmtId="0" fontId="1" fillId="0" borderId="0" xfId="0" applyFont="1" applyAlignment="1" applyProtection="1">
      <alignment vertical="center"/>
      <protection hidden="1"/>
    </xf>
    <xf numFmtId="0" fontId="9" fillId="0" borderId="16" xfId="1" applyFont="1" applyBorder="1" applyProtection="1">
      <protection locked="0" hidden="1"/>
    </xf>
    <xf numFmtId="0" fontId="2" fillId="0" borderId="18" xfId="0" applyFont="1" applyBorder="1" applyProtection="1"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9" xfId="0" applyBorder="1" applyProtection="1"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57" fillId="0" borderId="9" xfId="0" applyFont="1" applyBorder="1" applyAlignment="1" applyProtection="1">
      <alignment horizontal="center" vertical="center"/>
      <protection hidden="1"/>
    </xf>
    <xf numFmtId="0" fontId="57" fillId="0" borderId="9" xfId="0" applyFont="1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 wrapText="1"/>
      <protection hidden="1"/>
    </xf>
    <xf numFmtId="0" fontId="0" fillId="0" borderId="14" xfId="0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0" fontId="14" fillId="0" borderId="19" xfId="0" applyFont="1" applyBorder="1" applyAlignment="1" applyProtection="1">
      <alignment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57" fillId="0" borderId="8" xfId="0" applyFont="1" applyBorder="1" applyAlignment="1" applyProtection="1">
      <alignment horizontal="center" vertical="center"/>
      <protection hidden="1"/>
    </xf>
    <xf numFmtId="0" fontId="57" fillId="0" borderId="8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 wrapText="1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1" fillId="0" borderId="9" xfId="0" applyFont="1" applyBorder="1" applyAlignment="1" applyProtection="1">
      <alignment horizontal="center" vertical="center" textRotation="90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0" fillId="0" borderId="11" xfId="0" applyFont="1" applyBorder="1" applyAlignment="1" applyProtection="1">
      <alignment horizontal="left" vertical="center" wrapText="1" indent="1"/>
      <protection hidden="1"/>
    </xf>
    <xf numFmtId="0" fontId="10" fillId="0" borderId="14" xfId="0" applyFont="1" applyBorder="1" applyAlignment="1" applyProtection="1">
      <alignment horizontal="left" vertical="center" wrapText="1" indent="1"/>
      <protection hidden="1"/>
    </xf>
    <xf numFmtId="0" fontId="10" fillId="0" borderId="7" xfId="0" applyFont="1" applyBorder="1" applyAlignment="1" applyProtection="1">
      <alignment horizontal="left" vertical="center" wrapText="1" indent="1"/>
      <protection hidden="1"/>
    </xf>
    <xf numFmtId="0" fontId="10" fillId="0" borderId="6" xfId="0" applyFont="1" applyBorder="1" applyAlignment="1" applyProtection="1">
      <alignment horizontal="center" vertical="center" wrapText="1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0" fillId="0" borderId="8" xfId="0" applyBorder="1" applyAlignment="1" applyProtection="1">
      <alignment vertical="center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11" xfId="0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vertical="center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1" fillId="0" borderId="20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left" vertical="center" wrapText="1" indent="1"/>
      <protection hidden="1"/>
    </xf>
    <xf numFmtId="0" fontId="10" fillId="0" borderId="0" xfId="0" applyFont="1" applyAlignment="1" applyProtection="1">
      <alignment horizontal="left" vertical="center" wrapText="1" indent="1"/>
      <protection hidden="1"/>
    </xf>
    <xf numFmtId="0" fontId="10" fillId="0" borderId="6" xfId="0" applyFont="1" applyBorder="1" applyAlignment="1" applyProtection="1">
      <alignment horizontal="left" vertical="center" wrapText="1" indent="1"/>
      <protection hidden="1"/>
    </xf>
    <xf numFmtId="0" fontId="13" fillId="0" borderId="0" xfId="0" applyFont="1" applyAlignment="1" applyProtection="1">
      <alignment vertical="center"/>
      <protection hidden="1"/>
    </xf>
    <xf numFmtId="0" fontId="1" fillId="0" borderId="20" xfId="0" applyFont="1" applyBorder="1" applyAlignment="1" applyProtection="1">
      <alignment horizontal="center" vertical="center"/>
      <protection hidden="1"/>
    </xf>
    <xf numFmtId="0" fontId="58" fillId="0" borderId="9" xfId="0" applyFont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 vertical="center" textRotation="90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20" fillId="7" borderId="0" xfId="0" applyFont="1" applyFill="1" applyAlignment="1" applyProtection="1">
      <alignment horizontal="left"/>
      <protection hidden="1"/>
    </xf>
    <xf numFmtId="0" fontId="20" fillId="7" borderId="0" xfId="0" applyFont="1" applyFill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left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left" vertical="center"/>
      <protection hidden="1"/>
    </xf>
    <xf numFmtId="0" fontId="0" fillId="0" borderId="21" xfId="0" applyBorder="1" applyAlignment="1" applyProtection="1">
      <alignment vertical="center"/>
      <protection hidden="1"/>
    </xf>
    <xf numFmtId="0" fontId="62" fillId="7" borderId="0" xfId="0" applyFont="1" applyFill="1" applyAlignment="1" applyProtection="1">
      <alignment horizontal="left"/>
      <protection hidden="1"/>
    </xf>
    <xf numFmtId="0" fontId="62" fillId="7" borderId="0" xfId="0" applyFont="1" applyFill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10" xfId="0" applyBorder="1" applyProtection="1"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left" vertical="center"/>
      <protection hidden="1"/>
    </xf>
    <xf numFmtId="0" fontId="1" fillId="0" borderId="21" xfId="0" applyFont="1" applyBorder="1" applyAlignment="1" applyProtection="1">
      <alignment vertical="center" wrapText="1"/>
      <protection hidden="1"/>
    </xf>
    <xf numFmtId="0" fontId="20" fillId="7" borderId="14" xfId="0" applyFont="1" applyFill="1" applyBorder="1" applyAlignment="1" applyProtection="1">
      <alignment horizontal="left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center" vertical="center" textRotation="90" wrapText="1"/>
      <protection hidden="1"/>
    </xf>
    <xf numFmtId="0" fontId="1" fillId="0" borderId="10" xfId="0" applyFont="1" applyBorder="1" applyAlignment="1" applyProtection="1">
      <alignment horizontal="center" vertical="center" textRotation="90"/>
      <protection hidden="1"/>
    </xf>
    <xf numFmtId="0" fontId="10" fillId="0" borderId="12" xfId="0" applyFont="1" applyBorder="1" applyAlignment="1" applyProtection="1">
      <alignment horizontal="left" vertical="center" wrapText="1" indent="1"/>
      <protection hidden="1"/>
    </xf>
    <xf numFmtId="0" fontId="10" fillId="0" borderId="15" xfId="0" applyFont="1" applyBorder="1" applyAlignment="1" applyProtection="1">
      <alignment horizontal="left" vertical="center" wrapText="1" indent="1"/>
      <protection hidden="1"/>
    </xf>
    <xf numFmtId="0" fontId="10" fillId="0" borderId="13" xfId="0" applyFont="1" applyBorder="1" applyAlignment="1" applyProtection="1">
      <alignment horizontal="left" vertical="center" wrapText="1" indent="1"/>
      <protection hidden="1"/>
    </xf>
    <xf numFmtId="0" fontId="0" fillId="7" borderId="14" xfId="0" applyFill="1" applyBorder="1" applyProtection="1">
      <protection hidden="1"/>
    </xf>
    <xf numFmtId="0" fontId="0" fillId="7" borderId="0" xfId="0" applyFill="1" applyProtection="1">
      <protection hidden="1"/>
    </xf>
    <xf numFmtId="0" fontId="20" fillId="5" borderId="0" xfId="0" applyFont="1" applyFill="1" applyProtection="1">
      <protection hidden="1"/>
    </xf>
    <xf numFmtId="0" fontId="0" fillId="5" borderId="0" xfId="0" applyFill="1" applyProtection="1">
      <protection hidden="1"/>
    </xf>
    <xf numFmtId="0" fontId="20" fillId="5" borderId="0" xfId="0" applyFont="1" applyFill="1" applyAlignment="1" applyProtection="1">
      <alignment horizontal="left" vertical="center"/>
      <protection hidden="1"/>
    </xf>
    <xf numFmtId="0" fontId="5" fillId="4" borderId="0" xfId="0" applyFont="1" applyFill="1" applyProtection="1">
      <protection hidden="1"/>
    </xf>
    <xf numFmtId="0" fontId="11" fillId="0" borderId="0" xfId="0" applyFont="1" applyAlignment="1" applyProtection="1">
      <alignment vertical="center"/>
      <protection hidden="1"/>
    </xf>
    <xf numFmtId="0" fontId="9" fillId="0" borderId="16" xfId="1" applyFont="1" applyBorder="1" applyAlignment="1" applyProtection="1">
      <alignment horizontal="left"/>
      <protection locked="0" hidden="1"/>
    </xf>
    <xf numFmtId="0" fontId="12" fillId="0" borderId="0" xfId="0" applyFont="1" applyAlignment="1" applyProtection="1">
      <alignment vertical="top"/>
      <protection hidden="1"/>
    </xf>
    <xf numFmtId="0" fontId="19" fillId="7" borderId="0" xfId="0" applyFont="1" applyFill="1" applyAlignment="1" applyProtection="1">
      <alignment horizontal="left" vertical="top"/>
      <protection hidden="1"/>
    </xf>
    <xf numFmtId="0" fontId="5" fillId="0" borderId="0" xfId="0" applyFont="1" applyAlignment="1" applyProtection="1">
      <alignment shrinkToFit="1"/>
      <protection hidden="1"/>
    </xf>
    <xf numFmtId="0" fontId="19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" shrinkToFit="1"/>
      <protection hidden="1"/>
    </xf>
    <xf numFmtId="0" fontId="5" fillId="9" borderId="14" xfId="0" applyFont="1" applyFill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vertical="top"/>
      <protection hidden="1"/>
    </xf>
    <xf numFmtId="0" fontId="25" fillId="7" borderId="0" xfId="0" applyFont="1" applyFill="1" applyAlignment="1" applyProtection="1">
      <alignment horizontal="left" vertical="top"/>
      <protection hidden="1"/>
    </xf>
    <xf numFmtId="0" fontId="5" fillId="9" borderId="14" xfId="0" applyFont="1" applyFill="1" applyBorder="1" applyAlignment="1" applyProtection="1">
      <alignment horizontal="center" vertical="center" wrapText="1" shrinkToFit="1"/>
      <protection hidden="1"/>
    </xf>
    <xf numFmtId="0" fontId="5" fillId="9" borderId="23" xfId="0" applyFont="1" applyFill="1" applyBorder="1" applyAlignment="1" applyProtection="1">
      <alignment horizontal="center" vertical="center" wrapText="1" shrinkToFit="1"/>
      <protection hidden="1"/>
    </xf>
    <xf numFmtId="0" fontId="5" fillId="9" borderId="0" xfId="0" applyFont="1" applyFill="1" applyAlignment="1" applyProtection="1">
      <alignment horizontal="center" vertical="center" wrapText="1" shrinkToFi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5" fillId="7" borderId="0" xfId="0" applyFont="1" applyFill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7" borderId="0" xfId="0" applyFont="1" applyFill="1" applyAlignment="1" applyProtection="1">
      <alignment horizontal="left" vertical="center"/>
      <protection hidden="1"/>
    </xf>
    <xf numFmtId="0" fontId="19" fillId="5" borderId="0" xfId="0" applyFont="1" applyFill="1" applyAlignment="1" applyProtection="1">
      <alignment vertical="top"/>
      <protection hidden="1"/>
    </xf>
    <xf numFmtId="0" fontId="9" fillId="0" borderId="0" xfId="0" applyFont="1" applyAlignment="1" applyProtection="1">
      <alignment horizontal="left"/>
      <protection hidden="1"/>
    </xf>
    <xf numFmtId="0" fontId="19" fillId="7" borderId="0" xfId="0" applyFont="1" applyFill="1" applyAlignment="1" applyProtection="1">
      <alignment horizontal="left" vertical="top"/>
      <protection hidden="1"/>
    </xf>
    <xf numFmtId="0" fontId="5" fillId="9" borderId="0" xfId="0" applyFont="1" applyFill="1" applyAlignment="1" applyProtection="1">
      <alignment horizontal="center" vertical="center" wrapText="1"/>
      <protection hidden="1"/>
    </xf>
    <xf numFmtId="0" fontId="25" fillId="7" borderId="0" xfId="0" applyFont="1" applyFill="1" applyAlignment="1" applyProtection="1">
      <alignment horizontal="left" vertical="top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 vertical="top"/>
      <protection hidden="1"/>
    </xf>
    <xf numFmtId="0" fontId="4" fillId="16" borderId="0" xfId="0" applyFont="1" applyFill="1" applyProtection="1">
      <protection hidden="1"/>
    </xf>
    <xf numFmtId="0" fontId="6" fillId="16" borderId="0" xfId="0" applyFont="1" applyFill="1" applyAlignment="1" applyProtection="1">
      <alignment horizontal="center"/>
      <protection hidden="1"/>
    </xf>
    <xf numFmtId="0" fontId="6" fillId="16" borderId="0" xfId="0" applyFont="1" applyFill="1" applyProtection="1">
      <protection hidden="1"/>
    </xf>
    <xf numFmtId="0" fontId="5" fillId="16" borderId="0" xfId="0" applyFont="1" applyFill="1" applyProtection="1">
      <protection hidden="1"/>
    </xf>
    <xf numFmtId="0" fontId="19" fillId="7" borderId="0" xfId="0" applyFont="1" applyFill="1" applyAlignment="1" applyProtection="1">
      <alignment horizontal="center" vertical="top"/>
      <protection hidden="1"/>
    </xf>
    <xf numFmtId="0" fontId="25" fillId="7" borderId="0" xfId="0" applyFont="1" applyFill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quotePrefix="1" applyFont="1" applyAlignment="1" applyProtection="1">
      <alignment horizontal="center"/>
      <protection hidden="1"/>
    </xf>
    <xf numFmtId="0" fontId="19" fillId="7" borderId="0" xfId="0" applyFont="1" applyFill="1" applyAlignment="1" applyProtection="1">
      <alignment horizontal="right" vertical="top" indent="1"/>
      <protection hidden="1"/>
    </xf>
    <xf numFmtId="0" fontId="5" fillId="7" borderId="15" xfId="0" applyFont="1" applyFill="1" applyBorder="1" applyProtection="1">
      <protection hidden="1"/>
    </xf>
    <xf numFmtId="0" fontId="5" fillId="9" borderId="0" xfId="0" applyFont="1" applyFill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5" fillId="5" borderId="15" xfId="0" applyFont="1" applyFill="1" applyBorder="1" applyProtection="1"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5" fillId="4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16" borderId="0" xfId="0" applyFont="1" applyFill="1" applyAlignment="1" applyProtection="1">
      <alignment horizontal="left" vertical="center"/>
      <protection hidden="1"/>
    </xf>
    <xf numFmtId="0" fontId="61" fillId="16" borderId="0" xfId="0" applyFont="1" applyFill="1" applyAlignment="1" applyProtection="1">
      <alignment horizontal="right" vertical="center"/>
      <protection hidden="1"/>
    </xf>
    <xf numFmtId="0" fontId="11" fillId="0" borderId="1" xfId="1" applyFont="1" applyBorder="1" applyAlignment="1" applyProtection="1">
      <alignment vertical="center"/>
      <protection locked="0" hidden="1"/>
    </xf>
    <xf numFmtId="0" fontId="5" fillId="0" borderId="0" xfId="0" quotePrefix="1" applyFont="1" applyAlignment="1" applyProtection="1">
      <alignment shrinkToFit="1"/>
      <protection hidden="1"/>
    </xf>
    <xf numFmtId="0" fontId="5" fillId="7" borderId="0" xfId="0" applyFont="1" applyFill="1" applyAlignment="1" applyProtection="1">
      <alignment horizontal="right"/>
      <protection hidden="1"/>
    </xf>
    <xf numFmtId="0" fontId="24" fillId="0" borderId="1" xfId="0" applyFont="1" applyBorder="1" applyAlignment="1" applyProtection="1">
      <alignment vertical="center"/>
      <protection hidden="1"/>
    </xf>
    <xf numFmtId="0" fontId="17" fillId="0" borderId="24" xfId="0" applyFont="1" applyBorder="1" applyAlignment="1" applyProtection="1">
      <alignment horizontal="left" vertical="center"/>
      <protection hidden="1"/>
    </xf>
    <xf numFmtId="0" fontId="17" fillId="0" borderId="25" xfId="0" applyFont="1" applyBorder="1" applyAlignment="1" applyProtection="1">
      <alignment horizontal="left" vertical="center"/>
      <protection hidden="1"/>
    </xf>
    <xf numFmtId="0" fontId="17" fillId="0" borderId="26" xfId="0" applyFont="1" applyBorder="1" applyAlignment="1" applyProtection="1">
      <alignment horizontal="left" vertical="center"/>
      <protection hidden="1"/>
    </xf>
    <xf numFmtId="0" fontId="17" fillId="0" borderId="24" xfId="0" applyFont="1" applyBorder="1" applyAlignment="1" applyProtection="1">
      <alignment horizontal="left"/>
      <protection hidden="1"/>
    </xf>
    <xf numFmtId="0" fontId="17" fillId="0" borderId="25" xfId="0" applyFont="1" applyBorder="1" applyAlignment="1" applyProtection="1">
      <alignment horizontal="left"/>
      <protection hidden="1"/>
    </xf>
    <xf numFmtId="0" fontId="17" fillId="0" borderId="26" xfId="0" applyFont="1" applyBorder="1" applyAlignment="1" applyProtection="1">
      <alignment horizontal="left"/>
      <protection hidden="1"/>
    </xf>
    <xf numFmtId="0" fontId="5" fillId="7" borderId="14" xfId="0" applyFont="1" applyFill="1" applyBorder="1" applyProtection="1">
      <protection hidden="1"/>
    </xf>
    <xf numFmtId="0" fontId="5" fillId="5" borderId="14" xfId="0" applyFont="1" applyFill="1" applyBorder="1" applyProtection="1">
      <protection hidden="1"/>
    </xf>
    <xf numFmtId="0" fontId="11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9" borderId="15" xfId="0" applyFont="1" applyFill="1" applyBorder="1" applyAlignment="1" applyProtection="1">
      <alignment horizontal="center" vertical="center" wrapText="1" shrinkToFit="1"/>
      <protection hidden="1"/>
    </xf>
    <xf numFmtId="0" fontId="5" fillId="0" borderId="1" xfId="1" applyFont="1" applyBorder="1" applyAlignment="1" applyProtection="1">
      <alignment horizontal="left"/>
      <protection locked="0" hidden="1"/>
    </xf>
    <xf numFmtId="0" fontId="8" fillId="4" borderId="0" xfId="0" applyFont="1" applyFill="1" applyProtection="1">
      <protection hidden="1"/>
    </xf>
    <xf numFmtId="0" fontId="5" fillId="0" borderId="0" xfId="1" applyFont="1" applyBorder="1" applyProtection="1">
      <protection locked="0" hidden="1"/>
    </xf>
    <xf numFmtId="49" fontId="5" fillId="0" borderId="0" xfId="1" applyNumberFormat="1" applyFont="1" applyBorder="1" applyAlignment="1" applyProtection="1">
      <alignment horizontal="left"/>
      <protection locked="0" hidden="1"/>
    </xf>
    <xf numFmtId="0" fontId="0" fillId="0" borderId="1" xfId="0" applyBorder="1" applyAlignment="1" applyProtection="1">
      <alignment horizontal="center"/>
      <protection hidden="1"/>
    </xf>
    <xf numFmtId="0" fontId="0" fillId="0" borderId="0" xfId="0" quotePrefix="1" applyAlignment="1" applyProtection="1">
      <alignment horizontal="left"/>
      <protection hidden="1"/>
    </xf>
    <xf numFmtId="0" fontId="1" fillId="0" borderId="0" xfId="0" applyFont="1" applyAlignment="1" applyProtection="1">
      <alignment horizontal="left"/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5" fillId="0" borderId="22" xfId="1" applyFont="1" applyBorder="1" applyAlignment="1" applyProtection="1">
      <alignment horizontal="left"/>
      <protection locked="0" hidden="1"/>
    </xf>
    <xf numFmtId="0" fontId="5" fillId="0" borderId="0" xfId="1" applyFont="1" applyBorder="1" applyAlignment="1" applyProtection="1">
      <alignment horizontal="left"/>
      <protection locked="0" hidden="1"/>
    </xf>
    <xf numFmtId="49" fontId="0" fillId="0" borderId="0" xfId="1" applyNumberFormat="1" applyFont="1" applyBorder="1" applyAlignment="1" applyProtection="1">
      <alignment horizontal="left"/>
      <protection locked="0" hidden="1"/>
    </xf>
    <xf numFmtId="164" fontId="0" fillId="0" borderId="0" xfId="0" applyNumberFormat="1" applyProtection="1">
      <protection hidden="1"/>
    </xf>
    <xf numFmtId="0" fontId="5" fillId="0" borderId="16" xfId="1" applyFont="1" applyBorder="1" applyAlignment="1" applyProtection="1">
      <alignment horizontal="left"/>
      <protection locked="0" hidden="1"/>
    </xf>
    <xf numFmtId="0" fontId="6" fillId="4" borderId="0" xfId="0" applyFont="1" applyFill="1" applyAlignment="1" applyProtection="1">
      <alignment horizontal="left" vertical="top"/>
      <protection hidden="1"/>
    </xf>
    <xf numFmtId="0" fontId="27" fillId="4" borderId="0" xfId="0" applyFont="1" applyFill="1" applyAlignment="1" applyProtection="1">
      <alignment horizontal="left"/>
      <protection hidden="1"/>
    </xf>
    <xf numFmtId="0" fontId="0" fillId="4" borderId="0" xfId="0" applyFill="1" applyAlignment="1" applyProtection="1">
      <alignment horizontal="center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0" fillId="4" borderId="0" xfId="0" applyFill="1" applyAlignment="1" applyProtection="1">
      <alignment horizontal="left"/>
      <protection hidden="1"/>
    </xf>
    <xf numFmtId="0" fontId="38" fillId="0" borderId="0" xfId="0" applyFont="1" applyAlignment="1" applyProtection="1">
      <alignment horizontal="left"/>
      <protection hidden="1"/>
    </xf>
    <xf numFmtId="0" fontId="52" fillId="0" borderId="0" xfId="0" applyFont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28" fillId="0" borderId="0" xfId="0" applyFont="1" applyProtection="1">
      <protection hidden="1"/>
    </xf>
    <xf numFmtId="0" fontId="28" fillId="0" borderId="32" xfId="0" applyFont="1" applyBorder="1" applyAlignment="1" applyProtection="1">
      <alignment horizontal="left"/>
      <protection hidden="1"/>
    </xf>
    <xf numFmtId="0" fontId="29" fillId="0" borderId="33" xfId="0" applyFont="1" applyBorder="1" applyProtection="1">
      <protection hidden="1"/>
    </xf>
    <xf numFmtId="0" fontId="28" fillId="0" borderId="33" xfId="0" applyFont="1" applyBorder="1" applyProtection="1">
      <protection hidden="1"/>
    </xf>
    <xf numFmtId="0" fontId="0" fillId="0" borderId="33" xfId="0" applyBorder="1" applyProtection="1">
      <protection hidden="1"/>
    </xf>
    <xf numFmtId="0" fontId="28" fillId="0" borderId="34" xfId="0" applyFont="1" applyBorder="1" applyProtection="1">
      <protection hidden="1"/>
    </xf>
    <xf numFmtId="0" fontId="33" fillId="0" borderId="0" xfId="0" applyFont="1" applyAlignment="1" applyProtection="1">
      <alignment horizontal="left" wrapText="1"/>
      <protection hidden="1"/>
    </xf>
    <xf numFmtId="0" fontId="28" fillId="0" borderId="35" xfId="0" applyFont="1" applyBorder="1" applyAlignment="1" applyProtection="1">
      <alignment horizontal="left"/>
      <protection hidden="1"/>
    </xf>
    <xf numFmtId="14" fontId="41" fillId="0" borderId="0" xfId="0" applyNumberFormat="1" applyFont="1" applyAlignment="1" applyProtection="1">
      <alignment horizontal="right" indent="2"/>
      <protection hidden="1"/>
    </xf>
    <xf numFmtId="0" fontId="28" fillId="0" borderId="36" xfId="0" applyFont="1" applyBorder="1" applyProtection="1">
      <protection hidden="1"/>
    </xf>
    <xf numFmtId="14" fontId="41" fillId="0" borderId="0" xfId="0" applyNumberFormat="1" applyFont="1" applyAlignment="1" applyProtection="1">
      <alignment horizontal="right" vertical="top" indent="2"/>
      <protection hidden="1"/>
    </xf>
    <xf numFmtId="0" fontId="29" fillId="0" borderId="0" xfId="0" applyFont="1" applyProtection="1">
      <protection hidden="1"/>
    </xf>
    <xf numFmtId="14" fontId="41" fillId="0" borderId="0" xfId="0" applyNumberFormat="1" applyFont="1" applyAlignment="1" applyProtection="1">
      <alignment horizontal="right" vertical="top"/>
      <protection hidden="1"/>
    </xf>
    <xf numFmtId="0" fontId="50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 applyProtection="1">
      <alignment horizontal="left" vertical="top"/>
      <protection hidden="1"/>
    </xf>
    <xf numFmtId="0" fontId="28" fillId="0" borderId="40" xfId="0" applyFont="1" applyBorder="1" applyAlignment="1" applyProtection="1">
      <alignment horizontal="left" vertical="center"/>
      <protection locked="0" hidden="1"/>
    </xf>
    <xf numFmtId="0" fontId="30" fillId="0" borderId="0" xfId="0" applyFont="1" applyAlignment="1" applyProtection="1">
      <alignment horizontal="right" vertical="center"/>
      <protection hidden="1"/>
    </xf>
    <xf numFmtId="14" fontId="30" fillId="0" borderId="0" xfId="0" applyNumberFormat="1" applyFont="1" applyAlignment="1" applyProtection="1">
      <alignment horizontal="left" vertical="center"/>
      <protection locked="0" hidden="1"/>
    </xf>
    <xf numFmtId="0" fontId="30" fillId="0" borderId="0" xfId="0" applyFont="1" applyProtection="1">
      <protection hidden="1"/>
    </xf>
    <xf numFmtId="0" fontId="40" fillId="0" borderId="0" xfId="0" applyFont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45" fillId="0" borderId="0" xfId="0" applyFont="1" applyAlignment="1" applyProtection="1">
      <alignment horizontal="left" vertical="top"/>
      <protection hidden="1"/>
    </xf>
    <xf numFmtId="0" fontId="31" fillId="0" borderId="0" xfId="0" applyFont="1" applyAlignment="1" applyProtection="1">
      <alignment horizontal="left"/>
      <protection hidden="1"/>
    </xf>
    <xf numFmtId="0" fontId="31" fillId="0" borderId="35" xfId="0" applyFont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left" vertical="top" wrapText="1"/>
      <protection hidden="1"/>
    </xf>
    <xf numFmtId="0" fontId="42" fillId="0" borderId="40" xfId="0" applyFont="1" applyBorder="1" applyAlignment="1" applyProtection="1">
      <alignment horizontal="left"/>
      <protection locked="0" hidden="1"/>
    </xf>
    <xf numFmtId="0" fontId="42" fillId="0" borderId="0" xfId="0" applyFont="1" applyAlignment="1" applyProtection="1">
      <alignment horizontal="left"/>
      <protection hidden="1"/>
    </xf>
    <xf numFmtId="0" fontId="42" fillId="0" borderId="35" xfId="0" applyFont="1" applyBorder="1" applyAlignment="1" applyProtection="1">
      <alignment horizontal="left"/>
      <protection hidden="1"/>
    </xf>
    <xf numFmtId="0" fontId="48" fillId="0" borderId="0" xfId="0" applyFont="1" applyAlignment="1" applyProtection="1">
      <alignment horizontal="right" vertical="center"/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37" fillId="0" borderId="0" xfId="0" applyFont="1" applyAlignment="1" applyProtection="1">
      <alignment horizontal="left"/>
      <protection hidden="1"/>
    </xf>
    <xf numFmtId="0" fontId="37" fillId="0" borderId="35" xfId="0" applyFont="1" applyBorder="1" applyAlignment="1" applyProtection="1">
      <alignment horizontal="left"/>
      <protection hidden="1"/>
    </xf>
    <xf numFmtId="0" fontId="48" fillId="0" borderId="0" xfId="0" applyFont="1" applyAlignment="1" applyProtection="1">
      <alignment vertical="center"/>
      <protection hidden="1"/>
    </xf>
    <xf numFmtId="0" fontId="33" fillId="0" borderId="0" xfId="0" applyFont="1" applyProtection="1">
      <protection hidden="1"/>
    </xf>
    <xf numFmtId="0" fontId="30" fillId="0" borderId="0" xfId="0" applyFont="1" applyAlignment="1" applyProtection="1">
      <alignment horizontal="left"/>
      <protection hidden="1"/>
    </xf>
    <xf numFmtId="0" fontId="49" fillId="0" borderId="0" xfId="0" applyFont="1" applyProtection="1">
      <protection hidden="1"/>
    </xf>
    <xf numFmtId="0" fontId="28" fillId="0" borderId="14" xfId="0" applyFont="1" applyBorder="1" applyProtection="1">
      <protection hidden="1"/>
    </xf>
    <xf numFmtId="0" fontId="32" fillId="0" borderId="0" xfId="0" applyFont="1" applyProtection="1">
      <protection hidden="1"/>
    </xf>
    <xf numFmtId="0" fontId="0" fillId="0" borderId="6" xfId="0" applyBorder="1" applyProtection="1">
      <protection hidden="1"/>
    </xf>
    <xf numFmtId="0" fontId="38" fillId="0" borderId="0" xfId="0" applyFont="1" applyProtection="1">
      <protection hidden="1"/>
    </xf>
    <xf numFmtId="0" fontId="41" fillId="13" borderId="0" xfId="0" applyFont="1" applyFill="1" applyProtection="1"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left"/>
      <protection hidden="1"/>
    </xf>
    <xf numFmtId="0" fontId="40" fillId="0" borderId="0" xfId="0" applyFont="1" applyAlignment="1" applyProtection="1">
      <alignment horizontal="left"/>
      <protection hidden="1"/>
    </xf>
    <xf numFmtId="0" fontId="0" fillId="0" borderId="5" xfId="0" applyBorder="1" applyAlignment="1" applyProtection="1">
      <alignment horizontal="center"/>
      <protection hidden="1"/>
    </xf>
    <xf numFmtId="0" fontId="44" fillId="0" borderId="0" xfId="0" applyFont="1" applyAlignment="1" applyProtection="1">
      <alignment horizontal="left"/>
      <protection hidden="1"/>
    </xf>
    <xf numFmtId="0" fontId="44" fillId="0" borderId="35" xfId="0" applyFont="1" applyBorder="1" applyAlignment="1" applyProtection="1">
      <alignment horizontal="left"/>
      <protection hidden="1"/>
    </xf>
    <xf numFmtId="0" fontId="51" fillId="0" borderId="0" xfId="0" applyFont="1" applyAlignment="1" applyProtection="1">
      <alignment horizontal="left" vertical="top" wrapText="1"/>
      <protection hidden="1"/>
    </xf>
    <xf numFmtId="0" fontId="40" fillId="0" borderId="0" xfId="0" applyFont="1" applyProtection="1">
      <protection locked="0" hidden="1"/>
    </xf>
    <xf numFmtId="0" fontId="39" fillId="0" borderId="0" xfId="0" applyFont="1" applyAlignment="1" applyProtection="1">
      <alignment horizontal="left"/>
      <protection hidden="1"/>
    </xf>
    <xf numFmtId="0" fontId="51" fillId="0" borderId="0" xfId="0" applyFont="1" applyAlignment="1" applyProtection="1">
      <alignment vertical="top" wrapText="1"/>
      <protection hidden="1"/>
    </xf>
    <xf numFmtId="0" fontId="40" fillId="0" borderId="0" xfId="0" applyFont="1" applyAlignment="1" applyProtection="1">
      <alignment horizontal="left" vertical="top" wrapText="1"/>
      <protection locked="0" hidden="1"/>
    </xf>
    <xf numFmtId="0" fontId="28" fillId="0" borderId="0" xfId="0" applyFont="1" applyAlignment="1" applyProtection="1">
      <alignment vertical="top"/>
      <protection hidden="1"/>
    </xf>
    <xf numFmtId="0" fontId="40" fillId="0" borderId="15" xfId="0" applyFont="1" applyBorder="1" applyAlignment="1" applyProtection="1">
      <alignment horizontal="left" vertical="top" wrapText="1"/>
      <protection locked="0" hidden="1"/>
    </xf>
    <xf numFmtId="0" fontId="40" fillId="0" borderId="0" xfId="0" applyFont="1" applyAlignment="1" applyProtection="1">
      <alignment horizontal="left" vertical="top" wrapText="1"/>
      <protection hidden="1"/>
    </xf>
    <xf numFmtId="0" fontId="33" fillId="0" borderId="0" xfId="0" applyFont="1" applyAlignment="1" applyProtection="1">
      <alignment horizontal="left" wrapText="1"/>
      <protection hidden="1"/>
    </xf>
    <xf numFmtId="0" fontId="28" fillId="0" borderId="0" xfId="0" applyFont="1" applyAlignment="1" applyProtection="1">
      <alignment horizontal="left" vertical="top"/>
      <protection hidden="1"/>
    </xf>
    <xf numFmtId="165" fontId="40" fillId="0" borderId="0" xfId="0" applyNumberFormat="1" applyFont="1" applyAlignment="1" applyProtection="1">
      <alignment horizontal="left"/>
      <protection hidden="1"/>
    </xf>
    <xf numFmtId="0" fontId="28" fillId="0" borderId="15" xfId="0" applyFont="1" applyBorder="1" applyAlignment="1" applyProtection="1">
      <alignment vertical="top"/>
      <protection hidden="1"/>
    </xf>
    <xf numFmtId="0" fontId="47" fillId="0" borderId="0" xfId="0" applyFont="1" applyAlignment="1" applyProtection="1">
      <alignment horizontal="right"/>
      <protection hidden="1"/>
    </xf>
    <xf numFmtId="0" fontId="28" fillId="0" borderId="37" xfId="0" applyFont="1" applyBorder="1" applyAlignment="1" applyProtection="1">
      <alignment horizontal="left"/>
      <protection hidden="1"/>
    </xf>
    <xf numFmtId="0" fontId="28" fillId="0" borderId="38" xfId="0" applyFont="1" applyBorder="1" applyProtection="1">
      <protection hidden="1"/>
    </xf>
    <xf numFmtId="0" fontId="28" fillId="0" borderId="39" xfId="0" applyFont="1" applyBorder="1" applyProtection="1">
      <protection hidden="1"/>
    </xf>
    <xf numFmtId="0" fontId="33" fillId="0" borderId="0" xfId="0" applyFont="1" applyAlignment="1" applyProtection="1">
      <alignment wrapText="1"/>
      <protection hidden="1"/>
    </xf>
    <xf numFmtId="0" fontId="46" fillId="0" borderId="0" xfId="0" applyFont="1" applyAlignment="1" applyProtection="1">
      <alignment vertical="center"/>
      <protection hidden="1"/>
    </xf>
  </cellXfs>
  <cellStyles count="2">
    <cellStyle name="01_Nicht_gesperrt" xfId="1" xr:uid="{B19C5DC7-1D35-4756-93E8-447ED6879370}"/>
    <cellStyle name="Standard" xfId="0" builtinId="0"/>
  </cellStyles>
  <dxfs count="971">
    <dxf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center" vertical="bottom" textRotation="0" wrapText="0" indent="0" justifyLastLine="0" shrinkToFit="0" readingOrder="0"/>
      <protection locked="1" hidden="1"/>
    </dxf>
    <dxf>
      <numFmt numFmtId="0" formatCode="General"/>
      <alignment horizontal="center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color auto="1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color auto="1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0" formatCode="General"/>
      <alignment horizontal="center" vertical="bottom" textRotation="0" wrapText="0" indent="0" justifyLastLine="0" shrinkToFit="0" readingOrder="0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numFmt numFmtId="30" formatCode="@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protection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protection hidden="1"/>
    </dxf>
    <dxf>
      <numFmt numFmtId="0" formatCode="General"/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protection hidden="1"/>
    </dxf>
    <dxf>
      <numFmt numFmtId="164" formatCode="0.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numFmt numFmtId="2" formatCode="0.00"/>
    </dxf>
    <dxf>
      <numFmt numFmtId="164" formatCode="0.0"/>
    </dxf>
    <dxf>
      <numFmt numFmtId="1" formatCode="0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strike val="0"/>
        <color rgb="FF6C6C6C"/>
      </font>
    </dxf>
    <dxf>
      <fill>
        <patternFill>
          <bgColor theme="0"/>
        </patternFill>
      </fill>
    </dxf>
    <dxf>
      <font>
        <strike val="0"/>
        <color rgb="FF6C6C6C"/>
      </font>
    </dxf>
    <dxf>
      <font>
        <strike val="0"/>
        <color theme="2" tint="-0.24994659260841701"/>
      </font>
    </dxf>
    <dxf>
      <font>
        <strike val="0"/>
        <color rgb="FF6C6C6C"/>
      </font>
    </dxf>
    <dxf>
      <font>
        <strike val="0"/>
        <color theme="2" tint="-0.24994659260841701"/>
      </font>
    </dxf>
    <dxf>
      <font>
        <color rgb="FF000000"/>
      </font>
    </dxf>
    <dxf>
      <font>
        <color auto="1"/>
      </font>
      <fill>
        <patternFill>
          <bgColor rgb="FFFFF1C5"/>
        </patternFill>
      </fill>
    </dxf>
    <dxf>
      <fill>
        <patternFill>
          <bgColor theme="7" tint="0.59996337778862885"/>
        </patternFill>
      </fill>
    </dxf>
    <dxf>
      <font>
        <color theme="2" tint="-0.24994659260841701"/>
      </font>
    </dxf>
    <dxf>
      <font>
        <color rgb="FF7030A0"/>
      </font>
    </dxf>
    <dxf>
      <font>
        <b/>
        <i val="0"/>
        <color rgb="FF00B050"/>
      </font>
    </dxf>
    <dxf>
      <font>
        <b val="0"/>
        <i/>
        <color rgb="FFFF0000"/>
      </font>
    </dxf>
    <dxf>
      <font>
        <b val="0"/>
        <i/>
      </font>
    </dxf>
    <dxf>
      <font>
        <color rgb="FFFF0000"/>
      </font>
    </dxf>
    <dxf>
      <font>
        <color theme="5" tint="0.79998168889431442"/>
      </font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b/>
        <i val="0"/>
        <color rgb="FFFF66FF"/>
      </font>
      <fill>
        <patternFill>
          <bgColor theme="9" tint="0.79998168889431442"/>
        </patternFill>
      </fill>
    </dxf>
    <dxf>
      <font>
        <b/>
        <i val="0"/>
        <color rgb="FFFF66FF"/>
      </font>
      <fill>
        <patternFill>
          <bgColor theme="9" tint="0.79998168889431442"/>
        </patternFill>
      </fill>
    </dxf>
    <dxf>
      <font>
        <color theme="5" tint="0.79998168889431442"/>
      </font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5" tint="0.79998168889431442"/>
      </font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b/>
        <i val="0"/>
        <color rgb="FFFF66FF"/>
      </font>
      <fill>
        <patternFill>
          <bgColor theme="9" tint="0.79998168889431442"/>
        </patternFill>
      </fill>
    </dxf>
    <dxf>
      <font>
        <b/>
        <i val="0"/>
        <color rgb="FFFF66FF"/>
      </font>
      <fill>
        <patternFill>
          <bgColor theme="9" tint="0.79998168889431442"/>
        </patternFill>
      </fill>
    </dxf>
    <dxf>
      <font>
        <color theme="5" tint="0.79998168889431442"/>
      </font>
      <fill>
        <patternFill>
          <bgColor theme="5" tint="0.79998168889431442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b val="0"/>
        <i/>
        <color rgb="FFFF0000"/>
      </font>
    </dxf>
    <dxf>
      <font>
        <b val="0"/>
        <i/>
      </font>
    </dxf>
    <dxf>
      <font>
        <color rgb="FFFF0000"/>
      </font>
    </dxf>
    <dxf>
      <font>
        <color rgb="FFFF0000"/>
      </font>
    </dxf>
    <dxf>
      <font>
        <b val="0"/>
        <i/>
        <color rgb="FFFF0000"/>
      </font>
    </dxf>
    <dxf>
      <font>
        <color rgb="FFFF0000"/>
      </font>
    </dxf>
    <dxf>
      <font>
        <b val="0"/>
        <i/>
      </font>
    </dxf>
    <dxf>
      <font>
        <color rgb="FFFF0000"/>
      </font>
    </dxf>
    <dxf>
      <font>
        <b val="0"/>
        <i/>
      </font>
    </dxf>
    <dxf>
      <font>
        <b val="0"/>
        <i/>
      </font>
    </dxf>
    <dxf>
      <font>
        <color rgb="FFFF0000"/>
      </font>
    </dxf>
    <dxf>
      <font>
        <b val="0"/>
        <i/>
        <color rgb="FFFF0000"/>
      </font>
    </dxf>
    <dxf>
      <fill>
        <patternFill>
          <bgColor theme="9" tint="0.79998168889431442"/>
        </patternFill>
      </fill>
    </dxf>
    <dxf>
      <fill>
        <patternFill>
          <bgColor theme="7" tint="0.59996337778862885"/>
        </patternFill>
      </fill>
    </dxf>
    <dxf>
      <numFmt numFmtId="2" formatCode="0.00"/>
    </dxf>
    <dxf>
      <numFmt numFmtId="164" formatCode="0.0"/>
    </dxf>
    <dxf>
      <numFmt numFmtId="164" formatCode="0.0"/>
    </dxf>
    <dxf>
      <numFmt numFmtId="1" formatCode="0"/>
    </dxf>
    <dxf>
      <font>
        <b/>
        <i val="0"/>
        <color rgb="FFFF66FF"/>
      </font>
    </dxf>
    <dxf>
      <font>
        <color rgb="FFFF66FF"/>
      </font>
    </dxf>
    <dxf>
      <font>
        <color rgb="FFFF9900"/>
      </font>
    </dxf>
    <dxf>
      <font>
        <color theme="0"/>
      </font>
    </dxf>
    <dxf>
      <font>
        <color rgb="FFFF9900"/>
      </font>
    </dxf>
    <dxf>
      <fill>
        <patternFill>
          <bgColor theme="9" tint="0.79998168889431442"/>
        </patternFill>
      </fill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ill>
        <patternFill>
          <bgColor theme="7"/>
        </patternFill>
      </fill>
    </dxf>
    <dxf>
      <numFmt numFmtId="0" formatCode="General"/>
    </dxf>
    <dxf>
      <numFmt numFmtId="1" formatCode="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  <dxf>
      <numFmt numFmtId="2" formatCode="0.00"/>
    </dxf>
    <dxf>
      <numFmt numFmtId="2" formatCode="0.00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2" formatCode="0.0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1" formatCode="0"/>
      <alignment horizontal="left" vertical="bottom" textRotation="0" wrapText="0" indent="0" justifyLastLine="0" shrinkToFit="0" readingOrder="0"/>
    </dxf>
    <dxf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0" formatCode="General"/>
    </dxf>
    <dxf>
      <numFmt numFmtId="1" formatCode="0"/>
      <alignment horizontal="left" vertical="bottom" textRotation="0" wrapText="0" indent="0" justifyLastLine="0" shrinkToFit="0" readingOrder="0"/>
    </dxf>
    <dxf>
      <numFmt numFmtId="0" formatCode="General"/>
    </dxf>
    <dxf>
      <numFmt numFmtId="1" formatCode="0"/>
      <alignment horizontal="left" vertical="bottom" textRotation="0" wrapText="0" indent="0" justifyLastLine="0" shrinkToFit="0" readingOrder="0"/>
    </dxf>
    <dxf>
      <numFmt numFmtId="0" formatCode="General"/>
    </dxf>
    <dxf>
      <numFmt numFmtId="1" formatCode="0"/>
      <alignment horizontal="left" vertical="bottom" textRotation="0" wrapText="0" indent="0" justifyLastLine="0" shrinkToFit="0" readingOrder="0"/>
    </dxf>
    <dxf>
      <numFmt numFmtId="0" formatCode="General"/>
    </dxf>
    <dxf>
      <numFmt numFmtId="1" formatCode="0"/>
      <alignment horizontal="left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0" formatCode="General"/>
    </dxf>
    <dxf>
      <numFmt numFmtId="166" formatCode="00"/>
    </dxf>
    <dxf>
      <numFmt numFmtId="0" formatCode="General"/>
      <fill>
        <patternFill patternType="none">
          <fgColor indexed="64"/>
          <bgColor auto="1"/>
        </patternFill>
      </fill>
    </dxf>
    <dxf>
      <numFmt numFmtId="166" formatCode="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numFmt numFmtId="164" formatCode="0.0"/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1" formatCode="0"/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" formatCode="0.0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left style="thin">
          <color theme="9" tint="0.39997558519241921"/>
        </left>
      </border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4" formatCode="0.0"/>
      <alignment horizontal="left" vertical="top" textRotation="0" wrapText="1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164" formatCode="0.0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164" formatCode="0.0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1C5"/>
      <color rgb="FFFFF8E1"/>
      <color rgb="FFFFF0C1"/>
      <color rgb="FFFFEEB9"/>
      <color rgb="FFFFCD2F"/>
      <color rgb="FFFFD653"/>
      <color rgb="FFEDC9FF"/>
      <color rgb="FFF2D9FF"/>
      <color rgb="FFFFFFCC"/>
      <color rgb="FF6C6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267836</xdr:colOff>
          <xdr:row>1</xdr:row>
          <xdr:rowOff>189808</xdr:rowOff>
        </xdr:from>
        <xdr:to>
          <xdr:col>16</xdr:col>
          <xdr:colOff>286746</xdr:colOff>
          <xdr:row>5</xdr:row>
          <xdr:rowOff>9505</xdr:rowOff>
        </xdr:to>
        <xdr:pic>
          <xdr:nvPicPr>
            <xdr:cNvPr id="17" name="Grafik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Kanton" spid="_x0000_s20135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310496" y="380308"/>
              <a:ext cx="2236329" cy="97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668276</xdr:colOff>
          <xdr:row>17</xdr:row>
          <xdr:rowOff>1749</xdr:rowOff>
        </xdr:from>
        <xdr:to>
          <xdr:col>18</xdr:col>
          <xdr:colOff>1174</xdr:colOff>
          <xdr:row>26</xdr:row>
          <xdr:rowOff>60401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BS_1_Med" spid="_x0000_s20136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1666139" y="4211799"/>
              <a:ext cx="809272" cy="1382627"/>
            </a:xfrm>
            <a:prstGeom prst="rect">
              <a:avLst/>
            </a:prstGeom>
            <a:noFill/>
            <a:ln w="3175"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666472</xdr:colOff>
          <xdr:row>27</xdr:row>
          <xdr:rowOff>2009</xdr:rowOff>
        </xdr:from>
        <xdr:to>
          <xdr:col>18</xdr:col>
          <xdr:colOff>1478</xdr:colOff>
          <xdr:row>36</xdr:row>
          <xdr:rowOff>62410</xdr:rowOff>
        </xdr:to>
        <xdr:pic>
          <xdr:nvPicPr>
            <xdr:cNvPr id="23" name="Grafik 22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BS_2_Med" spid="_x0000_s20136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1664335" y="5736059"/>
              <a:ext cx="811380" cy="13843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669559</xdr:colOff>
          <xdr:row>37</xdr:row>
          <xdr:rowOff>2494</xdr:rowOff>
        </xdr:from>
        <xdr:to>
          <xdr:col>18</xdr:col>
          <xdr:colOff>2457</xdr:colOff>
          <xdr:row>46</xdr:row>
          <xdr:rowOff>57777</xdr:rowOff>
        </xdr:to>
        <xdr:pic>
          <xdr:nvPicPr>
            <xdr:cNvPr id="24" name="Grafik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BS_3_Med" spid="_x0000_s20136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1677899" y="7233874"/>
              <a:ext cx="811177" cy="136592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667126</xdr:colOff>
          <xdr:row>47</xdr:row>
          <xdr:rowOff>2844</xdr:rowOff>
        </xdr:from>
        <xdr:to>
          <xdr:col>18</xdr:col>
          <xdr:colOff>2132</xdr:colOff>
          <xdr:row>55</xdr:row>
          <xdr:rowOff>99689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BS_4_Med" spid="_x0000_s20136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1310219" y="8586202"/>
              <a:ext cx="813600" cy="136037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350421</xdr:colOff>
          <xdr:row>59</xdr:row>
          <xdr:rowOff>2438</xdr:rowOff>
        </xdr:from>
        <xdr:to>
          <xdr:col>18</xdr:col>
          <xdr:colOff>1986</xdr:colOff>
          <xdr:row>64</xdr:row>
          <xdr:rowOff>163958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FormatBeurt" spid="_x0000_s20136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0088781" y="11028578"/>
              <a:ext cx="1129844" cy="1174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23255</xdr:colOff>
          <xdr:row>68</xdr:row>
          <xdr:rowOff>7092</xdr:rowOff>
        </xdr:from>
        <xdr:to>
          <xdr:col>15</xdr:col>
          <xdr:colOff>27298</xdr:colOff>
          <xdr:row>71</xdr:row>
          <xdr:rowOff>624</xdr:rowOff>
        </xdr:to>
        <xdr:pic>
          <xdr:nvPicPr>
            <xdr:cNvPr id="8" name="Grafik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>
              <a:picLocks noChangeArrowheads="1"/>
              <a:extLst>
                <a:ext uri="{84589F7E-364E-4C9E-8A38-B11213B215E9}">
                  <a14:cameraTool cellRange="Unterschrift" spid="_x0000_s201365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 bwMode="auto">
            <a:xfrm>
              <a:off x="3649105" y="12491192"/>
              <a:ext cx="3775942" cy="57278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1059669</xdr:colOff>
      <xdr:row>0</xdr:row>
      <xdr:rowOff>31574</xdr:rowOff>
    </xdr:from>
    <xdr:to>
      <xdr:col>0</xdr:col>
      <xdr:colOff>2081579</xdr:colOff>
      <xdr:row>0</xdr:row>
      <xdr:rowOff>1431967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669" y="31574"/>
          <a:ext cx="1021910" cy="1400393"/>
        </a:xfrm>
        <a:prstGeom prst="rect">
          <a:avLst/>
        </a:prstGeom>
      </xdr:spPr>
    </xdr:pic>
    <xdr:clientData/>
  </xdr:twoCellAnchor>
  <xdr:twoCellAnchor editAs="oneCell">
    <xdr:from>
      <xdr:col>0</xdr:col>
      <xdr:colOff>1376990</xdr:colOff>
      <xdr:row>1</xdr:row>
      <xdr:rowOff>37006</xdr:rowOff>
    </xdr:from>
    <xdr:to>
      <xdr:col>0</xdr:col>
      <xdr:colOff>2659064</xdr:colOff>
      <xdr:row>1</xdr:row>
      <xdr:rowOff>1452283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90" y="1484806"/>
          <a:ext cx="1282074" cy="1415277"/>
        </a:xfrm>
        <a:prstGeom prst="rect">
          <a:avLst/>
        </a:prstGeom>
      </xdr:spPr>
    </xdr:pic>
    <xdr:clientData/>
  </xdr:twoCellAnchor>
  <xdr:twoCellAnchor editAs="oneCell">
    <xdr:from>
      <xdr:col>0</xdr:col>
      <xdr:colOff>26440</xdr:colOff>
      <xdr:row>2</xdr:row>
      <xdr:rowOff>34340</xdr:rowOff>
    </xdr:from>
    <xdr:to>
      <xdr:col>0</xdr:col>
      <xdr:colOff>3194440</xdr:colOff>
      <xdr:row>2</xdr:row>
      <xdr:rowOff>1537862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80" t="5468" r="4824" b="6181"/>
        <a:stretch/>
      </xdr:blipFill>
      <xdr:spPr>
        <a:xfrm>
          <a:off x="26440" y="2976832"/>
          <a:ext cx="3168000" cy="1503522"/>
        </a:xfrm>
        <a:prstGeom prst="rect">
          <a:avLst/>
        </a:prstGeom>
      </xdr:spPr>
    </xdr:pic>
    <xdr:clientData/>
  </xdr:twoCellAnchor>
  <xdr:twoCellAnchor editAs="oneCell">
    <xdr:from>
      <xdr:col>0</xdr:col>
      <xdr:colOff>117325</xdr:colOff>
      <xdr:row>3</xdr:row>
      <xdr:rowOff>89620</xdr:rowOff>
    </xdr:from>
    <xdr:to>
      <xdr:col>0</xdr:col>
      <xdr:colOff>3084782</xdr:colOff>
      <xdr:row>3</xdr:row>
      <xdr:rowOff>1349620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25" y="4670801"/>
          <a:ext cx="2967457" cy="12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5922</xdr:colOff>
      <xdr:row>0</xdr:row>
      <xdr:rowOff>17239</xdr:rowOff>
    </xdr:from>
    <xdr:to>
      <xdr:col>0</xdr:col>
      <xdr:colOff>819716</xdr:colOff>
      <xdr:row>0</xdr:row>
      <xdr:rowOff>1385239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2" y="17239"/>
          <a:ext cx="813794" cy="13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6462</xdr:colOff>
      <xdr:row>2</xdr:row>
      <xdr:rowOff>16720</xdr:rowOff>
    </xdr:from>
    <xdr:to>
      <xdr:col>0</xdr:col>
      <xdr:colOff>820255</xdr:colOff>
      <xdr:row>2</xdr:row>
      <xdr:rowOff>1384720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2" y="3187184"/>
          <a:ext cx="813793" cy="13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5922</xdr:colOff>
      <xdr:row>1</xdr:row>
      <xdr:rowOff>16753</xdr:rowOff>
    </xdr:from>
    <xdr:to>
      <xdr:col>0</xdr:col>
      <xdr:colOff>819680</xdr:colOff>
      <xdr:row>1</xdr:row>
      <xdr:rowOff>1384753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2" y="1738057"/>
          <a:ext cx="813758" cy="136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3948</xdr:colOff>
      <xdr:row>0</xdr:row>
      <xdr:rowOff>13473</xdr:rowOff>
    </xdr:from>
    <xdr:to>
      <xdr:col>0</xdr:col>
      <xdr:colOff>1137806</xdr:colOff>
      <xdr:row>0</xdr:row>
      <xdr:rowOff>1170191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8" y="13473"/>
          <a:ext cx="1133858" cy="1156718"/>
        </a:xfrm>
        <a:prstGeom prst="rect">
          <a:avLst/>
        </a:prstGeom>
      </xdr:spPr>
    </xdr:pic>
    <xdr:clientData/>
  </xdr:twoCellAnchor>
  <xdr:twoCellAnchor editAs="oneCell">
    <xdr:from>
      <xdr:col>0</xdr:col>
      <xdr:colOff>5198</xdr:colOff>
      <xdr:row>2</xdr:row>
      <xdr:rowOff>14382</xdr:rowOff>
    </xdr:from>
    <xdr:to>
      <xdr:col>0</xdr:col>
      <xdr:colOff>1140067</xdr:colOff>
      <xdr:row>2</xdr:row>
      <xdr:rowOff>1171100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8" y="2376582"/>
          <a:ext cx="1134869" cy="1156718"/>
        </a:xfrm>
        <a:prstGeom prst="rect">
          <a:avLst/>
        </a:prstGeom>
      </xdr:spPr>
    </xdr:pic>
    <xdr:clientData/>
  </xdr:twoCellAnchor>
  <xdr:twoCellAnchor editAs="oneCell">
    <xdr:from>
      <xdr:col>0</xdr:col>
      <xdr:colOff>3870</xdr:colOff>
      <xdr:row>1</xdr:row>
      <xdr:rowOff>14083</xdr:rowOff>
    </xdr:from>
    <xdr:to>
      <xdr:col>0</xdr:col>
      <xdr:colOff>1137728</xdr:colOff>
      <xdr:row>1</xdr:row>
      <xdr:rowOff>1170801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" y="1195183"/>
          <a:ext cx="1133858" cy="115671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Geschlecht" displayName="Geschlecht" ref="E27:E57" totalsRowShown="0" headerRowDxfId="407" dataDxfId="406" dataCellStyle="01_Nicht_gesperrt">
  <autoFilter ref="E27:E57" xr:uid="{00000000-0009-0000-0100-000006000000}"/>
  <tableColumns count="1">
    <tableColumn id="1" xr3:uid="{00000000-0010-0000-0000-000001000000}" name="Geschlecht (Skala)" dataDxfId="408" dataCellStyle="01_Nicht_gesper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01000000}" name="SechzigmLaufResultat" displayName="SechzigmLaufResultat" ref="G27:I57" totalsRowShown="0" headerRowDxfId="402" dataDxfId="401">
  <autoFilter ref="G27:I57" xr:uid="{00000000-0009-0000-0100-00004C000000}"/>
  <tableColumns count="3">
    <tableColumn id="1" xr3:uid="{00000000-0010-0000-0100-000001000000}" name="Eingabe" dataDxfId="405" dataCellStyle="01_Nicht_gesperrt"/>
    <tableColumn id="3" xr3:uid="{368E1A59-FE54-41B5-B426-DCDE79B464C5}" name="Resultat" dataDxfId="404">
      <calculatedColumnFormula>IFERROR(IFERROR(SUBSTITUTE(SechzigmLaufResultat[[#This Row],[Eingabe]],".",",")*1,SUBSTITUTE(SechzigmLaufResultat[[#This Row],[Eingabe]],",",".")*1),"")</calculatedColumnFormula>
    </tableColumn>
    <tableColumn id="2" xr3:uid="{E9FB1EFF-D9BE-447B-A552-63D4323D95A9}" name="BedRes" dataDxfId="403">
      <calculatedColumnFormula>IF(OR(SechzigmLaufResultat[[#This Row],[Eingabe]]=$A$2,SechzigmLaufResultat[[#This Row],[Eingabe]]=$A$3),1,IF(AND(ISNUMBER(SechzigmLaufResultat[[#This Row],[Resultat]]),SechzigmLaufResultat[[#This Row],[Resultat]]&gt;=0),1,""))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02000000}" name="GleitenStatus" displayName="GleitenStatus" ref="ZK27:ZK57" totalsRowShown="0" headerRowDxfId="399" dataDxfId="398" dataCellStyle="01_Nicht_gesperrt">
  <autoFilter ref="ZK27:ZK57" xr:uid="{00000000-0009-0000-0100-000053000000}"/>
  <tableColumns count="1">
    <tableColumn id="1" xr3:uid="{00000000-0010-0000-0200-000001000000}" name="Status" dataDxfId="400" dataCellStyle="01_Nicht_gesperr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03000000}" name="SchwimmenResultatMin" displayName="SchwimmenResultatMin" ref="ZM27:ZP57" totalsRowShown="0" headerRowDxfId="393" dataDxfId="392">
  <autoFilter ref="ZM27:ZP57" xr:uid="{00000000-0009-0000-0100-000056000000}"/>
  <tableColumns count="4">
    <tableColumn id="1" xr3:uid="{00000000-0010-0000-0300-000001000000}" name="Min" dataDxfId="397" dataCellStyle="01_Nicht_gesperrt"/>
    <tableColumn id="4" xr3:uid="{24CD02DA-32C0-4B4D-9ADB-411B0A45FA98}" name="Resultat" dataDxfId="396">
      <calculatedColumnFormula>IFERROR(IFERROR(SUBSTITUTE(SchwimmenResultatMin[[#This Row],[Min]],".",",")*1,SUBSTITUTE(SchwimmenResultatMin[[#This Row],[Min]],",",".")*1),"")</calculatedColumnFormula>
    </tableColumn>
    <tableColumn id="2" xr3:uid="{D0FD65CD-BAD0-4506-9F2C-011EDBBA036F}" name="GZMin" dataDxfId="395">
      <calculatedColumnFormula>INT(SchwimmenResultatMin[[#This Row],[Resultat]])=SchwimmenResultatMin[[#This Row],[Resultat]]</calculatedColumnFormula>
    </tableColumn>
    <tableColumn id="3" xr3:uid="{F6DBB8C6-C65D-4F6A-8693-B7628F5AE9E6}" name="BedRes" dataDxfId="394">
      <calculatedColumnFormula>IFERROR(IF(AND(SchwimmenResultatMin[[#This Row],[GZMin]],SchwimmenResultatMin[[#This Row],[Resultat]]&gt;=0),1),IF(OR(SchwimmenResultatMin[[#This Row],[Min]]=$A$2,SchwimmenResultatMin[[#This Row],[Min]]=$A$3),1,""))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04000000}" name="SechzigmLaufNote" displayName="SechzigmLaufNote" ref="Q27:Q57" totalsRowShown="0" headerRowDxfId="390" dataDxfId="389">
  <autoFilter ref="Q27:Q57" xr:uid="{00000000-0009-0000-0100-000043000000}"/>
  <tableColumns count="1">
    <tableColumn id="1" xr3:uid="{00000000-0010-0000-0400-000001000000}" name="Note" dataDxfId="391">
      <calculatedColumnFormula array="1">IFERROR(INDEX(INDIRECT(P28),MATCH(INDIRECT(K$5),INDIRECT(M28),0)),IF(INDIRECT(K$5)=0,1,""))</calculatedColumnFormula>
    </tableColumn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05000000}" name="SechzigmLaufSkalawert" displayName="SechzigmLaufSkalawert" ref="N27:N57" totalsRowShown="0" headerRowDxfId="387" dataDxfId="386">
  <autoFilter ref="N27:N57" xr:uid="{00000000-0009-0000-0100-000086000000}"/>
  <tableColumns count="1">
    <tableColumn id="1" xr3:uid="{00000000-0010-0000-0500-000001000000}" name="Skala-Wert" dataDxfId="388">
      <calculatedColumnFormula array="1">IF(INDIRECT(K$1)="","",IF(INDIRECT(K$2)=0,0,IF(OR(INDIRECT(K$1)=$A$2,INDIRECT(K$1)=$A$3),$A$3,IFERROR(INDEX(INDIRECT(M28),MATCH(INDIRECT(K$3),INDIRECT(M28),M$25)),IFERROR(IF(M$25=-1,MAX(INDIRECT(M28)),IF(M$25=1,MIN(INDIRECT(M28)))),"")))))</calculatedColumnFormula>
    </tableColumn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06000000}" name="AchtzigmLaufResultat" displayName="AchtzigmLaufResultat" ref="S27:U57" totalsRowShown="0" headerRowDxfId="382" dataDxfId="381">
  <autoFilter ref="S27:U57" xr:uid="{00000000-0009-0000-0100-000088000000}"/>
  <tableColumns count="3">
    <tableColumn id="1" xr3:uid="{00000000-0010-0000-0600-000001000000}" name="Eingabe" dataDxfId="385" dataCellStyle="01_Nicht_gesperrt"/>
    <tableColumn id="3" xr3:uid="{9D1C435C-62A7-403D-8718-F06932CFC5AA}" name="Resultat" dataDxfId="384">
      <calculatedColumnFormula>IFERROR(IFERROR(SUBSTITUTE(AchtzigmLaufResultat[[#This Row],[Eingabe]],".",",")*1,SUBSTITUTE(AchtzigmLaufResultat[[#This Row],[Eingabe]],",",".")*1),"")</calculatedColumnFormula>
    </tableColumn>
    <tableColumn id="2" xr3:uid="{75031406-BFEE-4051-AC5D-8B6B909EC5E8}" name="BedRes" dataDxfId="383">
      <calculatedColumnFormula>IF(OR(AchtzigmLaufResultat[[#This Row],[Eingabe]]=$A$2,AchtzigmLaufResultat[[#This Row],[Eingabe]]=$A$3),1,IF(AND(ISNUMBER(AchtzigmLaufResultat[[#This Row],[Resultat]]),AchtzigmLaufResultat[[#This Row],[Resultat]]&gt;=0),1,""))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07000000}" name="AchtzigmLaufNote" displayName="AchtzigmLaufNote" ref="AC27:AC57" totalsRowShown="0" headerRowDxfId="379" dataDxfId="378">
  <autoFilter ref="AC27:AC57" xr:uid="{00000000-0009-0000-0100-000089000000}"/>
  <tableColumns count="1">
    <tableColumn id="1" xr3:uid="{00000000-0010-0000-0700-000001000000}" name="Note" dataDxfId="380">
      <calculatedColumnFormula array="1">IFERROR(INDEX(INDIRECT(AB28),MATCH(INDIRECT(W$5),INDIRECT(Y28),0)),IF(INDIRECT(W$5)=0,1,""))</calculatedColumnFormula>
    </tableColumn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08000000}" name="AchtzigmLaufSkalawert" displayName="AchtzigmLaufSkalawert" ref="Z27:Z57" totalsRowShown="0" headerRowDxfId="376" dataDxfId="375">
  <autoFilter ref="Z27:Z57" xr:uid="{00000000-0009-0000-0100-00008A000000}"/>
  <tableColumns count="1">
    <tableColumn id="1" xr3:uid="{00000000-0010-0000-0800-000001000000}" name="Skala-Wert" dataDxfId="377">
      <calculatedColumnFormula array="1">IF(INDIRECT(W$1)="","",IF(INDIRECT(W$2)=0,0,IF(OR(INDIRECT(W$1)=$A$2,INDIRECT(W$1)=$A$3),$A$3,IFERROR(INDEX(INDIRECT(Y28),MATCH(INDIRECT(W$3),INDIRECT(Y28),Y$25)),IFERROR(IF(Y$25=-1,MAX(INDIRECT(Y28)),IF(Y$25=1,MIN(INDIRECT(Y28)))),"")))))</calculatedColumnFormula>
    </tableColumn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09000000}" name="ZwölfMinLaufHalleResultat" displayName="ZwölfMinLaufHalleResultat" ref="AE27:AG57" totalsRowShown="0" headerRowDxfId="371" dataDxfId="370">
  <autoFilter ref="AE27:AG57" xr:uid="{00000000-0009-0000-0100-00008B000000}"/>
  <tableColumns count="3">
    <tableColumn id="1" xr3:uid="{00000000-0010-0000-0900-000001000000}" name="Eingabe" dataDxfId="374" dataCellStyle="01_Nicht_gesperrt"/>
    <tableColumn id="3" xr3:uid="{7827B2FB-6002-4E1F-808D-434FDD5D7035}" name="Resultat" dataDxfId="373">
      <calculatedColumnFormula>IFERROR(IFERROR(SUBSTITUTE(ZwölfMinLaufHalleResultat[[#This Row],[Eingabe]],".",",")*1,SUBSTITUTE(ZwölfMinLaufHalleResultat[[#This Row],[Eingabe]],",",".")*1),"")</calculatedColumnFormula>
    </tableColumn>
    <tableColumn id="2" xr3:uid="{928C1B4C-F8BC-4DA6-8E72-B7EE379F5EDA}" name="BedRes" dataDxfId="372">
      <calculatedColumnFormula>IF(OR(ZwölfMinLaufHalleResultat[[#This Row],[Eingabe]]=$A$2,ZwölfMinLaufHalleResultat[[#This Row],[Eingabe]]=$A$3),1,IF(AND(ISNUMBER(ZwölfMinLaufHalleResultat[[#This Row],[Resultat]]),ZwölfMinLaufHalleResultat[[#This Row],[Resultat]]&gt;=0),1,""))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0A000000}" name="ZwölfMinLaufHalleNote" displayName="ZwölfMinLaufHalleNote" ref="AO27:AO57" totalsRowShown="0" headerRowDxfId="368" dataDxfId="367">
  <autoFilter ref="AO27:AO57" xr:uid="{00000000-0009-0000-0100-00008C000000}"/>
  <tableColumns count="1">
    <tableColumn id="1" xr3:uid="{00000000-0010-0000-0A00-000001000000}" name="Note" dataDxfId="369">
      <calculatedColumnFormula array="1">IFERROR(INDEX(INDIRECT(AN28),MATCH(INDIRECT(AI$5),INDIRECT(AK28),0)),IF(INDIRECT(AI$5)=0,1,""))</calculatedColumnFormula>
    </tableColumn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0B000000}" name="ZwölfMinLaufHalleSkalawert" displayName="ZwölfMinLaufHalleSkalawert" ref="AL27:AL57" totalsRowShown="0" headerRowDxfId="365" dataDxfId="364">
  <autoFilter ref="AL27:AL57" xr:uid="{00000000-0009-0000-0100-00008D000000}"/>
  <tableColumns count="1">
    <tableColumn id="1" xr3:uid="{00000000-0010-0000-0B00-000001000000}" name="Skala-Wert" dataDxfId="366">
      <calculatedColumnFormula array="1">IF(INDIRECT(AI$1)="","",IF(INDIRECT(AI$2)=0,0,IF(OR(INDIRECT(AI$1)=$A$2,INDIRECT(AI$1)=$A$3),$A$3,IFERROR(INDEX(INDIRECT(AK28),MATCH(INDIRECT(AI$3),INDIRECT(AK28),AK$25)),IFERROR(IF(AK$25=-1,MAX(INDIRECT(AK28)),IF(AK$25=1,MIN(INDIRECT(AK28)))),"")))))</calculatedColumnFormula>
    </tableColumn>
  </tableColumns>
  <tableStyleInfo name="TableStyleMedium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0C000000}" name="ZwölfMinLaufimFreienResultat" displayName="ZwölfMinLaufimFreienResultat" ref="AQ27:AS57" totalsRowShown="0" headerRowDxfId="360" dataDxfId="359">
  <autoFilter ref="AQ27:AS57" xr:uid="{00000000-0009-0000-0100-00008E000000}"/>
  <tableColumns count="3">
    <tableColumn id="1" xr3:uid="{00000000-0010-0000-0C00-000001000000}" name="Eingabe" dataDxfId="363" dataCellStyle="01_Nicht_gesperrt"/>
    <tableColumn id="3" xr3:uid="{597DF14A-7A67-48E3-994E-05D927218C25}" name="Resultat" dataDxfId="362">
      <calculatedColumnFormula>IFERROR(IFERROR(SUBSTITUTE(ZwölfMinLaufimFreienResultat[[#This Row],[Eingabe]],".",",")*1,SUBSTITUTE(ZwölfMinLaufimFreienResultat[[#This Row],[Eingabe]],",",".")*1),"")</calculatedColumnFormula>
    </tableColumn>
    <tableColumn id="2" xr3:uid="{3B1C875B-51C0-4B7B-A174-CA2E6384E4CD}" name="BedRes" dataDxfId="361">
      <calculatedColumnFormula>IF(OR(ZwölfMinLaufimFreienResultat[[#This Row],[Eingabe]]=$A$2,ZwölfMinLaufimFreienResultat[[#This Row],[Eingabe]]=$A$3),1,IF(AND(ISNUMBER(ZwölfMinLaufimFreienResultat[[#This Row],[Resultat]]),ZwölfMinLaufimFreienResultat[[#This Row],[Resultat]]&gt;=0),1,""))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0D000000}" name="ZwölfMinLaufimFreienNote" displayName="ZwölfMinLaufimFreienNote" ref="BA27:BA57" totalsRowShown="0" headerRowDxfId="357" dataDxfId="356">
  <autoFilter ref="BA27:BA57" xr:uid="{00000000-0009-0000-0100-00008F000000}"/>
  <tableColumns count="1">
    <tableColumn id="1" xr3:uid="{00000000-0010-0000-0D00-000001000000}" name="Note" dataDxfId="358">
      <calculatedColumnFormula array="1">IFERROR(INDEX(INDIRECT(AZ28),MATCH(INDIRECT(AU$5),INDIRECT(AW28),0)),IF(INDIRECT(AU$5)=0,1,""))</calculatedColumnFormula>
    </tableColumn>
  </tableColumns>
  <tableStyleInfo name="TableStyleMedium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0E000000}" name="ZwölfMinLaufimFreienSkalawert" displayName="ZwölfMinLaufimFreienSkalawert" ref="AX27:AX57" totalsRowShown="0" headerRowDxfId="354" dataDxfId="353">
  <autoFilter ref="AX27:AX57" xr:uid="{00000000-0009-0000-0100-000090000000}"/>
  <tableColumns count="1">
    <tableColumn id="1" xr3:uid="{00000000-0010-0000-0E00-000001000000}" name="Skala-Wert" dataDxfId="355">
      <calculatedColumnFormula array="1">IF(INDIRECT(AU$1)="","",IF(INDIRECT(AU$2)=0,0,IF(OR(INDIRECT(AU$1)=$A$2,INDIRECT(AU$1)=$A$3),$A$3,IFERROR(INDEX(INDIRECT(AW28),MATCH(INDIRECT(AU$3),INDIRECT(AW28),AW$25)),IFERROR(IF(AW$25=-1,MAX(INDIRECT(AW28)),IF(AW$25=1,MIN(INDIRECT(AW28)))),"")))))</calculatedColumnFormula>
    </tableColumn>
  </tableColumns>
  <tableStyleInfo name="TableStyleMedium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0F000000}" name="HochsprungResultat" displayName="HochsprungResultat" ref="BC27:BE57" totalsRowShown="0" headerRowDxfId="349" dataDxfId="348">
  <autoFilter ref="BC27:BE57" xr:uid="{00000000-0009-0000-0100-000091000000}"/>
  <tableColumns count="3">
    <tableColumn id="1" xr3:uid="{00000000-0010-0000-0F00-000001000000}" name="Eingabe" dataDxfId="352" dataCellStyle="01_Nicht_gesperrt"/>
    <tableColumn id="3" xr3:uid="{6EABEC02-588A-4F83-8477-58BE4F6D9AD4}" name="Resultat" dataDxfId="351">
      <calculatedColumnFormula>IFERROR(IFERROR(SUBSTITUTE(HochsprungResultat[[#This Row],[Eingabe]],".",",")*1,SUBSTITUTE(HochsprungResultat[[#This Row],[Eingabe]],",",".")*1),"")</calculatedColumnFormula>
    </tableColumn>
    <tableColumn id="2" xr3:uid="{C0C287A6-6B9D-4FE4-9756-9E7926A90BDB}" name="BedRes" dataDxfId="350">
      <calculatedColumnFormula>IF(OR(HochsprungResultat[[#This Row],[Eingabe]]=$A$2,HochsprungResultat[[#This Row],[Eingabe]]=$A$3),1,IF(AND(ISNUMBER(HochsprungResultat[[#This Row],[Resultat]]),HochsprungResultat[[#This Row],[Resultat]]&gt;=0),1,""))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10000000}" name="HochsprungNote" displayName="HochsprungNote" ref="BM27:BM57" totalsRowShown="0" headerRowDxfId="346" dataDxfId="345">
  <autoFilter ref="BM27:BM57" xr:uid="{00000000-0009-0000-0100-000092000000}"/>
  <tableColumns count="1">
    <tableColumn id="1" xr3:uid="{00000000-0010-0000-1000-000001000000}" name="Note" dataDxfId="347">
      <calculatedColumnFormula array="1">IFERROR(INDEX(INDIRECT(BL28),MATCH(INDIRECT(BG$5),INDIRECT(BI28),0)),IF(INDIRECT(BG$5)=0,1,""))</calculatedColumnFormula>
    </tableColumn>
  </tableColumns>
  <tableStyleInfo name="TableStyleMedium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11000000}" name="HochsprungSkalawert" displayName="HochsprungSkalawert" ref="BJ27:BJ57" totalsRowShown="0" headerRowDxfId="343" dataDxfId="342">
  <autoFilter ref="BJ27:BJ57" xr:uid="{00000000-0009-0000-0100-000093000000}"/>
  <tableColumns count="1">
    <tableColumn id="1" xr3:uid="{00000000-0010-0000-1100-000001000000}" name="Skala-Wert" dataDxfId="344">
      <calculatedColumnFormula array="1">IF(INDIRECT(BG$1)="","",IF(INDIRECT(BG$2)=0,0,IF(OR(INDIRECT(BG$1)=$A$2,INDIRECT(BG$1)=$A$3),$A$3,IFERROR(INDEX(INDIRECT(BI28),MATCH(INDIRECT(BG$3),INDIRECT(BI28),BI$25)),IFERROR(IF(BI$25=-1,MAX(INDIRECT(BI28)),IF(BI$25=1,MIN(INDIRECT(BI28)))),"")))))</calculatedColumnFormula>
    </tableColumn>
  </tableColumns>
  <tableStyleInfo name="TableStyleMedium4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12000000}" name="WeitsprungResultat" displayName="WeitsprungResultat" ref="BO27:BQ57" totalsRowShown="0" headerRowDxfId="338" dataDxfId="337">
  <autoFilter ref="BO27:BQ57" xr:uid="{00000000-0009-0000-0100-000094000000}"/>
  <tableColumns count="3">
    <tableColumn id="1" xr3:uid="{00000000-0010-0000-1200-000001000000}" name="Eingabe" dataDxfId="341" dataCellStyle="01_Nicht_gesperrt"/>
    <tableColumn id="3" xr3:uid="{C5DCDADC-8841-486C-9744-4E6D175B2CBE}" name="Resultat" dataDxfId="340">
      <calculatedColumnFormula>IFERROR(IFERROR(SUBSTITUTE(WeitsprungResultat[[#This Row],[Eingabe]],".",",")*1,SUBSTITUTE(WeitsprungResultat[[#This Row],[Eingabe]],",",".")*1),"")</calculatedColumnFormula>
    </tableColumn>
    <tableColumn id="2" xr3:uid="{D63CA2AC-AD11-488D-A624-FBC3DF49587C}" name="BedRes" dataDxfId="339">
      <calculatedColumnFormula>IF(OR(WeitsprungResultat[[#This Row],[Eingabe]]=$A$2,WeitsprungResultat[[#This Row],[Eingabe]]=$A$3),1,IF(AND(ISNUMBER(WeitsprungResultat[[#This Row],[Resultat]]),WeitsprungResultat[[#This Row],[Resultat]]&gt;=0),1,""))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13000000}" name="WeitsprungNote" displayName="WeitsprungNote" ref="BY27:BY57" totalsRowShown="0" headerRowDxfId="335" dataDxfId="334">
  <autoFilter ref="BY27:BY57" xr:uid="{00000000-0009-0000-0100-000095000000}"/>
  <tableColumns count="1">
    <tableColumn id="1" xr3:uid="{00000000-0010-0000-1300-000001000000}" name="Note" dataDxfId="336">
      <calculatedColumnFormula array="1">IFERROR(INDEX(INDIRECT(BX28),MATCH(INDIRECT(BS$5),INDIRECT(BU28),0)),IF(INDIRECT(BS$5)=0,1,""))</calculatedColumnFormula>
    </tableColumn>
  </tableColumns>
  <tableStyleInfo name="TableStyleMedium4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14000000}" name="WeitsprungSkalawert" displayName="WeitsprungSkalawert" ref="BV27:BV57" totalsRowShown="0" headerRowDxfId="332" dataDxfId="331">
  <autoFilter ref="BV27:BV57" xr:uid="{00000000-0009-0000-0100-000096000000}"/>
  <tableColumns count="1">
    <tableColumn id="1" xr3:uid="{00000000-0010-0000-1400-000001000000}" name="Skala-Wert" dataDxfId="333">
      <calculatedColumnFormula array="1">IF(INDIRECT(BS$1)="","",IF(INDIRECT(BS$2)=0,0,IF(OR(INDIRECT(BS$1)=$A$2,INDIRECT(BS$1)=$A$3),$A$3,IFERROR(INDEX(INDIRECT(BU28),MATCH(INDIRECT(BS$3),INDIRECT(BU28),BU$25)),IFERROR(IF(BU$25=-1,MAX(INDIRECT(BU28)),IF(BU$25=1,MIN(INDIRECT(BU28)))),"")))))</calculatedColumnFormula>
    </tableColumn>
  </tableColumns>
  <tableStyleInfo name="TableStyleMedium4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15000000}" name="BallwurfResultat" displayName="BallwurfResultat" ref="CA27:CC57" totalsRowShown="0" headerRowDxfId="327" dataDxfId="326">
  <autoFilter ref="CA27:CC57" xr:uid="{00000000-0009-0000-0100-000097000000}"/>
  <tableColumns count="3">
    <tableColumn id="1" xr3:uid="{00000000-0010-0000-1500-000001000000}" name="Eingabe" dataDxfId="330" dataCellStyle="01_Nicht_gesperrt"/>
    <tableColumn id="3" xr3:uid="{3D2E54B5-2644-4873-9899-EAC5EB183107}" name="Resultat" dataDxfId="329">
      <calculatedColumnFormula>IFERROR(IFERROR(SUBSTITUTE(BallwurfResultat[[#This Row],[Eingabe]],".",",")*1,SUBSTITUTE(BallwurfResultat[[#This Row],[Eingabe]],",",".")*1),"")</calculatedColumnFormula>
    </tableColumn>
    <tableColumn id="2" xr3:uid="{5A3289AD-8271-48B2-9DB0-4050C0451504}" name="BedRes" dataDxfId="328">
      <calculatedColumnFormula>IF(OR(BallwurfResultat[[#This Row],[Eingabe]]=$A$2,BallwurfResultat[[#This Row],[Eingabe]]=$A$3),1,IF(AND(ISNUMBER(BallwurfResultat[[#This Row],[Resultat]]),BallwurfResultat[[#This Row],[Resultat]]&gt;=0),1,""))</calculatedColumnFormula>
    </tableColumn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16000000}" name="BallwurfNote" displayName="BallwurfNote" ref="CK27:CK57" totalsRowShown="0" headerRowDxfId="324" dataDxfId="323">
  <autoFilter ref="CK27:CK57" xr:uid="{00000000-0009-0000-0100-000098000000}"/>
  <tableColumns count="1">
    <tableColumn id="1" xr3:uid="{00000000-0010-0000-1600-000001000000}" name="Note" dataDxfId="325">
      <calculatedColumnFormula array="1">IFERROR(INDEX(INDIRECT(CJ28),MATCH(INDIRECT(CE$5),INDIRECT(CG28),0)),IF(INDIRECT(CE$5)=0,1,""))</calculatedColumnFormula>
    </tableColumn>
  </tableColumns>
  <tableStyleInfo name="TableStyleMedium4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17000000}" name="BallwurfSkalawert" displayName="BallwurfSkalawert" ref="CH27:CH57" totalsRowShown="0" headerRowDxfId="321" dataDxfId="320">
  <autoFilter ref="CH27:CH57" xr:uid="{00000000-0009-0000-0100-000099000000}"/>
  <tableColumns count="1">
    <tableColumn id="1" xr3:uid="{00000000-0010-0000-1700-000001000000}" name="Skala-Wert" dataDxfId="322">
      <calculatedColumnFormula array="1">IF(INDIRECT(CE$1)="","",IF(INDIRECT(CE$2)=0,0,IF(OR(INDIRECT(CE$1)=$A$2,INDIRECT(CE$1)=$A$3),$A$3,IFERROR(INDEX(INDIRECT(CG28),MATCH(INDIRECT(CE$3),INDIRECT(CG28),CG$25)),IFERROR(IF(CG$25=-1,MAX(INDIRECT(CG28)),IF(CG$25=1,MIN(INDIRECT(CG28)))),"")))))</calculatedColumnFormula>
    </tableColumn>
  </tableColumns>
  <tableStyleInfo name="TableStyleMedium4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18000000}" name="KugelstossenResultat" displayName="KugelstossenResultat" ref="CM27:CO57" totalsRowShown="0" headerRowDxfId="316" dataDxfId="315">
  <autoFilter ref="CM27:CO57" xr:uid="{00000000-0009-0000-0100-00009A000000}"/>
  <tableColumns count="3">
    <tableColumn id="1" xr3:uid="{00000000-0010-0000-1800-000001000000}" name="Eingabe" dataDxfId="319" dataCellStyle="01_Nicht_gesperrt"/>
    <tableColumn id="3" xr3:uid="{6F1EE0E8-F5E0-4D8A-8382-3FBE4CF6CF57}" name="Resultat" dataDxfId="318">
      <calculatedColumnFormula>IFERROR(IFERROR(SUBSTITUTE(KugelstossenResultat[[#This Row],[Eingabe]],".",",")*1,SUBSTITUTE(KugelstossenResultat[[#This Row],[Eingabe]],",",".")*1),"")</calculatedColumnFormula>
    </tableColumn>
    <tableColumn id="2" xr3:uid="{EC8FCDE8-8499-4DD6-B937-ED7624B0B657}" name="BedRes" dataDxfId="317">
      <calculatedColumnFormula>IF(OR(KugelstossenResultat[[#This Row],[Eingabe]]=$A$2,KugelstossenResultat[[#This Row],[Eingabe]]=$A$3),1,IF(AND(ISNUMBER(KugelstossenResultat[[#This Row],[Resultat]]),KugelstossenResultat[[#This Row],[Resultat]]&gt;=0),1,""))</calculatedColumn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19000000}" name="KugelstossenNote" displayName="KugelstossenNote" ref="CW27:CW57" totalsRowShown="0" headerRowDxfId="313" dataDxfId="312">
  <autoFilter ref="CW27:CW57" xr:uid="{00000000-0009-0000-0100-00009B000000}"/>
  <tableColumns count="1">
    <tableColumn id="1" xr3:uid="{00000000-0010-0000-1900-000001000000}" name="Note" dataDxfId="314">
      <calculatedColumnFormula array="1">IFERROR(INDEX(INDIRECT(CV28),MATCH(INDIRECT(CQ$5),INDIRECT(CS28),0)),IF(INDIRECT(CQ$5)=0,1,""))</calculatedColumnFormula>
    </tableColumn>
  </tableColumns>
  <tableStyleInfo name="TableStyleMedium4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1A000000}" name="KugelstossenSkalawert" displayName="KugelstossenSkalawert" ref="CT27:CT57" totalsRowShown="0" headerRowDxfId="310" dataDxfId="309">
  <autoFilter ref="CT27:CT57" xr:uid="{00000000-0009-0000-0100-00009C000000}"/>
  <tableColumns count="1">
    <tableColumn id="1" xr3:uid="{00000000-0010-0000-1A00-000001000000}" name="Skala-Wert" dataDxfId="311">
      <calculatedColumnFormula array="1">IF(INDIRECT(CQ$1)="","",IF(INDIRECT(CQ$2)=0,0,IF(OR(INDIRECT(CQ$1)=$A$2,INDIRECT(CQ$1)=$A$3),$A$3,IFERROR(INDEX(INDIRECT(CS28),MATCH(INDIRECT(CQ$3),INDIRECT(CS28),CS$25)),IFERROR(IF(CS$25=-1,MAX(INDIRECT(CS28)),IF(CS$25=1,MIN(INDIRECT(CS28)))),"")))))</calculatedColumnFormula>
    </tableColumn>
  </tableColumns>
  <tableStyleInfo name="TableStyleMedium4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1B000000}" name="SpeerwurfResultat" displayName="SpeerwurfResultat" ref="CY27:DA57" totalsRowShown="0" headerRowDxfId="305" dataDxfId="304">
  <autoFilter ref="CY27:DA57" xr:uid="{00000000-0009-0000-0100-00009D000000}"/>
  <tableColumns count="3">
    <tableColumn id="1" xr3:uid="{00000000-0010-0000-1B00-000001000000}" name="Eingabe" dataDxfId="308" dataCellStyle="01_Nicht_gesperrt"/>
    <tableColumn id="3" xr3:uid="{7FF1F852-2576-4CFF-AA7E-F8949F21D06D}" name="Resultat" dataDxfId="307">
      <calculatedColumnFormula>IFERROR(IFERROR(SUBSTITUTE(SpeerwurfResultat[[#This Row],[Eingabe]],".",",")*1,SUBSTITUTE(SpeerwurfResultat[[#This Row],[Eingabe]],",",".")*1),"")</calculatedColumnFormula>
    </tableColumn>
    <tableColumn id="2" xr3:uid="{91FF28A5-69C9-4284-A243-07D166226E79}" name="BedRes" dataDxfId="306">
      <calculatedColumnFormula>IF(OR(SpeerwurfResultat[[#This Row],[Eingabe]]=$A$2,SpeerwurfResultat[[#This Row],[Eingabe]]=$A$3),1,IF(AND(ISNUMBER(SpeerwurfResultat[[#This Row],[Resultat]]),SpeerwurfResultat[[#This Row],[Resultat]]&gt;=0),1,""))</calculatedColumnFormula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1C000000}" name="SpeerwurfNote" displayName="SpeerwurfNote" ref="DI27:DI57" totalsRowShown="0" headerRowDxfId="302" dataDxfId="301">
  <autoFilter ref="DI27:DI57" xr:uid="{00000000-0009-0000-0100-00009E000000}"/>
  <tableColumns count="1">
    <tableColumn id="1" xr3:uid="{00000000-0010-0000-1C00-000001000000}" name="Note" dataDxfId="303">
      <calculatedColumnFormula array="1">IFERROR(INDEX(INDIRECT(DH28),MATCH(INDIRECT(DC$5),INDIRECT(DE28),0)),IF(INDIRECT(DC$5)=0,1,""))</calculatedColumnFormula>
    </tableColumn>
  </tableColumns>
  <tableStyleInfo name="TableStyleMedium4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1D000000}" name="SpeerwurfSkalawert" displayName="SpeerwurfSkalawert" ref="DF27:DF57" totalsRowShown="0" headerRowDxfId="299" dataDxfId="298">
  <autoFilter ref="DF27:DF57" xr:uid="{00000000-0009-0000-0100-00009F000000}"/>
  <tableColumns count="1">
    <tableColumn id="1" xr3:uid="{00000000-0010-0000-1D00-000001000000}" name="Skala-Wert" dataDxfId="300">
      <calculatedColumnFormula array="1">IF(INDIRECT(DC$1)="","",IF(INDIRECT(DC$2)=0,0,IF(OR(INDIRECT(DC$1)=$A$2,INDIRECT(DC$1)=$A$3),$A$3,IFERROR(INDEX(INDIRECT(DE28),MATCH(INDIRECT(DC$3),INDIRECT(DE28),DE$25)),IFERROR(IF(DE$25=-1,MAX(INDIRECT(DE28)),IF(DE$25=1,MIN(INDIRECT(DE28)))),"")))))</calculatedColumnFormula>
    </tableColumn>
  </tableColumns>
  <tableStyleInfo name="TableStyleMedium4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1E000000}" name="ReckResultat" displayName="ReckResultat" ref="HP27:HS57" totalsRowShown="0" headerRowDxfId="293" dataDxfId="292">
  <autoFilter ref="HP27:HS57" xr:uid="{00000000-0009-0000-0100-0000A0000000}"/>
  <tableColumns count="4">
    <tableColumn id="1" xr3:uid="{00000000-0010-0000-1E00-000001000000}" name="Eingabe" dataDxfId="297" dataCellStyle="01_Nicht_gesperrt"/>
    <tableColumn id="4" xr3:uid="{B16FD525-5B2B-4881-ABC5-3E22E600C756}" name="Resultat" dataDxfId="296">
      <calculatedColumnFormula>IFERROR(IFERROR(SUBSTITUTE(ReckResultat[[#This Row],[Eingabe]],".",",")*1,SUBSTITUTE(ReckResultat[[#This Row],[Eingabe]],",",".")*1),"")</calculatedColumnFormula>
    </tableColumn>
    <tableColumn id="2" xr3:uid="{2B32B15C-43F9-4D69-8884-521326D9F322}" name="GZRes" dataDxfId="295">
      <calculatedColumnFormula>INT(ReckResultat[[#This Row],[Resultat]])=ReckResultat[[#This Row],[Resultat]]</calculatedColumnFormula>
    </tableColumn>
    <tableColumn id="3" xr3:uid="{A89A3BD9-62A9-457C-BE69-658D5904CD5B}" name="BedRes" dataDxfId="294">
      <calculatedColumnFormula>IFERROR(IF(AND(ReckResultat[[#This Row],[GZRes]],AND(ReckResultat[[#This Row],[Resultat]]&gt;=0,ReckResultat[[#This Row],[Resultat]]&lt;=HW$23)),1),IF(OR(ReckResultat[[#This Row],[Eingabe]]=$A$2,ReckResultat[[#This Row],[Eingabe]]=$A$3),1,""))</calculatedColumnFormula>
    </tableColumn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1F000000}" name="BodenResultat" displayName="BodenResultat" ref="HY27:IB57" totalsRowShown="0" headerRowDxfId="287" dataDxfId="286">
  <autoFilter ref="HY27:IB57" xr:uid="{00000000-0009-0000-0100-0000A3000000}"/>
  <tableColumns count="4">
    <tableColumn id="1" xr3:uid="{00000000-0010-0000-1F00-000001000000}" name="Eingabe" dataDxfId="291" dataCellStyle="01_Nicht_gesperrt"/>
    <tableColumn id="3" xr3:uid="{2F489198-5ACF-413D-AC6B-B8F92BF25C25}" name="Resultat" dataDxfId="290">
      <calculatedColumnFormula>IFERROR(IFERROR(SUBSTITUTE(BodenResultat[[#This Row],[Eingabe]],".",",")*1,SUBSTITUTE(BodenResultat[[#This Row],[Eingabe]],",",".")*1),"")</calculatedColumnFormula>
    </tableColumn>
    <tableColumn id="2" xr3:uid="{2A972387-CD61-488B-86C1-90398FDD96BD}" name="GZRes" dataDxfId="289">
      <calculatedColumnFormula>INT(BodenResultat[[#This Row],[Resultat]])=BodenResultat[[#This Row],[Resultat]]</calculatedColumnFormula>
    </tableColumn>
    <tableColumn id="4" xr3:uid="{5E297E05-C2C0-4773-BB51-530030AE7CE6}" name="BedRes" dataDxfId="288">
      <calculatedColumnFormula>IFERROR(IF(AND(BodenResultat[[#This Row],[GZRes]],AND(BodenResultat[[#This Row],[Resultat]]&gt;=0,BodenResultat[[#This Row],[Resultat]]&lt;=IF$23)),1),IF(OR(BodenResultat[[#This Row],[Eingabe]]=$A$2,BodenResultat[[#This Row],[Eingabe]]=$A$3),1,""))</calculatedColumnFormula>
    </tableColumn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20000000}" name="StufenbarrenResultat" displayName="StufenbarrenResultat" ref="IH27:IK57" totalsRowShown="0" headerRowDxfId="281" dataDxfId="280">
  <autoFilter ref="IH27:IK57" xr:uid="{00000000-0009-0000-0100-0000A6000000}"/>
  <tableColumns count="4">
    <tableColumn id="1" xr3:uid="{00000000-0010-0000-2000-000001000000}" name="Eingabe" dataDxfId="285" dataCellStyle="01_Nicht_gesperrt"/>
    <tableColumn id="3" xr3:uid="{0E69194D-8F7E-4E98-B5F5-87C5FAEF27AE}" name="Resultat" dataDxfId="284">
      <calculatedColumnFormula>IFERROR(IFERROR(SUBSTITUTE(StufenbarrenResultat[[#This Row],[Eingabe]],".",",")*1,SUBSTITUTE(StufenbarrenResultat[[#This Row],[Eingabe]],",",".")*1),"")</calculatedColumnFormula>
    </tableColumn>
    <tableColumn id="2" xr3:uid="{8ACE297C-45FA-4EAE-8935-57E375DD5EC9}" name="GZRes" dataDxfId="283">
      <calculatedColumnFormula>INT(StufenbarrenResultat[[#This Row],[Resultat]])=StufenbarrenResultat[[#This Row],[Resultat]]</calculatedColumnFormula>
    </tableColumn>
    <tableColumn id="4" xr3:uid="{664FECBB-86D8-4A7A-835C-EA82FD66B19A}" name="BedRes" dataDxfId="282">
      <calculatedColumnFormula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calculatedColumnFormula>
    </tableColumn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21000000}" name="ParallelbarrenResultat" displayName="ParallelbarrenResultat" ref="IQ27:IT57" totalsRowShown="0" headerRowDxfId="275" dataDxfId="274">
  <autoFilter ref="IQ27:IT57" xr:uid="{00000000-0009-0000-0100-0000A9000000}"/>
  <tableColumns count="4">
    <tableColumn id="1" xr3:uid="{00000000-0010-0000-2100-000001000000}" name="Eingabe" dataDxfId="279" dataCellStyle="01_Nicht_gesperrt"/>
    <tableColumn id="3" xr3:uid="{A22474CC-885D-4564-BE4B-E781CB915123}" name="Resultat" dataDxfId="278">
      <calculatedColumnFormula>IFERROR(IFERROR(SUBSTITUTE(ParallelbarrenResultat[[#This Row],[Eingabe]],".",",")*1,SUBSTITUTE(ParallelbarrenResultat[[#This Row],[Eingabe]],",",".")*1),"")</calculatedColumnFormula>
    </tableColumn>
    <tableColumn id="2" xr3:uid="{51EB82AA-4AD7-44D9-87DC-1DB4216BF3B4}" name="GZRes" dataDxfId="277">
      <calculatedColumnFormula>INT(ParallelbarrenResultat[[#This Row],[Resultat]])=ParallelbarrenResultat[[#This Row],[Resultat]]</calculatedColumnFormula>
    </tableColumn>
    <tableColumn id="4" xr3:uid="{20467AF0-FB88-43A9-ABD9-C62A0F82BFCD}" name="BedRes" dataDxfId="276">
      <calculatedColumnFormula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calculatedColumnFormula>
    </tableColumn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22000000}" name="SchaukelringeResultat" displayName="SchaukelringeResultat" ref="IZ27:JC57" totalsRowShown="0" headerRowDxfId="269" dataDxfId="268">
  <autoFilter ref="IZ27:JC57" xr:uid="{00000000-0009-0000-0100-0000AC000000}"/>
  <tableColumns count="4">
    <tableColumn id="1" xr3:uid="{00000000-0010-0000-2200-000001000000}" name="Eingabe" dataDxfId="273" dataCellStyle="01_Nicht_gesperrt"/>
    <tableColumn id="3" xr3:uid="{148844AA-56A8-4557-9BC9-BB48357EFDD6}" name="Resultat" dataDxfId="272">
      <calculatedColumnFormula>IFERROR(IFERROR(SUBSTITUTE(SchaukelringeResultat[[#This Row],[Eingabe]],".",",")*1,SUBSTITUTE(SchaukelringeResultat[[#This Row],[Eingabe]],",",".")*1),"")</calculatedColumnFormula>
    </tableColumn>
    <tableColumn id="2" xr3:uid="{91BD0F7B-08DB-48AD-8473-D254399C542F}" name="GZRes" dataDxfId="271">
      <calculatedColumnFormula>INT(SchaukelringeResultat[[#This Row],[Resultat]])=SchaukelringeResultat[[#This Row],[Resultat]]</calculatedColumnFormula>
    </tableColumn>
    <tableColumn id="4" xr3:uid="{3ADC7F28-410A-4A91-BB0E-06F1A28D6C6D}" name="BedRes" dataDxfId="270">
      <calculatedColumnFormula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calculatedColumnFormula>
    </tableColumn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23000000}" name="SprungResultat" displayName="SprungResultat" ref="JI27:JL57" totalsRowShown="0" headerRowDxfId="263" dataDxfId="262">
  <autoFilter ref="JI27:JL57" xr:uid="{00000000-0009-0000-0100-0000AF000000}"/>
  <tableColumns count="4">
    <tableColumn id="1" xr3:uid="{00000000-0010-0000-2300-000001000000}" name="Eingabe" dataDxfId="267" dataCellStyle="01_Nicht_gesperrt"/>
    <tableColumn id="3" xr3:uid="{7B7B8009-4EC6-4006-9582-73B4C447CB16}" name="Resultat" dataDxfId="266">
      <calculatedColumnFormula>IFERROR(IFERROR(SUBSTITUTE(SprungResultat[[#This Row],[Eingabe]],".",",")*1,SUBSTITUTE(SprungResultat[[#This Row],[Eingabe]],",",".")*1),"")</calculatedColumnFormula>
    </tableColumn>
    <tableColumn id="2" xr3:uid="{E8968E8D-849D-4870-A2B2-DC43B3860D40}" name="GZRes" dataDxfId="265">
      <calculatedColumnFormula>INT(SprungResultat[[#This Row],[Resultat]])=SprungResultat[[#This Row],[Resultat]]</calculatedColumnFormula>
    </tableColumn>
    <tableColumn id="4" xr3:uid="{ABA5E509-C043-4D7C-9BC1-A5BCC619A522}" name="BedRes" dataDxfId="264">
      <calculatedColumnFormula>IFERROR(IF(AND(SprungResultat[[#This Row],[GZRes]],AND(SprungResultat[[#This Row],[Resultat]]&gt;=0,SprungResultat[[#This Row],[Resultat]]&lt;=JP$23)),1),IF(OR(SprungResultat[[#This Row],[Eingabe]]=$A$2,SprungResultat[[#This Row],[Eingabe]]=$A$3),1,""))</calculatedColumnFormula>
    </tableColumn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24000000}" name="ParkourResultat" displayName="ParkourResultat" ref="NG27:NJ57" totalsRowShown="0" headerRowDxfId="257" dataDxfId="256">
  <autoFilter ref="NG27:NJ57" xr:uid="{00000000-0009-0000-0100-000048000000}"/>
  <tableColumns count="4">
    <tableColumn id="1" xr3:uid="{00000000-0010-0000-2400-000001000000}" name="Eingabe" dataDxfId="261" dataCellStyle="01_Nicht_gesperrt"/>
    <tableColumn id="4" xr3:uid="{E491F965-07DD-4BB1-939C-E8D79896D413}" name="Resultat" dataDxfId="260">
      <calculatedColumnFormula>IFERROR(IFERROR(SUBSTITUTE(ParkourResultat[[#This Row],[Eingabe]],".",",")*1,SUBSTITUTE(ParkourResultat[[#This Row],[Eingabe]],",",".")*1),"")</calculatedColumnFormula>
    </tableColumn>
    <tableColumn id="2" xr3:uid="{114742AE-4645-4CA6-900D-BF028A3247A4}" name="GZRes" dataDxfId="259">
      <calculatedColumnFormula>INT(ParkourResultat[[#This Row],[Resultat]])=ParkourResultat[[#This Row],[Resultat]]</calculatedColumnFormula>
    </tableColumn>
    <tableColumn id="3" xr3:uid="{311037C9-B64D-4E68-8174-1A0A8EE66D62}" name="BedRes" dataDxfId="258">
      <calculatedColumnFormula>IFERROR(IF(AND(ParkourResultat[[#This Row],[GZRes]],AND(ParkourResultat[[#This Row],[Resultat]]&gt;=0,ParkourResultat[[#This Row],[Resultat]]&lt;=NR$23)),1),IF(OR(ParkourResultat[[#This Row],[Eingabe]]=$A$2,ParkourResultat[[#This Row],[Eingabe]]=$A$3),1,""))</calculatedColumnFormula>
    </tableColumn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25000000}" name="ParkourNote" displayName="ParkourNote" ref="NR27:NR57" totalsRowShown="0" headerRowDxfId="254" dataDxfId="253">
  <autoFilter ref="NR27:NR57" xr:uid="{00000000-0009-0000-0100-000049000000}"/>
  <tableColumns count="1">
    <tableColumn id="1" xr3:uid="{00000000-0010-0000-2500-000001000000}" name="Note" dataDxfId="255">
      <calculatedColumnFormula array="1">IFERROR(INDEX(INDIRECT(NQ28),MATCH(INDIRECT(NL$5),INDIRECT(NN28),0)),IF(INDIRECT(NL$5)=0,1,""))</calculatedColumnFormula>
    </tableColumn>
  </tableColumns>
  <tableStyleInfo name="TableStyleMedium4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26000000}" name="ParkourSkalawert" displayName="ParkourSkalawert" ref="NO27:NO57" totalsRowShown="0" headerRowDxfId="251" dataDxfId="250">
  <autoFilter ref="NO27:NO57" xr:uid="{00000000-0009-0000-0100-00004A000000}"/>
  <tableColumns count="1">
    <tableColumn id="1" xr3:uid="{00000000-0010-0000-2600-000001000000}" name="Skala-Wert" dataDxfId="252">
      <calculatedColumnFormula array="1">IF(INDIRECT(NL$1)="","",IF(INDIRECT(NL$2)=0,0,IF(OR(INDIRECT(NL$1)=$A$2,INDIRECT(NL$1)=$A$3),$A$3,IFERROR(INDEX(INDIRECT(NN28),MATCH(INDIRECT(NL$3),INDIRECT(NN28),NN$25)),IFERROR(IF(NN$25=-1,MAX(INDIRECT(NN28)),IF(NN$25=1,MIN(INDIRECT(NN28)))),"")))))</calculatedColumnFormula>
    </tableColumn>
  </tableColumns>
  <tableStyleInfo name="TableStyleMedium4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27000000}" name="TanzenResultat" displayName="TanzenResultat" ref="PC27:PE57" totalsRowShown="0" headerRowDxfId="246" dataDxfId="245">
  <autoFilter ref="PC27:PE57" xr:uid="{00000000-0009-0000-0100-000009000000}"/>
  <tableColumns count="3">
    <tableColumn id="1" xr3:uid="{00000000-0010-0000-2700-000001000000}" name="Eingabe" dataDxfId="249" dataCellStyle="01_Nicht_gesperrt"/>
    <tableColumn id="2" xr3:uid="{093FAB62-741B-4765-A132-D329EECC3AA0}" name="Resultat" dataDxfId="248">
      <calculatedColumnFormula>IFERROR(IFERROR(SUBSTITUTE(TanzenResultat[[#This Row],[Eingabe]],".",",")*1,SUBSTITUTE(TanzenResultat[[#This Row],[Eingabe]],",",".")*1),"")</calculatedColumnFormula>
    </tableColumn>
    <tableColumn id="3" xr3:uid="{F7904A46-3A43-49BA-8F7C-D51A051D48C2}" name="BedRes" dataDxfId="247">
      <calculatedColumnFormula>IF(OR(TanzenResultat[[#This Row],[Eingabe]]=$A$2,TanzenResultat[[#This Row],[Eingabe]]=$A$3),1,IF(AND(ISNUMBER(TanzenResultat[[#This Row],[Resultat]]),TanzenResultat[[#This Row],[Resultat]]&gt;=0,TanzenResultat[[#This Row],[Resultat]]&lt;=PM$23),1,""))</calculatedColumnFormula>
    </tableColumn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28000000}" name="TanzenNote" displayName="TanzenNote" ref="PM27:PM57" totalsRowShown="0" headerRowDxfId="243" dataDxfId="242">
  <autoFilter ref="PM27:PM57" xr:uid="{00000000-0009-0000-0100-000040000000}"/>
  <tableColumns count="1">
    <tableColumn id="1" xr3:uid="{00000000-0010-0000-2800-000001000000}" name="Note" dataDxfId="244">
      <calculatedColumnFormula array="1">IFERROR(INDEX(INDIRECT(PL28),MATCH(INDIRECT(PG$5),INDIRECT(PI28),0)),IF(INDIRECT(PG$5)=0,1,""))</calculatedColumnFormula>
    </tableColumn>
  </tableColumns>
  <tableStyleInfo name="TableStyleMedium4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29000000}" name="TanzenSkalawert" displayName="TanzenSkalawert" ref="PJ27:PJ57" totalsRowShown="0" headerRowDxfId="240" dataDxfId="239">
  <autoFilter ref="PJ27:PJ57" xr:uid="{00000000-0009-0000-0100-000047000000}"/>
  <tableColumns count="1">
    <tableColumn id="1" xr3:uid="{00000000-0010-0000-2900-000001000000}" name="Skala-Wert" dataDxfId="241">
      <calculatedColumnFormula array="1">IF(INDIRECT(PG$1)="","",IF(INDIRECT(PG$2)=0,0,IF(OR(INDIRECT(PG$1)=$A$2,INDIRECT(PG$1)=$A$3),$A$3,IFERROR(INDEX(INDIRECT(PI28),MATCH(INDIRECT(PG$3),INDIRECT(PI28),PI$25)),IFERROR(IF(PI$25=-1,MAX(INDIRECT(PI28)),IF(PI$25=1,MIN(INDIRECT(PI28)))),"")))))</calculatedColumnFormula>
    </tableColumn>
  </tableColumns>
  <tableStyleInfo name="TableStyleMedium4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2A000000}" name="RopeSkippingResultat" displayName="RopeSkippingResultat" ref="PO27:PR57" totalsRowShown="0" headerRowDxfId="234" dataDxfId="233">
  <autoFilter ref="PO27:PR57" xr:uid="{00000000-0009-0000-0100-00000A000000}"/>
  <tableColumns count="4">
    <tableColumn id="1" xr3:uid="{00000000-0010-0000-2A00-000001000000}" name="Eingabe" dataDxfId="238" dataCellStyle="01_Nicht_gesperrt"/>
    <tableColumn id="4" xr3:uid="{38C98340-6155-43D5-89AB-3F87912511AD}" name="Resultat" dataDxfId="237">
      <calculatedColumnFormula>IFERROR(IFERROR(SUBSTITUTE(RopeSkippingResultat[[#This Row],[Eingabe]],".",",")*1,SUBSTITUTE(RopeSkippingResultat[[#This Row],[Eingabe]],",",".")*1),"")</calculatedColumnFormula>
    </tableColumn>
    <tableColumn id="2" xr3:uid="{9AB37719-954C-4FFA-91E6-EC44CE44E455}" name="GZRes" dataDxfId="236">
      <calculatedColumnFormula>INT(RopeSkippingResultat[[#This Row],[Resultat]])=RopeSkippingResultat[[#This Row],[Resultat]]</calculatedColumnFormula>
    </tableColumn>
    <tableColumn id="3" xr3:uid="{DFBD2895-5ED1-4B68-BA6C-8C6A9EB2356B}" name="BedRes" dataDxfId="235">
      <calculatedColumnFormula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calculatedColumnFormula>
    </tableColumn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2B000000}" name="RopeSkippingNote" displayName="RopeSkippingNote" ref="PZ27:PZ57" totalsRowShown="0" headerRowDxfId="231" dataDxfId="230">
  <autoFilter ref="PZ27:PZ57" xr:uid="{00000000-0009-0000-0100-000010000000}"/>
  <tableColumns count="1">
    <tableColumn id="1" xr3:uid="{00000000-0010-0000-2B00-000001000000}" name="Note" dataDxfId="232">
      <calculatedColumnFormula array="1">IFERROR(INDEX(INDIRECT(PY28),MATCH(INDIRECT(PT$5),INDIRECT(PV28),0)),IF(INDIRECT(PT$5)=0,1,""))</calculatedColumnFormula>
    </tableColumn>
  </tableColumns>
  <tableStyleInfo name="TableStyleMedium4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2C000000}" name="RopeSkippingSkalawert" displayName="RopeSkippingSkalawert" ref="PW27:PW57" totalsRowShown="0" headerRowDxfId="228" dataDxfId="227">
  <autoFilter ref="PW27:PW57" xr:uid="{00000000-0009-0000-0100-000015000000}"/>
  <tableColumns count="1">
    <tableColumn id="1" xr3:uid="{00000000-0010-0000-2C00-000001000000}" name="Skala-Wert" dataDxfId="229">
      <calculatedColumnFormula array="1">IF(INDIRECT(PT$1)="","",IF(INDIRECT(PT$2)=0,0,IF(OR(INDIRECT(PT$1)=$A$2,INDIRECT(PT$1)=$A$3),$A$3,IFERROR(INDEX(INDIRECT(PV28),MATCH(INDIRECT(PT$3),INDIRECT(PV28),PV$25)),IFERROR(IF(PV$25=-1,MAX(INDIRECT(PV28)),IF(PV$25=1,MIN(INDIRECT(PV28)))),"")))))</calculatedColumnFormula>
    </tableColumn>
  </tableColumns>
  <tableStyleInfo name="TableStyleMedium4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2D000000}" name="AerobicResultat" displayName="AerobicResultat" ref="QB27:QD57" totalsRowShown="0" headerRowDxfId="223" dataDxfId="222">
  <autoFilter ref="QB27:QD57" xr:uid="{00000000-0009-0000-0100-000016000000}"/>
  <tableColumns count="3">
    <tableColumn id="1" xr3:uid="{00000000-0010-0000-2D00-000001000000}" name="Eingabe" dataDxfId="226" dataCellStyle="01_Nicht_gesperrt"/>
    <tableColumn id="2" xr3:uid="{FB6DB592-1E27-41C1-A3E8-6C50C21D0C4A}" name="Resultat" dataDxfId="225">
      <calculatedColumnFormula>IFERROR(IFERROR(SUBSTITUTE(AerobicResultat[[#This Row],[Eingabe]],".",",")*1,SUBSTITUTE(AerobicResultat[[#This Row],[Eingabe]],",",".")*1),"")</calculatedColumnFormula>
    </tableColumn>
    <tableColumn id="3" xr3:uid="{F1F12108-926A-4D95-A191-FADE72AE2876}" name="BedRes" dataDxfId="224">
      <calculatedColumnFormula>IF(OR(AerobicResultat[[#This Row],[Eingabe]]=$A$2,AerobicResultat[[#This Row],[Eingabe]]=$A$3),1,IF(AND(ISNUMBER(AerobicResultat[[#This Row],[Resultat]]),AerobicResultat[[#This Row],[Resultat]]&gt;=0,AerobicResultat[[#This Row],[Resultat]]&lt;=QL$23),1,""))</calculatedColumnFormula>
    </tableColumn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2E000000}" name="AerobicNote" displayName="AerobicNote" ref="QL27:QL57" totalsRowShown="0" headerRowDxfId="220" dataDxfId="219">
  <autoFilter ref="QL27:QL57" xr:uid="{00000000-0009-0000-0100-000017000000}"/>
  <tableColumns count="1">
    <tableColumn id="1" xr3:uid="{00000000-0010-0000-2E00-000001000000}" name="Note" dataDxfId="221">
      <calculatedColumnFormula array="1">IFERROR(INDEX(INDIRECT(QK28),MATCH(INDIRECT(QF$5),INDIRECT(QH28),0)),IF(INDIRECT(QF$5)=0,1,""))</calculatedColumnFormula>
    </tableColumn>
  </tableColumns>
  <tableStyleInfo name="TableStyleMedium4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2F000000}" name="AerobicSkalawert" displayName="AerobicSkalawert" ref="QI27:QI57" totalsRowShown="0" headerRowDxfId="217" dataDxfId="216">
  <autoFilter ref="QI27:QI57" xr:uid="{00000000-0009-0000-0100-00004B000000}"/>
  <tableColumns count="1">
    <tableColumn id="1" xr3:uid="{00000000-0010-0000-2F00-000001000000}" name="Skala-Wert" dataDxfId="218">
      <calculatedColumnFormula array="1">IF(INDIRECT(QF$1)="","",IF(INDIRECT(QF$2)=0,0,IF(OR(INDIRECT(QF$1)=$A$2,INDIRECT(QF$1)=$A$3),$A$3,IFERROR(INDEX(INDIRECT(QH28),MATCH(INDIRECT(QF$3),INDIRECT(QH28),QH$25)),IFERROR(IF(QH$25=-1,MAX(INDIRECT(QH28)),IF(QH$25=1,MIN(INDIRECT(QH28)))),"")))))</calculatedColumnFormula>
    </tableColumn>
  </tableColumns>
  <tableStyleInfo name="TableStyleMedium4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30000000}" name="BasketballResultat" displayName="BasketballResultat" ref="RN27:RP57" totalsRowShown="0" headerRowDxfId="212" dataDxfId="211">
  <autoFilter ref="RN27:RP57" xr:uid="{00000000-0009-0000-0100-00004D000000}"/>
  <tableColumns count="3">
    <tableColumn id="1" xr3:uid="{00000000-0010-0000-3000-000001000000}" name="Eingabe" dataDxfId="215" dataCellStyle="01_Nicht_gesperrt"/>
    <tableColumn id="3" xr3:uid="{1CE463B9-FF8D-4AED-8E3C-E814DE69F472}" name="Resultat" dataDxfId="214">
      <calculatedColumnFormula>IFERROR(IFERROR(SUBSTITUTE(BasketballResultat[[#This Row],[Eingabe]],".",",")*1,SUBSTITUTE(BasketballResultat[[#This Row],[Eingabe]],",",".")*1),"")</calculatedColumnFormula>
    </tableColumn>
    <tableColumn id="2" xr3:uid="{5FF67B7A-8888-4202-9AF3-432552D92877}" name="BedRes" dataDxfId="213">
      <calculatedColumnFormula>IF(OR(BasketballResultat[[#This Row],[Eingabe]]=$A$2,BasketballResultat[[#This Row],[Eingabe]]=$A$3),1,IF(AND(ISNUMBER(BasketballResultat[[#This Row],[Resultat]]),BasketballResultat[[#This Row],[Resultat]]&gt;=0),1,""))</calculatedColumnFormula>
    </tableColumn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31000000}" name="BasketballNote" displayName="BasketballNote" ref="RX27:RX57" totalsRowShown="0" headerRowDxfId="209" dataDxfId="208">
  <autoFilter ref="RX27:RX57" xr:uid="{00000000-0009-0000-0100-00004E000000}"/>
  <tableColumns count="1">
    <tableColumn id="1" xr3:uid="{00000000-0010-0000-3100-000001000000}" name="Note" dataDxfId="210">
      <calculatedColumnFormula array="1">IFERROR(INDEX(INDIRECT(RW28),MATCH(INDIRECT(RR$5),INDIRECT(RT28),0)),IF(INDIRECT(RR$5)=0,1,""))</calculatedColumnFormula>
    </tableColumn>
  </tableColumns>
  <tableStyleInfo name="TableStyleMedium4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32000000}" name="BasketballSkalawert" displayName="BasketballSkalawert" ref="RU27:RU57" totalsRowShown="0" headerRowDxfId="206" dataDxfId="205">
  <autoFilter ref="RU27:RU57" xr:uid="{00000000-0009-0000-0100-00004F000000}"/>
  <tableColumns count="1">
    <tableColumn id="1" xr3:uid="{00000000-0010-0000-3200-000001000000}" name="Skala-Wert" dataDxfId="207">
      <calculatedColumnFormula array="1">IF(INDIRECT(RR$1)="","",IF(INDIRECT(RR$2)=0,0,IF(OR(INDIRECT(RR$1)=$A$2,INDIRECT(RR$1)=$A$3),$A$3,IFERROR(INDEX(INDIRECT(RT28),MATCH(INDIRECT(RR$3),INDIRECT(RT28),RT$25)),IFERROR(IF(RT$25=-1,MAX(INDIRECT(RT28)),IF(RT$25=1,MIN(INDIRECT(RT28)))),"")))))</calculatedColumnFormula>
    </tableColumn>
  </tableColumns>
  <tableStyleInfo name="TableStyleMedium4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33000000}" name="FussballResultat" displayName="FussballResultat" ref="RZ27:SB57" totalsRowShown="0" headerRowDxfId="201" dataDxfId="200">
  <autoFilter ref="RZ27:SB57" xr:uid="{00000000-0009-0000-0100-000050000000}"/>
  <tableColumns count="3">
    <tableColumn id="1" xr3:uid="{00000000-0010-0000-3300-000001000000}" name="Eingabe" dataDxfId="204" dataCellStyle="01_Nicht_gesperrt"/>
    <tableColumn id="3" xr3:uid="{0EE37298-237F-428C-B156-A66125878516}" name="Resultat" dataDxfId="203">
      <calculatedColumnFormula>IFERROR(IFERROR(SUBSTITUTE(FussballResultat[[#This Row],[Eingabe]],".",",")*1,SUBSTITUTE(FussballResultat[[#This Row],[Eingabe]],",",".")*1),"")</calculatedColumnFormula>
    </tableColumn>
    <tableColumn id="2" xr3:uid="{43878549-BB63-47F1-8EC1-3CD2ED832B2E}" name="BedRes" dataDxfId="202">
      <calculatedColumnFormula>IF(OR(FussballResultat[[#This Row],[Eingabe]]=$A$2,FussballResultat[[#This Row],[Eingabe]]=$A$3),1,IF(AND(ISNUMBER(FussballResultat[[#This Row],[Resultat]]),FussballResultat[[#This Row],[Resultat]]&gt;=0),1,""))</calculatedColumnFormula>
    </tableColumn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34000000}" name="FussballNote" displayName="FussballNote" ref="SJ27:SJ57" totalsRowShown="0" headerRowDxfId="198" dataDxfId="197">
  <autoFilter ref="SJ27:SJ57" xr:uid="{00000000-0009-0000-0100-000051000000}"/>
  <tableColumns count="1">
    <tableColumn id="1" xr3:uid="{00000000-0010-0000-3400-000001000000}" name="Note" dataDxfId="199">
      <calculatedColumnFormula array="1">IFERROR(INDEX(INDIRECT(SI28),MATCH(INDIRECT(SD$5),INDIRECT(SF28),0)),IF(INDIRECT(SD$5)=0,1,""))</calculatedColumnFormula>
    </tableColumn>
  </tableColumns>
  <tableStyleInfo name="TableStyleMedium4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35000000}" name="FussballSkalawert" displayName="FussballSkalawert" ref="SG27:SG57" totalsRowShown="0" headerRowDxfId="195" dataDxfId="194">
  <autoFilter ref="SG27:SG57" xr:uid="{00000000-0009-0000-0100-000052000000}"/>
  <tableColumns count="1">
    <tableColumn id="1" xr3:uid="{00000000-0010-0000-3500-000001000000}" name="Skala-Wert" dataDxfId="196">
      <calculatedColumnFormula array="1">IF(INDIRECT(SD$1)="","",IF(INDIRECT(SD$2)=0,0,IF(OR(INDIRECT(SD$1)=$A$2,INDIRECT(SD$1)=$A$3),$A$3,IFERROR(INDEX(INDIRECT(SF28),MATCH(INDIRECT(SD$3),INDIRECT(SF28),SF$25)),IFERROR(IF(SF$25=-1,MAX(INDIRECT(SF28)),IF(SF$25=1,MIN(INDIRECT(SF28)))),"")))))</calculatedColumnFormula>
    </tableColumn>
  </tableColumns>
  <tableStyleInfo name="TableStyleMedium4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00000000-000C-0000-FFFF-FFFF36000000}" name="HandballResultat" displayName="HandballResultat" ref="SL27:SN57" totalsRowShown="0" headerRowDxfId="190" dataDxfId="189">
  <autoFilter ref="SL27:SN57" xr:uid="{00000000-0009-0000-0100-0000B2000000}"/>
  <tableColumns count="3">
    <tableColumn id="1" xr3:uid="{00000000-0010-0000-3600-000001000000}" name="Eingabe" dataDxfId="193" dataCellStyle="01_Nicht_gesperrt"/>
    <tableColumn id="3" xr3:uid="{BA9B91C0-23C5-4DBB-939B-DFCC759AFC12}" name="Resultat" dataDxfId="192">
      <calculatedColumnFormula>IFERROR(IFERROR(SUBSTITUTE(HandballResultat[[#This Row],[Eingabe]],".",",")*1,SUBSTITUTE(HandballResultat[[#This Row],[Eingabe]],",",".")*1),"")</calculatedColumnFormula>
    </tableColumn>
    <tableColumn id="2" xr3:uid="{6FF65A26-2348-49C9-B9C1-5861B803282C}" name="BedRes" dataDxfId="191">
      <calculatedColumnFormula>IF(OR(HandballResultat[[#This Row],[Eingabe]]=$A$2,HandballResultat[[#This Row],[Eingabe]]=$A$3),1,IF(AND(ISNUMBER(HandballResultat[[#This Row],[Resultat]]),HandballResultat[[#This Row],[Resultat]]&gt;=0),1,""))</calculatedColumnFormula>
    </tableColumn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37000000}" name="HandballNote" displayName="HandballNote" ref="SV27:SV57" totalsRowShown="0" headerRowDxfId="187" dataDxfId="186">
  <autoFilter ref="SV27:SV57" xr:uid="{00000000-0009-0000-0100-0000B3000000}"/>
  <tableColumns count="1">
    <tableColumn id="1" xr3:uid="{00000000-0010-0000-3700-000001000000}" name="Note" dataDxfId="188">
      <calculatedColumnFormula array="1">IFERROR(INDEX(INDIRECT(SU28),MATCH(INDIRECT(SP$5),INDIRECT(SR28),0)),IF(INDIRECT(SP$5)=0,1,""))</calculatedColumnFormula>
    </tableColumn>
  </tableColumns>
  <tableStyleInfo name="TableStyleMedium4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38000000}" name="HandballSkalawert" displayName="HandballSkalawert" ref="SS27:SS57" totalsRowShown="0" headerRowDxfId="184" dataDxfId="183">
  <autoFilter ref="SS27:SS57" xr:uid="{00000000-0009-0000-0100-0000B4000000}"/>
  <tableColumns count="1">
    <tableColumn id="1" xr3:uid="{00000000-0010-0000-3800-000001000000}" name="Skala-Wert" dataDxfId="185">
      <calculatedColumnFormula array="1">IF(INDIRECT(SP$1)="","",IF(INDIRECT(SP$2)=0,0,IF(OR(INDIRECT(SP$1)=$A$2,INDIRECT(SP$1)=$A$3),$A$3,IFERROR(INDEX(INDIRECT(SR28),MATCH(INDIRECT(SP$3),INDIRECT(SR28),SR$25)),IFERROR(IF(SR$25=-1,MAX(INDIRECT(SR28)),IF(SR$25=1,MIN(INDIRECT(SR28)))),"")))))</calculatedColumnFormula>
    </tableColumn>
  </tableColumns>
  <tableStyleInfo name="TableStyleMedium4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39000000}" name="UnihockeyResultat" displayName="UnihockeyResultat" ref="SX27:SZ57" totalsRowShown="0" headerRowDxfId="179" dataDxfId="178">
  <autoFilter ref="SX27:SZ57" xr:uid="{00000000-0009-0000-0100-0000B5000000}"/>
  <tableColumns count="3">
    <tableColumn id="1" xr3:uid="{00000000-0010-0000-3900-000001000000}" name="Eingabe" dataDxfId="182" dataCellStyle="01_Nicht_gesperrt"/>
    <tableColumn id="3" xr3:uid="{0D4A40CD-980C-4E10-9208-90C16013B5E7}" name="Resultat" dataDxfId="181">
      <calculatedColumnFormula>IFERROR(IFERROR(SUBSTITUTE(UnihockeyResultat[[#This Row],[Eingabe]],".",",")*1,SUBSTITUTE(UnihockeyResultat[[#This Row],[Eingabe]],",",".")*1),"")</calculatedColumnFormula>
    </tableColumn>
    <tableColumn id="2" xr3:uid="{72A66D9D-0C2F-4083-B4B0-3F7BFD0DCB57}" name="BedRes" dataDxfId="180">
      <calculatedColumnFormula>IF(OR(UnihockeyResultat[[#This Row],[Eingabe]]=$A$2,UnihockeyResultat[[#This Row],[Eingabe]]=$A$3),1,IF(AND(ISNUMBER(UnihockeyResultat[[#This Row],[Resultat]]),UnihockeyResultat[[#This Row],[Resultat]]&gt;=0),1,""))</calculatedColumnFormula>
    </tableColumn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3A000000}" name="UnihockeyNote" displayName="UnihockeyNote" ref="TH27:TH57" totalsRowShown="0" headerRowDxfId="176" dataDxfId="175">
  <autoFilter ref="TH27:TH57" xr:uid="{00000000-0009-0000-0100-0000B6000000}"/>
  <tableColumns count="1">
    <tableColumn id="1" xr3:uid="{00000000-0010-0000-3A00-000001000000}" name="Note" dataDxfId="177">
      <calculatedColumnFormula array="1">IFERROR(INDEX(INDIRECT(TG28),MATCH(INDIRECT(TB$5),INDIRECT(TD28),0)),IF(INDIRECT(TB$5)=0,1,""))</calculatedColumnFormula>
    </tableColumn>
  </tableColumns>
  <tableStyleInfo name="TableStyleMedium4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0000000-000C-0000-FFFF-FFFF3B000000}" name="UnihockeySkalawert" displayName="UnihockeySkalawert" ref="TE27:TE57" totalsRowShown="0" headerRowDxfId="173" dataDxfId="172">
  <autoFilter ref="TE27:TE57" xr:uid="{00000000-0009-0000-0100-0000B7000000}"/>
  <tableColumns count="1">
    <tableColumn id="1" xr3:uid="{00000000-0010-0000-3B00-000001000000}" name="Skala-Wert" dataDxfId="174">
      <calculatedColumnFormula array="1">IF(INDIRECT(TB$1)="","",IF(INDIRECT(TB$2)=0,0,IF(OR(INDIRECT(TB$1)=$A$2,INDIRECT(TB$1)=$A$3),$A$3,IFERROR(INDEX(INDIRECT(TD28),MATCH(INDIRECT(TB$3),INDIRECT(TD28),TD$25)),IFERROR(IF(TD$25=-1,MAX(INDIRECT(TD28)),IF(TD$25=1,MIN(INDIRECT(TD28)))),"")))))</calculatedColumnFormula>
    </tableColumn>
  </tableColumns>
  <tableStyleInfo name="TableStyleMedium4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3C000000}" name="VolleyballResultat" displayName="VolleyballResultat" ref="TJ27:TM57" totalsRowShown="0" headerRowDxfId="167" dataDxfId="166">
  <autoFilter ref="TJ27:TM57" xr:uid="{00000000-0009-0000-0100-0000B8000000}"/>
  <tableColumns count="4">
    <tableColumn id="1" xr3:uid="{00000000-0010-0000-3C00-000001000000}" name="Eingabe" dataDxfId="171" dataCellStyle="01_Nicht_gesperrt"/>
    <tableColumn id="4" xr3:uid="{A10EB3F0-B707-4BFE-9E53-0AA6B312E7DC}" name="Resultat" dataDxfId="170">
      <calculatedColumnFormula>IFERROR(IFERROR(SUBSTITUTE(VolleyballResultat[[#This Row],[Eingabe]],".",",")*1,SUBSTITUTE(VolleyballResultat[[#This Row],[Eingabe]],",",".")*1),"")</calculatedColumnFormula>
    </tableColumn>
    <tableColumn id="2" xr3:uid="{3AE87C68-F2C3-41AF-AE29-5DF9A9CF8F9C}" name="GZRes" dataDxfId="169">
      <calculatedColumnFormula>INT(VolleyballResultat[[#This Row],[Resultat]])=VolleyballResultat[[#This Row],[Resultat]]</calculatedColumnFormula>
    </tableColumn>
    <tableColumn id="3" xr3:uid="{A1B223DB-1B50-47C9-A29C-7122002962E4}" name="BedRes" dataDxfId="168">
      <calculatedColumnFormula>IFERROR(IF(AND(VolleyballResultat[[#This Row],[GZRes]],AND(VolleyballResultat[[#This Row],[Resultat]]&gt;=0,VolleyballResultat[[#This Row],[Resultat]]&lt;=TU$23)),1),IF(OR(VolleyballResultat[[#This Row],[Eingabe]]=$A$2,VolleyballResultat[[#This Row],[Eingabe]]=$A$3),1,""))</calculatedColumnFormula>
    </tableColumn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3D000000}" name="VolleyballNote" displayName="VolleyballNote" ref="TU27:TU57" totalsRowShown="0" headerRowDxfId="164" dataDxfId="163">
  <autoFilter ref="TU27:TU57" xr:uid="{00000000-0009-0000-0100-0000B9000000}"/>
  <tableColumns count="1">
    <tableColumn id="1" xr3:uid="{00000000-0010-0000-3D00-000001000000}" name="Note" dataDxfId="165">
      <calculatedColumnFormula array="1">IFERROR(INDEX(INDIRECT(TT28),MATCH(INDIRECT(TO$5),INDIRECT(TQ28),0)),IF(INDIRECT(TO$5)=0,1,""))</calculatedColumnFormula>
    </tableColumn>
  </tableColumns>
  <tableStyleInfo name="TableStyleMedium4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3E000000}" name="VolleyballSkalawert" displayName="VolleyballSkalawert" ref="TR27:TR57" totalsRowShown="0" headerRowDxfId="161" dataDxfId="160">
  <autoFilter ref="TR27:TR57" xr:uid="{00000000-0009-0000-0100-0000BA000000}"/>
  <tableColumns count="1">
    <tableColumn id="1" xr3:uid="{00000000-0010-0000-3E00-000001000000}" name="Skala-Wert" dataDxfId="162">
      <calculatedColumnFormula array="1">IF(INDIRECT(TO$1)="","",IF(INDIRECT(TO$2)=0,0,IF(OR(INDIRECT(TO$1)=$A$2,INDIRECT(TO$1)=$A$3),$A$3,IFERROR(INDEX(INDIRECT(TQ28),MATCH(INDIRECT(TO$3),INDIRECT(TQ28),TQ$25)),IFERROR(IF(TQ$25=-1,MAX(INDIRECT(TQ28)),IF(TQ$25=1,MIN(INDIRECT(TQ28)))),"")))))</calculatedColumnFormula>
    </tableColumn>
  </tableColumns>
  <tableStyleInfo name="TableStyleMedium4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3F000000}" name="SchwimmenSkalawert" displayName="SchwimmenSkalawert" ref="ZZ27:AAA57" totalsRowShown="0" headerRowDxfId="157" dataDxfId="156">
  <autoFilter ref="ZZ27:AAA57" xr:uid="{00000000-0009-0000-0100-0000BB000000}"/>
  <tableColumns count="2">
    <tableColumn id="1" xr3:uid="{00000000-0010-0000-3F00-000001000000}" name="Skala-Wert0" dataDxfId="159">
      <calculatedColumnFormula array="1">IF(INDIRECT(ZW$3)="","",IF(INDIRECT(ZW$3)=0,0,IF(OR(INDIRECT(ZW$1)=$A$2,INDIRECT(ZW$1)=$A$3),$A$3,IFERROR(INDEX(INDIRECT(ZX28),MATCH(INDIRECT(ZW$3),INDIRECT(ZX28),ZY$25)),IFERROR(IF(ZY$25=-1,MAX(INDIRECT(ZX28)),IF(ZY$25=1,MIN(INDIRECT(ZX28)))),"")))))</calculatedColumnFormula>
    </tableColumn>
    <tableColumn id="2" xr3:uid="{17DAB27C-A7A2-40EA-B7F8-388B0C43D563}" name="Skala-Wert" dataDxfId="158">
      <calculatedColumnFormula array="1">IF(INDIRECT(ZX$5)=0,0,IF(OR(INDIRECT(ZW$1)=$A$2,INDIRECT(ZW$1)=$A$3),$A$3,IFERROR(INDEX(INDIRECT($ZY28),MATCH(INDIRECT(ZX$5),INDIRECT($ZX28),0)),"")))</calculatedColumnFormula>
    </tableColumn>
  </tableColumns>
  <tableStyleInfo name="TableStyleMedium4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40000000}" name="SchwimmenStatus" displayName="SchwimmenStatus" ref="AAD27:AAD57" totalsRowShown="0" headerRowDxfId="154" dataDxfId="153">
  <autoFilter ref="AAD27:AAD57" xr:uid="{00000000-0009-0000-0100-0000BC000000}"/>
  <tableColumns count="1">
    <tableColumn id="1" xr3:uid="{00000000-0010-0000-4000-000001000000}" name="Note" dataDxfId="155">
      <calculatedColumnFormula array="1">IFERROR(INDEX(INDIRECT(AAC28),MATCH(INDIRECT(ZX$5),INDIRECT(ZX28),0)),IF(INDIRECT(ZX$5)=0,1,""))</calculatedColumnFormula>
    </tableColumn>
  </tableColumns>
  <tableStyleInfo name="TableStyleMedium4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00000000-000C-0000-FFFF-FFFF41000000}" name="SechzigmLaufFitResultat" displayName="SechzigmLaufFitResultat" ref="AAF27:AAF57" totalsRowShown="0" headerRowDxfId="151" dataDxfId="150">
  <autoFilter ref="AAF27:AAF57" xr:uid="{00000000-0009-0000-0100-0000BD000000}"/>
  <tableColumns count="1">
    <tableColumn id="1" xr3:uid="{00000000-0010-0000-4100-000001000000}" name="Resultat" dataDxfId="152">
      <calculatedColumnFormula>ZwölfMinLaufHalleResultat[[#This Row],[Resultat]]</calculatedColumnFormula>
    </tableColumn>
  </tableColumns>
  <tableStyleInfo name="TableStyleMedium4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42000000}" name="SechzigmLaufFitNote" displayName="SechzigmLaufFitNote" ref="AAJ27:AAJ57" totalsRowShown="0" headerRowDxfId="148" dataDxfId="147">
  <autoFilter ref="AAJ27:AAJ57" xr:uid="{00000000-0009-0000-0100-0000BE000000}"/>
  <tableColumns count="1">
    <tableColumn id="1" xr3:uid="{00000000-0010-0000-4200-000001000000}" name="Note" dataDxfId="149">
      <calculatedColumnFormula>ZwölfMinLaufHalleNote[[#This Row],[Note]]</calculatedColumnFormula>
    </tableColumn>
  </tableColumns>
  <tableStyleInfo name="TableStyleMedium4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43000000}" name="SechzigmLaufFitSkalawert" displayName="SechzigmLaufFitSkalawert" ref="AAH27:AAH57" totalsRowShown="0" headerRowDxfId="145" dataDxfId="144">
  <autoFilter ref="AAH27:AAH57" xr:uid="{00000000-0009-0000-0100-0000BF000000}"/>
  <tableColumns count="1">
    <tableColumn id="1" xr3:uid="{00000000-0010-0000-4300-000001000000}" name="Skala-Wert" dataDxfId="146">
      <calculatedColumnFormula>ZwölfMinLaufHalleSkalawert[[#This Row],[Skala-Wert]]</calculatedColumnFormula>
    </tableColumn>
  </tableColumns>
  <tableStyleInfo name="TableStyleMedium4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44000000}" name="AchtzigmLaufFitResultat" displayName="AchtzigmLaufFitResultat" ref="AAL27:AAL57" totalsRowShown="0" headerRowDxfId="142" dataDxfId="141">
  <autoFilter ref="AAL27:AAL57" xr:uid="{00000000-0009-0000-0100-0000C0000000}"/>
  <tableColumns count="1">
    <tableColumn id="1" xr3:uid="{00000000-0010-0000-4400-000001000000}" name="Resultat" dataDxfId="143">
      <calculatedColumnFormula>ZwölfMinLaufimFreienResultat[[#This Row],[Resultat]]</calculatedColumnFormula>
    </tableColumn>
  </tableColumns>
  <tableStyleInfo name="TableStyleMedium4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45000000}" name="AchtzigmLaufFitNote" displayName="AchtzigmLaufFitNote" ref="AAP27:AAP57" totalsRowShown="0" headerRowDxfId="139" dataDxfId="138">
  <autoFilter ref="AAP27:AAP57" xr:uid="{00000000-0009-0000-0100-0000C1000000}"/>
  <tableColumns count="1">
    <tableColumn id="1" xr3:uid="{00000000-0010-0000-4500-000001000000}" name="Note" dataDxfId="140">
      <calculatedColumnFormula>ZwölfMinLaufimFreienNote[[#This Row],[Note]]</calculatedColumnFormula>
    </tableColumn>
  </tableColumns>
  <tableStyleInfo name="TableStyleMedium4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00000000-000C-0000-FFFF-FFFF46000000}" name="AchtzigmLaufFitSkalawert" displayName="AchtzigmLaufFitSkalawert" ref="AAN27:AAN57" totalsRowShown="0" headerRowDxfId="136" dataDxfId="135">
  <autoFilter ref="AAN27:AAN57" xr:uid="{00000000-0009-0000-0100-0000C2000000}"/>
  <tableColumns count="1">
    <tableColumn id="1" xr3:uid="{00000000-0010-0000-4600-000001000000}" name="Skala-Wert" dataDxfId="137">
      <calculatedColumnFormula>ZwölfMinLaufimFreienSkalawert[[#This Row],[Skala-Wert]]</calculatedColumnFormula>
    </tableColumn>
  </tableColumns>
  <tableStyleInfo name="TableStyleMedium4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47000000}" name="ZwölfMinLaufHalleFitResultat" displayName="ZwölfMinLaufHalleFitResultat" ref="ABP27:ABP57" totalsRowShown="0" headerRowDxfId="133" dataDxfId="132">
  <autoFilter ref="ABP27:ABP57" xr:uid="{00000000-0009-0000-0100-0000C3000000}"/>
  <tableColumns count="1">
    <tableColumn id="1" xr3:uid="{00000000-0010-0000-4700-000001000000}" name="Resultat" dataDxfId="134">
      <calculatedColumnFormula>SechzigmLaufResultat[[#This Row],[Resultat]]</calculatedColumnFormula>
    </tableColumn>
  </tableColumns>
  <tableStyleInfo name="TableStyleMedium4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00000000-000C-0000-FFFF-FFFF48000000}" name="ZwölfMinLaufHalleFitNote" displayName="ZwölfMinLaufHalleFitNote" ref="ABT27:ABT57" totalsRowShown="0" headerRowDxfId="130" dataDxfId="129">
  <autoFilter ref="ABT27:ABT57" xr:uid="{00000000-0009-0000-0100-0000C4000000}"/>
  <tableColumns count="1">
    <tableColumn id="1" xr3:uid="{00000000-0010-0000-4800-000001000000}" name="Note" dataDxfId="131">
      <calculatedColumnFormula>SechzigmLaufNote[[#This Row],[Note]]</calculatedColumnFormula>
    </tableColumn>
  </tableColumns>
  <tableStyleInfo name="TableStyleMedium4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00000000-000C-0000-FFFF-FFFF49000000}" name="ZwölfMinLaufHalleFitSkalawert" displayName="ZwölfMinLaufHalleFitSkalawert" ref="ABR27:ABR57" totalsRowShown="0" headerRowDxfId="127" dataDxfId="126">
  <autoFilter ref="ABR27:ABR57" xr:uid="{00000000-0009-0000-0100-0000C5000000}"/>
  <tableColumns count="1">
    <tableColumn id="1" xr3:uid="{00000000-0010-0000-4900-000001000000}" name="Skala-Wert" dataDxfId="128">
      <calculatedColumnFormula>SechzigmLaufSkalawert[[#This Row],[Skala-Wert]]</calculatedColumnFormula>
    </tableColumn>
  </tableColumns>
  <tableStyleInfo name="TableStyleMedium4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00000000-000C-0000-FFFF-FFFF4A000000}" name="ZwölfMinLaufimFreienFitResultat" displayName="ZwölfMinLaufimFreienFitResultat" ref="ABV27:ABV57" totalsRowShown="0" headerRowDxfId="124" dataDxfId="123">
  <autoFilter ref="ABV27:ABV57" xr:uid="{00000000-0009-0000-0100-0000C6000000}"/>
  <tableColumns count="1">
    <tableColumn id="1" xr3:uid="{00000000-0010-0000-4A00-000001000000}" name="Resultat" dataDxfId="125">
      <calculatedColumnFormula>AchtzigmLaufResultat[[#This Row],[Resultat]]</calculatedColumnFormula>
    </tableColumn>
  </tableColumns>
  <tableStyleInfo name="TableStyleMedium4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00000000-000C-0000-FFFF-FFFF4B000000}" name="ZwölfMinLaufimFreienFitNote" displayName="ZwölfMinLaufimFreienFitNote" ref="ABZ27:ABZ57" totalsRowShown="0" headerRowDxfId="121" dataDxfId="120">
  <autoFilter ref="ABZ27:ABZ57" xr:uid="{00000000-0009-0000-0100-0000C7000000}"/>
  <tableColumns count="1">
    <tableColumn id="1" xr3:uid="{00000000-0010-0000-4B00-000001000000}" name="Note" dataDxfId="122">
      <calculatedColumnFormula>AchtzigmLaufNote[[#This Row],[Note]]</calculatedColumnFormula>
    </tableColumn>
  </tableColumns>
  <tableStyleInfo name="TableStyleMedium4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4C000000}" name="ZwölfMinLaufimFreienFitSkalawert" displayName="ZwölfMinLaufimFreienFitSkalawert" ref="ABX27:ABX57" totalsRowShown="0" headerRowDxfId="118" dataDxfId="117">
  <autoFilter ref="ABX27:ABX57" xr:uid="{00000000-0009-0000-0100-0000C8000000}"/>
  <tableColumns count="1">
    <tableColumn id="1" xr3:uid="{00000000-0010-0000-4C00-000001000000}" name="Skala-Wert" dataDxfId="119">
      <calculatedColumnFormula>AchtzigmLaufSkalawert[[#This Row],[Skala-Wert]]</calculatedColumnFormula>
    </tableColumn>
  </tableColumns>
  <tableStyleInfo name="TableStyleMedium4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D000000}" name="BeweglichkeitResultat" displayName="BeweglichkeitResultat" ref="AAR27:AAU57" totalsRowShown="0" headerRowDxfId="112" dataDxfId="111">
  <autoFilter ref="AAR27:AAU57" xr:uid="{00000000-0009-0000-0100-000044000000}"/>
  <tableColumns count="4">
    <tableColumn id="1" xr3:uid="{00000000-0010-0000-4D00-000001000000}" name="Eingabe" dataDxfId="116" dataCellStyle="01_Nicht_gesperrt"/>
    <tableColumn id="4" xr3:uid="{064A8521-9A4C-4E2D-9415-913EE2A71929}" name="Resultat" dataDxfId="115">
      <calculatedColumnFormula>IFERROR(IFERROR(SUBSTITUTE(BeweglichkeitResultat[[#This Row],[Eingabe]],".",",")*1,SUBSTITUTE(BeweglichkeitResultat[[#This Row],[Eingabe]],",",".")*1),"")</calculatedColumnFormula>
    </tableColumn>
    <tableColumn id="2" xr3:uid="{FA740E36-8127-4B05-85D3-DD9B40AE5A89}" name="GZRes" dataDxfId="114">
      <calculatedColumnFormula>INT(BeweglichkeitResultat[[#This Row],[Resultat]])=BeweglichkeitResultat[[#This Row],[Resultat]]</calculatedColumnFormula>
    </tableColumn>
    <tableColumn id="3" xr3:uid="{6072528A-9354-4EF3-8E20-3F5B2902E51E}" name="BedRes" dataDxfId="113">
      <calculatedColumnFormula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calculatedColumnFormula>
    </tableColumn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E000000}" name="BeweglichkeitNote" displayName="BeweglichkeitNote" ref="ABB27:ABB57" totalsRowShown="0" headerRowDxfId="109" dataDxfId="108">
  <autoFilter ref="ABB27:ABB57" xr:uid="{00000000-0009-0000-0100-000045000000}"/>
  <tableColumns count="1">
    <tableColumn id="1" xr3:uid="{00000000-0010-0000-4E00-000001000000}" name="Note" dataDxfId="110">
      <calculatedColumnFormula array="1">IFERROR(INDEX(INDIRECT(ABA28),MATCH(INDIRECT(AAW$5),INDIRECT(AAX28),0)),"")</calculatedColumnFormula>
    </tableColumn>
  </tableColumns>
  <tableStyleInfo name="TableStyleMedium4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4F000000}" name="BeweglichkeitSkalawert" displayName="BeweglichkeitSkalawert" ref="AAY27:AAY57" totalsRowShown="0" headerRowDxfId="106" dataDxfId="105">
  <autoFilter ref="AAY27:AAY57" xr:uid="{00000000-0009-0000-0100-00005A000000}"/>
  <tableColumns count="1">
    <tableColumn id="1" xr3:uid="{00000000-0010-0000-4F00-000001000000}" name="Skala-Wert" dataDxfId="107">
      <calculatedColumnFormula array="1">IF(OR(INDIRECT(AAW$1)=$A$2,INDIRECT(AAW$1)=$A$3),$A$3,IF(OR(INDIRECT(AAW$2)="",AND(Geschlecht[[#This Row],[Geschlecht (Skala)]]=Stammdaten!$D$7,INDIRECT(AAW$2)&lt;0)),"",IFERROR(INDEX(INDIRECT(AAX28),MATCH(INDIRECT(AAW$3),INDIRECT(AAX28),AAX$25)),IFERROR(IF(AAX$25=-1,MAX(INDIRECT(AAX28)),IF(AAX$25=1,MIN(INDIRECT(AAX28)))),""))))</calculatedColumnFormula>
    </tableColumn>
  </tableColumns>
  <tableStyleInfo name="TableStyleMedium4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00000000-000C-0000-FFFF-FFFF50000000}" name="RumpfkraftResultat" displayName="RumpfkraftResultat" ref="ABD27:ABG57" totalsRowShown="0" headerRowDxfId="100" dataDxfId="99">
  <autoFilter ref="ABD27:ABG57" xr:uid="{00000000-0009-0000-0100-0000C9000000}"/>
  <tableColumns count="4">
    <tableColumn id="1" xr3:uid="{00000000-0010-0000-5000-000001000000}" name="Eingabe" dataDxfId="104" dataCellStyle="01_Nicht_gesperrt"/>
    <tableColumn id="4" xr3:uid="{0ADAA87A-0D06-4F15-83DB-9CE4E888C769}" name="Resultat" dataDxfId="103">
      <calculatedColumnFormula>IFERROR(IFERROR(SUBSTITUTE(RumpfkraftResultat[[#This Row],[Eingabe]],".",",")*1,SUBSTITUTE(RumpfkraftResultat[[#This Row],[Eingabe]],",",".")*1),"")</calculatedColumnFormula>
    </tableColumn>
    <tableColumn id="2" xr3:uid="{A0576C47-D3ED-4570-98F5-115F95DCCF0F}" name="GZRes" dataDxfId="102">
      <calculatedColumnFormula>INT(RumpfkraftResultat[[#This Row],[Resultat]])=RumpfkraftResultat[[#This Row],[Resultat]]</calculatedColumnFormula>
    </tableColumn>
    <tableColumn id="3" xr3:uid="{D24DE998-C42D-44DB-B822-891A4CEB856B}" name="BedRes" dataDxfId="101">
      <calculatedColumnFormula>IFERROR(IF(AND(RumpfkraftResultat[[#This Row],[GZRes]],RumpfkraftResultat[[#This Row],[Resultat]]&gt;=0),1),IF(OR(RumpfkraftResultat[[#This Row],[Eingabe]]=$A$2,RumpfkraftResultat[[#This Row],[Eingabe]]=$A$3),1,""))</calculatedColumnFormula>
    </tableColumn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00000000-000C-0000-FFFF-FFFF51000000}" name="RumpfkraftNote" displayName="RumpfkraftNote" ref="ABN27:ABN57" totalsRowShown="0" headerRowDxfId="97" dataDxfId="96">
  <autoFilter ref="ABN27:ABN57" xr:uid="{00000000-0009-0000-0100-0000CA000000}"/>
  <tableColumns count="1">
    <tableColumn id="1" xr3:uid="{00000000-0010-0000-5100-000001000000}" name="Note" dataDxfId="98">
      <calculatedColumnFormula array="1">IFERROR(INDEX(INDIRECT(ABM28),MATCH(INDIRECT(ABI$5),INDIRECT(ABJ28),0)),"")</calculatedColumnFormula>
    </tableColumn>
  </tableColumns>
  <tableStyleInfo name="TableStyleMedium4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00000000-000C-0000-FFFF-FFFF52000000}" name="RumpfkraftSkalawert" displayName="RumpfkraftSkalawert" ref="ABK27:ABK57" totalsRowShown="0" headerRowDxfId="94" dataDxfId="93">
  <autoFilter ref="ABK27:ABK57" xr:uid="{00000000-0009-0000-0100-0000CB000000}"/>
  <tableColumns count="1">
    <tableColumn id="1" xr3:uid="{00000000-0010-0000-5200-000001000000}" name="Skala-Wert" dataDxfId="95">
      <calculatedColumnFormula array="1">IF(INDIRECT(ABI$1)="","",IF(OR(INDIRECT(ABI$1)=$A$2,INDIRECT(ABI$1)=$A$3),$A$3,IFERROR(INDEX(INDIRECT(ABJ28),MATCH(INDIRECT(ABI$3),INDIRECT(ABJ28),ABJ$25)),IFERROR(IF(ABJ$25=-1,MAX(INDIRECT(ABJ28)),IF(ABJ$25=1,MIN(INDIRECT(ABJ28)))),""))))</calculatedColumnFormula>
    </tableColumn>
  </tableColumns>
  <tableStyleInfo name="TableStyleMedium4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00000000-000C-0000-FFFF-FFFF53000000}" name="KonditionsparcoursResultat" displayName="KonditionsparcoursResultat" ref="ACB27:ACE57" totalsRowShown="0" headerRowDxfId="88" dataDxfId="87">
  <autoFilter ref="ACB27:ACE57" xr:uid="{00000000-0009-0000-0100-0000D2000000}"/>
  <tableColumns count="4">
    <tableColumn id="1" xr3:uid="{00000000-0010-0000-5300-000001000000}" name="Eingabe" dataDxfId="92" dataCellStyle="01_Nicht_gesperrt"/>
    <tableColumn id="4" xr3:uid="{EC3A6FBB-EA1B-4918-B2B3-2BC7A8856DA7}" name="Resultat" dataDxfId="91">
      <calculatedColumnFormula>IFERROR(IFERROR(SUBSTITUTE(KonditionsparcoursResultat[[#This Row],[Eingabe]],".",",")*1,SUBSTITUTE(KonditionsparcoursResultat[[#This Row],[Eingabe]],",",".")*1),"")</calculatedColumnFormula>
    </tableColumn>
    <tableColumn id="2" xr3:uid="{E0AFB73B-33AA-48F9-978B-66390E4FC614}" name="GZRes" dataDxfId="90">
      <calculatedColumnFormula>INT(KonditionsparcoursResultat[[#This Row],[Resultat]])=KonditionsparcoursResultat[[#This Row],[Resultat]]</calculatedColumnFormula>
    </tableColumn>
    <tableColumn id="3" xr3:uid="{13938F1D-7F7F-4DEB-B277-BC3661082721}" name="BedRes" dataDxfId="89">
      <calculatedColumnFormula>IFERROR(IF(AND(KonditionsparcoursResultat[[#This Row],[GZRes]],KonditionsparcoursResultat[[#This Row],[Resultat]]&gt;=0),1),IF(OR(KonditionsparcoursResultat[[#This Row],[Eingabe]]=$A$2,KonditionsparcoursResultat[[#This Row],[Eingabe]]=$A$3),1,""))</calculatedColumnFormula>
    </tableColumn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000000-000C-0000-FFFF-FFFF54000000}" name="KonditionsparcoursNote" displayName="KonditionsparcoursNote" ref="ACM27:ACM57" totalsRowShown="0" headerRowDxfId="85" dataDxfId="84">
  <autoFilter ref="ACM27:ACM57" xr:uid="{00000000-0009-0000-0100-0000D3000000}"/>
  <tableColumns count="1">
    <tableColumn id="1" xr3:uid="{00000000-0010-0000-5400-000001000000}" name="Note" dataDxfId="86">
      <calculatedColumnFormula array="1">IFERROR(INDEX(INDIRECT(ACL28),MATCH(INDIRECT(ACG$5),INDIRECT(ACI28),0)),"")</calculatedColumnFormula>
    </tableColumn>
  </tableColumns>
  <tableStyleInfo name="TableStyleMedium4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00000000-000C-0000-FFFF-FFFF55000000}" name="KonditionsparcoursSkalawert" displayName="KonditionsparcoursSkalawert" ref="ACJ27:ACJ57" totalsRowShown="0" headerRowDxfId="82" dataDxfId="81">
  <autoFilter ref="ACJ27:ACJ57" xr:uid="{00000000-0009-0000-0100-0000D4000000}"/>
  <tableColumns count="1">
    <tableColumn id="1" xr3:uid="{00000000-0010-0000-5500-000001000000}" name="Skala-Wert" dataDxfId="83">
      <calculatedColumnFormula array="1">IF(INDIRECT(ACG$1)="","",IF(OR(INDIRECT(ACG$1)=$A$2,INDIRECT(ACG$1)=$A$3),$A$3,IFERROR(INDEX(INDIRECT(ACI28),MATCH(INDIRECT(ACG$3),INDIRECT(ACI28),ACI$25)),IFERROR(IF(ACI$25=-1,MAX(INDIRECT(ACI28)),IF(ACI$25=1,MIN(INDIRECT(ACI28)))),""))))</calculatedColumnFormula>
    </tableColumn>
  </tableColumns>
  <tableStyleInfo name="TableStyleMedium4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6000000}" name="GeräteturnenNote" displayName="GeräteturnenNote" ref="NE27:NE57" totalsRowShown="0" headerRowDxfId="79" dataDxfId="78">
  <autoFilter ref="NE27:NE57" xr:uid="{00000000-0009-0000-0100-000058000000}"/>
  <tableColumns count="1">
    <tableColumn id="1" xr3:uid="{00000000-0010-0000-5600-000001000000}" name="Note" dataDxfId="80">
      <calculatedColumnFormula array="1">IFERROR(INDEX(INDIRECT(ND28),MATCH(INDIRECT(MY$5),INDIRECT(NA28),0)),IF(INDIRECT(MY$5)=0,1,""))</calculatedColumnFormula>
    </tableColumn>
  </tableColumns>
  <tableStyleInfo name="TableStyleMedium4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7000000}" name="GeräteturnenSkalawert" displayName="GeräteturnenSkalawert" ref="NB27:NB57" totalsRowShown="0" headerRowDxfId="76" dataDxfId="75">
  <autoFilter ref="NB27:NB57" xr:uid="{00000000-0009-0000-0100-000059000000}"/>
  <tableColumns count="1">
    <tableColumn id="1" xr3:uid="{00000000-0010-0000-5700-000001000000}" name="Skala-Wert" dataDxfId="77">
      <calculatedColumnFormula array="1">IF(OR($MW28="",$MW28=Stammdaten!$BZ$1),"",IF($MW28=0,0,IF(OR($MW28=$A$2,$MW28=$A$3),$A$3,IFERROR(INDEX(INDIRECT(NA28),MATCH(INDIRECT(MY$3),INDIRECT(NA28),NA$25)),IFERROR(IF(NA$25=-1,MAX(INDIRECT(NA28)),IF(NA$25=1,MIN(INDIRECT(NA28)))),"")))))</calculatedColumnFormula>
    </tableColumn>
  </tableColumns>
  <tableStyleInfo name="TableStyleMedium4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58000000}" name="SechzigmLaufGerundet" displayName="SechzigmLaufGerundet" ref="K27:K57" totalsRowShown="0" headerRowDxfId="73" dataDxfId="72">
  <autoFilter ref="K27:K57" xr:uid="{00000000-0009-0000-0100-0000A2000000}"/>
  <tableColumns count="1">
    <tableColumn id="1" xr3:uid="{00000000-0010-0000-5800-000001000000}" name="Rundung" dataDxfId="74">
      <calculatedColumnFormula array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calculatedColumnFormula>
    </tableColumn>
  </tableColumns>
  <tableStyleInfo name="TableStyleMedium4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59000000}" name="AchtzigmLaufGerundet" displayName="AchtzigmLaufGerundet" ref="W27:W57" totalsRowShown="0" headerRowDxfId="70" dataDxfId="69">
  <autoFilter ref="W27:W57" xr:uid="{00000000-0009-0000-0100-0000A4000000}"/>
  <tableColumns count="1">
    <tableColumn id="1" xr3:uid="{00000000-0010-0000-5900-000001000000}" name="Rundung" dataDxfId="71">
      <calculatedColumnFormula array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calculatedColumnFormula>
    </tableColumn>
  </tableColumns>
  <tableStyleInfo name="TableStyleMedium4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5A000000}" name="ZwölfMinLaufHalleGerundet" displayName="ZwölfMinLaufHalleGerundet" ref="AI27:AI57" totalsRowShown="0" headerRowDxfId="67" dataDxfId="66">
  <autoFilter ref="AI27:AI57" xr:uid="{00000000-0009-0000-0100-0000A5000000}"/>
  <tableColumns count="1">
    <tableColumn id="1" xr3:uid="{00000000-0010-0000-5A00-000001000000}" name="Rundung" dataDxfId="68">
      <calculatedColumnFormula array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calculatedColumnFormula>
    </tableColumn>
  </tableColumns>
  <tableStyleInfo name="TableStyleMedium4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00000000-000C-0000-FFFF-FFFF5B000000}" name="ZwölfMinLaufimFreienGerundet" displayName="ZwölfMinLaufimFreienGerundet" ref="AU27:AU57" totalsRowShown="0" headerRowDxfId="64" dataDxfId="63">
  <autoFilter ref="AU27:AU57" xr:uid="{00000000-0009-0000-0100-0000A7000000}"/>
  <tableColumns count="1">
    <tableColumn id="1" xr3:uid="{00000000-0010-0000-5B00-000001000000}" name="Rundung" dataDxfId="65">
      <calculatedColumnFormula array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calculatedColumnFormula>
    </tableColumn>
  </tableColumns>
  <tableStyleInfo name="TableStyleMedium4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0000000-000C-0000-FFFF-FFFF5C000000}" name="HochsprungGerundet" displayName="HochsprungGerundet" ref="BG27:BG57" totalsRowShown="0" headerRowDxfId="61" dataDxfId="60">
  <autoFilter ref="BG27:BG57" xr:uid="{00000000-0009-0000-0100-0000A8000000}"/>
  <tableColumns count="1">
    <tableColumn id="1" xr3:uid="{00000000-0010-0000-5C00-000001000000}" name="Rundung" dataDxfId="62">
      <calculatedColumnFormula array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calculatedColumnFormula>
    </tableColumn>
  </tableColumns>
  <tableStyleInfo name="TableStyleMedium4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5D000000}" name="WeitsprungGerundet" displayName="WeitsprungGerundet" ref="BS27:BS57" totalsRowShown="0" headerRowDxfId="58" dataDxfId="57">
  <autoFilter ref="BS27:BS57" xr:uid="{00000000-0009-0000-0100-0000AA000000}"/>
  <tableColumns count="1">
    <tableColumn id="1" xr3:uid="{00000000-0010-0000-5D00-000001000000}" name="Rundung" dataDxfId="59">
      <calculatedColumnFormula array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calculatedColumnFormula>
    </tableColumn>
  </tableColumns>
  <tableStyleInfo name="TableStyleMedium4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5E000000}" name="BallwurfGerundet" displayName="BallwurfGerundet" ref="CE27:CE57" totalsRowShown="0" headerRowDxfId="55" dataDxfId="54">
  <autoFilter ref="CE27:CE57" xr:uid="{00000000-0009-0000-0100-0000AB000000}"/>
  <tableColumns count="1">
    <tableColumn id="1" xr3:uid="{00000000-0010-0000-5E00-000001000000}" name="Rundung" dataDxfId="56">
      <calculatedColumnFormula array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calculatedColumnFormula>
    </tableColumn>
  </tableColumns>
  <tableStyleInfo name="TableStyleMedium4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5F000000}" name="KugelstossenGerundet" displayName="KugelstossenGerundet" ref="CQ27:CQ57" totalsRowShown="0" headerRowDxfId="52" dataDxfId="51">
  <autoFilter ref="CQ27:CQ57" xr:uid="{00000000-0009-0000-0100-0000AD000000}"/>
  <tableColumns count="1">
    <tableColumn id="1" xr3:uid="{00000000-0010-0000-5F00-000001000000}" name="Rundung" dataDxfId="53">
      <calculatedColumnFormula array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calculatedColumnFormula>
    </tableColumn>
  </tableColumns>
  <tableStyleInfo name="TableStyleMedium4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00000000-000C-0000-FFFF-FFFF60000000}" name="SpeerwurfGerundet" displayName="SpeerwurfGerundet" ref="DC27:DC57" totalsRowShown="0" headerRowDxfId="49" dataDxfId="48">
  <autoFilter ref="DC27:DC57" xr:uid="{00000000-0009-0000-0100-0000AE000000}"/>
  <tableColumns count="1">
    <tableColumn id="1" xr3:uid="{00000000-0010-0000-6000-000001000000}" name="Rundung" dataDxfId="50">
      <calculatedColumnFormula array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calculatedColumnFormula>
    </tableColumn>
  </tableColumns>
  <tableStyleInfo name="TableStyleMedium4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0000000-000C-0000-FFFF-FFFF61000000}" name="GeräteturnenGerundet" displayName="GeräteturnenGerundet" ref="MY27:MY57" totalsRowShown="0" headerRowDxfId="46" dataDxfId="45">
  <autoFilter ref="MY27:MY57" xr:uid="{00000000-0009-0000-0100-0000B0000000}"/>
  <tableColumns count="1">
    <tableColumn id="1" xr3:uid="{00000000-0010-0000-6100-000001000000}" name="Rundung" dataDxfId="47">
      <calculatedColumnFormula>IF(OR($MW28=0,$MW28=""),"",IFERROR(IF(AND(MY$25=0.5,AND($MW28&gt;0,$MW28&lt;=0.5)),0.5,IF(AND(MY$25&lt;&gt;0.5,AND($MW28&gt;0,$MW28&lt;=1)),1,MROUND($MW28,MY$25))),""))</calculatedColumnFormula>
    </tableColumn>
  </tableColumns>
  <tableStyleInfo name="TableStyleMedium4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62000000}" name="ParkourGerundet" displayName="ParkourGerundet" ref="NL27:NL57" totalsRowShown="0" headerRowDxfId="43" dataDxfId="42">
  <autoFilter ref="NL27:NL57" xr:uid="{00000000-0009-0000-0100-0000B1000000}"/>
  <tableColumns count="1">
    <tableColumn id="1" xr3:uid="{00000000-0010-0000-6200-000001000000}" name="Rundung" dataDxfId="44">
      <calculatedColumnFormula array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calculatedColumnFormula>
    </tableColumn>
  </tableColumns>
  <tableStyleInfo name="TableStyleMedium4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00000000-000C-0000-FFFF-FFFF63000000}" name="TanzenGerundet" displayName="TanzenGerundet" ref="PG27:PG57" totalsRowShown="0" headerRowDxfId="40" dataDxfId="39">
  <autoFilter ref="PG27:PG57" xr:uid="{00000000-0009-0000-0100-0000CC000000}"/>
  <tableColumns count="1">
    <tableColumn id="1" xr3:uid="{00000000-0010-0000-6300-000001000000}" name="Rundung" dataDxfId="41">
      <calculatedColumnFormula array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calculatedColumnFormula>
    </tableColumn>
  </tableColumns>
  <tableStyleInfo name="TableStyleMedium4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64000000}" name="RopeSkippingGerundet" displayName="RopeSkippingGerundet" ref="PT27:PT57" totalsRowShown="0" headerRowDxfId="37" dataDxfId="36">
  <autoFilter ref="PT27:PT57" xr:uid="{00000000-0009-0000-0100-0000CD000000}"/>
  <tableColumns count="1">
    <tableColumn id="1" xr3:uid="{00000000-0010-0000-6400-000001000000}" name="Rundung" dataDxfId="38">
      <calculatedColumnFormula array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calculatedColumnFormula>
    </tableColumn>
  </tableColumns>
  <tableStyleInfo name="TableStyleMedium4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00000000-000C-0000-FFFF-FFFF65000000}" name="AerobicGerundet" displayName="AerobicGerundet" ref="QF27:QF57" totalsRowShown="0" headerRowDxfId="34" dataDxfId="33">
  <autoFilter ref="QF27:QF57" xr:uid="{00000000-0009-0000-0100-0000CE000000}"/>
  <tableColumns count="1">
    <tableColumn id="1" xr3:uid="{00000000-0010-0000-6500-000001000000}" name="Rundung" dataDxfId="35">
      <calculatedColumnFormula array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calculatedColumnFormula>
    </tableColumn>
  </tableColumns>
  <tableStyleInfo name="TableStyleMedium4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00000000-000C-0000-FFFF-FFFF66000000}" name="BasketballGerundet" displayName="BasketballGerundet" ref="RR27:RR57" totalsRowShown="0" headerRowDxfId="31" dataDxfId="30">
  <autoFilter ref="RR27:RR57" xr:uid="{00000000-0009-0000-0100-0000CF000000}"/>
  <tableColumns count="1">
    <tableColumn id="1" xr3:uid="{00000000-0010-0000-6600-000001000000}" name="Rundung" dataDxfId="32">
      <calculatedColumnFormula array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calculatedColumnFormula>
    </tableColumn>
  </tableColumns>
  <tableStyleInfo name="TableStyleMedium4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00000000-000C-0000-FFFF-FFFF67000000}" name="FussballGerundet" displayName="FussballGerundet" ref="SD27:SD57" totalsRowShown="0" headerRowDxfId="28" dataDxfId="27">
  <autoFilter ref="SD27:SD57" xr:uid="{00000000-0009-0000-0100-0000D0000000}"/>
  <tableColumns count="1">
    <tableColumn id="1" xr3:uid="{00000000-0010-0000-6700-000001000000}" name="Rundung" dataDxfId="29">
      <calculatedColumnFormula array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calculatedColumnFormula>
    </tableColumn>
  </tableColumns>
  <tableStyleInfo name="TableStyleMedium4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00000000-000C-0000-FFFF-FFFF68000000}" name="HandballGerundet" displayName="HandballGerundet" ref="SP27:SP57" totalsRowShown="0" headerRowDxfId="25" dataDxfId="24">
  <autoFilter ref="SP27:SP57" xr:uid="{00000000-0009-0000-0100-0000D1000000}"/>
  <tableColumns count="1">
    <tableColumn id="1" xr3:uid="{00000000-0010-0000-6800-000001000000}" name="Rundung" dataDxfId="26">
      <calculatedColumnFormula array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calculatedColumnFormula>
    </tableColumn>
  </tableColumns>
  <tableStyleInfo name="TableStyleMedium4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69000000}" name="UnihockeyGerundet" displayName="UnihockeyGerundet" ref="TB27:TB57" totalsRowShown="0" headerRowDxfId="22" dataDxfId="21">
  <autoFilter ref="TB27:TB57" xr:uid="{00000000-0009-0000-0100-0000D5000000}"/>
  <tableColumns count="1">
    <tableColumn id="1" xr3:uid="{00000000-0010-0000-6900-000001000000}" name="Rundung" dataDxfId="23">
      <calculatedColumnFormula array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calculatedColumnFormula>
    </tableColumn>
  </tableColumns>
  <tableStyleInfo name="TableStyleMedium4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00000000-000C-0000-FFFF-FFFF6A000000}" name="VolleyballGerundet" displayName="VolleyballGerundet" ref="TO27:TO57" totalsRowShown="0" headerRowDxfId="19" dataDxfId="18">
  <autoFilter ref="TO27:TO57" xr:uid="{00000000-0009-0000-0100-0000D6000000}"/>
  <tableColumns count="1">
    <tableColumn id="1" xr3:uid="{00000000-0010-0000-6A00-000001000000}" name="Rundung" dataDxfId="20">
      <calculatedColumnFormula array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calculatedColumnFormula>
    </tableColumn>
  </tableColumns>
  <tableStyleInfo name="TableStyleMedium4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6B000000}" name="SchwimmenUmgerechnet" displayName="SchwimmenUmgerechnet" ref="ZW27:ZW57" totalsRowShown="0" headerRowDxfId="16" dataDxfId="15">
  <autoFilter ref="ZW27:ZW57" xr:uid="{00000000-0009-0000-0100-0000D7000000}"/>
  <tableColumns count="1">
    <tableColumn id="1" xr3:uid="{00000000-0010-0000-6B00-000001000000}" name="Umrechnung" dataDxfId="17">
      <calculatedColumnFormula array="1">IF(AND(INDIRECT(ZW$2)="",INDIRECT(ZX$2)=""),"",IFERROR((INDIRECT(ZW$2)*$ZW$25)+INDIRECT(ZX$2),""))</calculatedColumnFormula>
    </tableColumn>
  </tableColumns>
  <tableStyleInfo name="TableStyleMedium4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00000000-000C-0000-FFFF-FFFF6C000000}" name="BeweglichkeitGerundet" displayName="BeweglichkeitGerundet" ref="AAW27:AAW57" totalsRowShown="0" headerRowDxfId="13" dataDxfId="12">
  <autoFilter ref="AAW27:AAW57" xr:uid="{00000000-0009-0000-0100-0000D8000000}"/>
  <tableColumns count="1">
    <tableColumn id="1" xr3:uid="{00000000-0010-0000-6C00-000001000000}" name="Rundung" dataDxfId="14">
      <calculatedColumnFormula array="1">IF(OR(INDIRECT(AAW$2)="",AND(Geschlecht[[#This Row],[Geschlecht (Skala)]]=Stammdaten!$D$7,INDIRECT(AAW$2)&lt;0)),"",IFERROR(IF(AAW$25,VALUE(_xlfn.VALUETOTEXT(CEILING(INDIRECT(AAW$2),AAU$25))),VALUE(_xlfn.VALUETOTEXT(ROUNDDOWN(INDIRECT(AAW$2),AAU$25)))),""))</calculatedColumnFormula>
    </tableColumn>
  </tableColumns>
  <tableStyleInfo name="TableStyleMedium4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00000000-000C-0000-FFFF-FFFF6D000000}" name="RumpfkraftGerundet" displayName="RumpfkraftGerundet" ref="ABI27:ABI57" totalsRowShown="0" headerRowDxfId="10" dataDxfId="9">
  <autoFilter ref="ABI27:ABI57" xr:uid="{00000000-0009-0000-0100-0000D9000000}"/>
  <tableColumns count="1">
    <tableColumn id="1" xr3:uid="{00000000-0010-0000-6D00-000001000000}" name="Rundung" dataDxfId="11">
      <calculatedColumnFormula array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calculatedColumnFormula>
    </tableColumn>
  </tableColumns>
  <tableStyleInfo name="TableStyleMedium4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00000000-000C-0000-FFFF-FFFF6E000000}" name="KonditionsparcoursGerundet" displayName="KonditionsparcoursGerundet" ref="ACG27:ACG57" totalsRowShown="0" headerRowDxfId="7" dataDxfId="6">
  <autoFilter ref="ACG27:ACG57" xr:uid="{00000000-0009-0000-0100-0000DA000000}"/>
  <tableColumns count="1">
    <tableColumn id="1" xr3:uid="{00000000-0010-0000-6E00-000001000000}" name="Rundung" dataDxfId="8">
      <calculatedColumnFormula array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calculatedColumnFormula>
    </tableColumn>
  </tableColumns>
  <tableStyleInfo name="TableStyleMedium4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9" xr:uid="{3F0BB5DA-A35B-42C4-8B9D-53A27E60E886}" name="SchwimmenResultatSek" displayName="SchwimmenResultatSek" ref="ZR27:ZU57" totalsRowShown="0" headerRowDxfId="1" dataDxfId="0">
  <autoFilter ref="ZR27:ZU57" xr:uid="{3F0BB5DA-A35B-42C4-8B9D-53A27E60E886}"/>
  <tableColumns count="4">
    <tableColumn id="1" xr3:uid="{65030551-1B69-4871-85D7-246C7B83136C}" name="Sek" dataDxfId="5" dataCellStyle="01_Nicht_gesperrt"/>
    <tableColumn id="4" xr3:uid="{0AF9391C-D9A0-43DE-BBE3-39AEE18665BA}" name="Resultat" dataDxfId="4">
      <calculatedColumnFormula>IFERROR(IFERROR(SUBSTITUTE(SchwimmenResultatSek[[#This Row],[Sek]],".",",")*1,SUBSTITUTE(SchwimmenResultatSek[[#This Row],[Sek]],",",".")*1),"")</calculatedColumnFormula>
    </tableColumn>
    <tableColumn id="2" xr3:uid="{4BCC6838-0C59-47AF-AF21-99ED8144AD63}" name="GZSek" dataDxfId="3">
      <calculatedColumnFormula>INT(SchwimmenResultatSek[[#This Row],[Resultat]])=SchwimmenResultatSek[[#This Row],[Resultat]]</calculatedColumnFormula>
    </tableColumn>
    <tableColumn id="3" xr3:uid="{BB4A1D1E-B6B3-43B5-9066-411B2C5B7FF8}" name="BedRes" dataDxfId="2">
      <calculatedColumnFormula>IFERROR(IF(AND(SchwimmenResultatSek[[#This Row],[GZSek]],AND(SchwimmenResultatSek[[#This Row],[Resultat]]&gt;=0,SchwimmenResultatSek[[#This Row],[Resultat]]&lt;=59),NOT(OR(SchwimmenResultatMin[[#This Row],[Min]]=$A$2,SchwimmenResultatMin[[#This Row],[Min]]=$A$3))),1),"")</calculatedColumnFormula>
    </tableColumn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4" xr:uid="{00000000-000C-0000-FFFF-FFFF70000000}" name="AuswDipl1" displayName="AuswDipl1" ref="E4:H56" totalsRowShown="0">
  <autoFilter ref="E4:H56" xr:uid="{00000000-0009-0000-0100-00001C010000}"/>
  <tableColumns count="4">
    <tableColumn id="1" xr3:uid="{00000000-0010-0000-7000-000001000000}" name="BS_1" dataDxfId="970"/>
    <tableColumn id="3" xr3:uid="{00000000-0010-0000-7000-000003000000}" name="BS_11" dataDxfId="969">
      <calculatedColumnFormula>TEXT(AuswDipl1[[#This Row],[BS_1]],"#"&amp;F$2&amp;"0")</calculatedColumnFormula>
    </tableColumn>
    <tableColumn id="2" xr3:uid="{00000000-0010-0000-7000-000002000000}" name="Medaille" dataDxfId="968">
      <calculatedColumnFormula>INDEX(INDIRECT($C$3),MATCH(AuswDipl1[[#This Row],[BS_1]],INDIRECT($B$3),0))</calculatedColumnFormula>
    </tableColumn>
    <tableColumn id="4" xr3:uid="{5584B40B-9171-4235-B4F3-E618BFADD8E8}" name="Position" dataDxfId="967">
      <calculatedColumnFormula>INDEX(INDIRECT($H$1),MATCH(AuswDipl1[[#This Row],[Medaille]],INDIRECT($C$1),0))</calculatedColumnFormula>
    </tableColumn>
  </tableColumns>
  <tableStyleInfo name="TableStyleMedium7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8" xr:uid="{00000000-000C-0000-FFFF-FFFF71000000}" name="AuswDipl2" displayName="AuswDipl2" ref="J4:M56" totalsRowShown="0">
  <autoFilter ref="J4:M56" xr:uid="{00000000-0009-0000-0100-000020010000}"/>
  <tableColumns count="4">
    <tableColumn id="1" xr3:uid="{00000000-0010-0000-7100-000001000000}" name="BS_2" dataDxfId="966"/>
    <tableColumn id="3" xr3:uid="{00000000-0010-0000-7100-000003000000}" name="BS_21" dataDxfId="965">
      <calculatedColumnFormula>TEXT(AuswDipl2[[#This Row],[BS_2]],"#"&amp;F$2&amp;"0")</calculatedColumnFormula>
    </tableColumn>
    <tableColumn id="2" xr3:uid="{00000000-0010-0000-7100-000002000000}" name="Medaille" dataDxfId="964">
      <calculatedColumnFormula>INDEX(INDIRECT($C$3),MATCH(AuswDipl2[[#This Row],[BS_2]],INDIRECT($B$3),0))</calculatedColumnFormula>
    </tableColumn>
    <tableColumn id="4" xr3:uid="{DEE6D3F8-A143-42C8-9B63-86CE1D014E26}" name="Position" dataDxfId="963">
      <calculatedColumnFormula>INDEX(INDIRECT($H$1),MATCH(AuswDipl2[[#This Row],[Medaille]],INDIRECT($C$1),0))</calculatedColumnFormula>
    </tableColumn>
  </tableColumns>
  <tableStyleInfo name="TableStyleMedium7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72000000}" name="AuswDipl3" displayName="AuswDipl3" ref="O4:R26" totalsRowShown="0">
  <autoFilter ref="O4:R26" xr:uid="{00000000-0009-0000-0100-000024010000}"/>
  <tableColumns count="4">
    <tableColumn id="1" xr3:uid="{00000000-0010-0000-7200-000001000000}" name="BS_3" dataDxfId="962"/>
    <tableColumn id="4" xr3:uid="{498D4848-71C8-44D5-B0FC-5EC10AD12814}" name="BS_31" dataDxfId="961">
      <calculatedColumnFormula>TEXT(AuswDipl3[[#This Row],[BS_3]],"#"&amp;F$2&amp;"00")</calculatedColumnFormula>
    </tableColumn>
    <tableColumn id="2" xr3:uid="{00000000-0010-0000-7200-000002000000}" name="Medaille" dataDxfId="960">
      <calculatedColumnFormula>INDEX(INDIRECT($C$3),MATCH(AuswDipl3[[#This Row],[BS_3]],INDIRECT($B$3),0))</calculatedColumnFormula>
    </tableColumn>
    <tableColumn id="3" xr3:uid="{FBAB716E-7AD7-425C-827F-C180BC4C93DC}" name="Position" dataDxfId="959">
      <calculatedColumnFormula>INDEX(INDIRECT($H$1),MATCH(AuswDipl3[[#This Row],[Medaille]],INDIRECT($C$1),0))</calculatedColumnFormula>
    </tableColumn>
  </tableColumns>
  <tableStyleInfo name="TableStyleMedium7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6" xr:uid="{00000000-000C-0000-FFFF-FFFF73000000}" name="AuswDipl4" displayName="AuswDipl4" ref="T4:W56" totalsRowShown="0">
  <autoFilter ref="T4:W56" xr:uid="{00000000-0009-0000-0100-000028010000}"/>
  <tableColumns count="4">
    <tableColumn id="1" xr3:uid="{00000000-0010-0000-7300-000001000000}" name="BS_4" dataDxfId="958"/>
    <tableColumn id="3" xr3:uid="{00000000-0010-0000-7300-000003000000}" name="BS_41" dataDxfId="957">
      <calculatedColumnFormula>TEXT(AuswDipl4[[#This Row],[BS_4]],"#"&amp;F$2&amp;"0")</calculatedColumnFormula>
    </tableColumn>
    <tableColumn id="2" xr3:uid="{00000000-0010-0000-7300-000002000000}" name="Medaille" dataDxfId="956">
      <calculatedColumnFormula>INDEX(INDIRECT($C$3),MATCH(AuswDipl4[[#This Row],[BS_4]],INDIRECT($B$3),0))</calculatedColumnFormula>
    </tableColumn>
    <tableColumn id="4" xr3:uid="{8B230527-6C90-4F46-A96F-CCE4C5D65785}" name="Position" dataDxfId="955">
      <calculatedColumnFormula>INDEX(INDIRECT($H$1),MATCH(AuswDipl4[[#This Row],[Medaille]],INDIRECT($C$1),0))</calculatedColumnFormula>
    </tableColumn>
  </tableColumns>
  <tableStyleInfo name="TableStyleMedium7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7" xr:uid="{00000000-000C-0000-FFFF-FFFF74000000}" name="AuswDipl0" displayName="AuswDipl0" ref="B4:C506" totalsRowShown="0" tableBorderDxfId="954">
  <autoFilter ref="B4:C506" xr:uid="{00000000-0009-0000-0100-00001F010000}"/>
  <tableColumns count="2">
    <tableColumn id="1" xr3:uid="{00000000-0010-0000-7400-000001000000}" name="BS_0" dataDxfId="953"/>
    <tableColumn id="2" xr3:uid="{00000000-0010-0000-7400-000002000000}" name="Medaille"/>
  </tableColumns>
  <tableStyleInfo name="TableStyleMedium7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75000000}" name="Ballwurf_K1" displayName="Ballwurf_K1" ref="AK3:AL54" totalsRowShown="0" headerRowDxfId="952" dataDxfId="951">
  <autoFilter ref="AK3:AL54" xr:uid="{00000000-0009-0000-0100-000026000000}"/>
  <sortState xmlns:xlrd2="http://schemas.microsoft.com/office/spreadsheetml/2017/richdata2" ref="AK4:AL55">
    <sortCondition ref="AK4:AK55"/>
  </sortState>
  <tableColumns count="2">
    <tableColumn id="1" xr3:uid="{00000000-0010-0000-7500-000001000000}" name="Resultat" dataDxfId="950"/>
    <tableColumn id="2" xr3:uid="{00000000-0010-0000-7500-000002000000}" name="Note" dataDxfId="949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76000000}" name="Ballwurf_M1" displayName="Ballwurf_M1" ref="AN3:AO54" totalsRowShown="0" headerRowDxfId="948" dataDxfId="947">
  <autoFilter ref="AN3:AO54" xr:uid="{00000000-0009-0000-0100-000027000000}"/>
  <sortState xmlns:xlrd2="http://schemas.microsoft.com/office/spreadsheetml/2017/richdata2" ref="AN4:AO55">
    <sortCondition ref="AN4:AN55"/>
  </sortState>
  <tableColumns count="2">
    <tableColumn id="1" xr3:uid="{00000000-0010-0000-7600-000001000000}" name="Resultat" dataDxfId="946"/>
    <tableColumn id="2" xr3:uid="{00000000-0010-0000-7600-000002000000}" name="Note" dataDxfId="945"/>
  </tableColumns>
  <tableStyleInfo name="TableStyleMedium5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77000000}" name="Kugelstossen_K1" displayName="Kugelstossen_K1" ref="AQ3:AR54" totalsRowShown="0" headerRowDxfId="944" dataDxfId="943">
  <autoFilter ref="AQ3:AR54" xr:uid="{00000000-0009-0000-0100-000028000000}"/>
  <sortState xmlns:xlrd2="http://schemas.microsoft.com/office/spreadsheetml/2017/richdata2" ref="AQ4:AR55">
    <sortCondition ref="AQ4:AQ55"/>
  </sortState>
  <tableColumns count="2">
    <tableColumn id="1" xr3:uid="{00000000-0010-0000-7700-000001000000}" name="Resultat" dataDxfId="942"/>
    <tableColumn id="2" xr3:uid="{00000000-0010-0000-7700-000002000000}" name="Note" dataDxfId="941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78000000}" name="Kugelstossen_M1" displayName="Kugelstossen_M1" ref="AT3:AU54" totalsRowShown="0" headerRowDxfId="940" dataDxfId="939">
  <autoFilter ref="AT3:AU54" xr:uid="{00000000-0009-0000-0100-000029000000}"/>
  <sortState xmlns:xlrd2="http://schemas.microsoft.com/office/spreadsheetml/2017/richdata2" ref="AT4:AU55">
    <sortCondition ref="AT4:AT55"/>
  </sortState>
  <tableColumns count="2">
    <tableColumn id="1" xr3:uid="{00000000-0010-0000-7800-000001000000}" name="Resultat" dataDxfId="938"/>
    <tableColumn id="2" xr3:uid="{00000000-0010-0000-7800-000002000000}" name="Note" dataDxfId="937"/>
  </tableColumns>
  <tableStyleInfo name="TableStyleMedium5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79000000}" name="Speerwurf_K1" displayName="Speerwurf_K1" ref="AW3:AX54" totalsRowShown="0" headerRowDxfId="936" dataDxfId="935">
  <autoFilter ref="AW3:AX54" xr:uid="{00000000-0009-0000-0100-00002A000000}"/>
  <sortState xmlns:xlrd2="http://schemas.microsoft.com/office/spreadsheetml/2017/richdata2" ref="AW4:AX55">
    <sortCondition ref="AW4:AW55"/>
  </sortState>
  <tableColumns count="2">
    <tableColumn id="1" xr3:uid="{00000000-0010-0000-7900-000001000000}" name="Resultat" dataDxfId="934"/>
    <tableColumn id="2" xr3:uid="{00000000-0010-0000-7900-000002000000}" name="Note" dataDxfId="933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7A000000}" name="Speerwurf_M1" displayName="Speerwurf_M1" ref="AZ3:BA54" totalsRowShown="0" headerRowDxfId="932" dataDxfId="931">
  <autoFilter ref="AZ3:BA54" xr:uid="{00000000-0009-0000-0100-00002B000000}"/>
  <sortState xmlns:xlrd2="http://schemas.microsoft.com/office/spreadsheetml/2017/richdata2" ref="AZ4:BA55">
    <sortCondition ref="AZ4:AZ55"/>
  </sortState>
  <tableColumns count="2">
    <tableColumn id="1" xr3:uid="{00000000-0010-0000-7A00-000001000000}" name="Resultat" dataDxfId="930"/>
    <tableColumn id="2" xr3:uid="{00000000-0010-0000-7A00-000002000000}" name="Note" dataDxfId="929"/>
  </tableColumns>
  <tableStyleInfo name="TableStyleMedium5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7B000000}" name="Hochsprung_K1" displayName="Hochsprung_K1" ref="Y3:Z54" totalsRowShown="0" headerRowDxfId="928" dataDxfId="927">
  <autoFilter ref="Y3:Z54" xr:uid="{00000000-0009-0000-0100-00002C000000}"/>
  <sortState xmlns:xlrd2="http://schemas.microsoft.com/office/spreadsheetml/2017/richdata2" ref="Y4:Z55">
    <sortCondition ref="Y4:Y55"/>
  </sortState>
  <tableColumns count="2">
    <tableColumn id="1" xr3:uid="{00000000-0010-0000-7B00-000001000000}" name="Resultat" dataDxfId="926"/>
    <tableColumn id="2" xr3:uid="{00000000-0010-0000-7B00-000002000000}" name="Note" dataDxfId="925"/>
  </tableColumns>
  <tableStyleInfo name="TableStyleMedium2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7C000000}" name="Hochsprung_M1" displayName="Hochsprung_M1" ref="AB3:AC54" totalsRowShown="0" headerRowDxfId="924" dataDxfId="923">
  <autoFilter ref="AB3:AC54" xr:uid="{00000000-0009-0000-0100-00002D000000}"/>
  <sortState xmlns:xlrd2="http://schemas.microsoft.com/office/spreadsheetml/2017/richdata2" ref="AB4:AC55">
    <sortCondition ref="AB4:AB55"/>
  </sortState>
  <tableColumns count="2">
    <tableColumn id="1" xr3:uid="{00000000-0010-0000-7C00-000001000000}" name="Resultat" dataDxfId="922"/>
    <tableColumn id="2" xr3:uid="{00000000-0010-0000-7C00-000002000000}" name="Note" dataDxfId="921"/>
  </tableColumns>
  <tableStyleInfo name="TableStyleMedium5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7D000000}" name="Weitsprung_K1" displayName="Weitsprung_K1" ref="AE3:AF54" totalsRowShown="0" headerRowDxfId="920" dataDxfId="919">
  <autoFilter ref="AE3:AF54" xr:uid="{00000000-0009-0000-0100-00002E000000}"/>
  <sortState xmlns:xlrd2="http://schemas.microsoft.com/office/spreadsheetml/2017/richdata2" ref="AE4:AF55">
    <sortCondition ref="AE4:AE55"/>
  </sortState>
  <tableColumns count="2">
    <tableColumn id="1" xr3:uid="{00000000-0010-0000-7D00-000001000000}" name="Resultat" dataDxfId="918"/>
    <tableColumn id="2" xr3:uid="{00000000-0010-0000-7D00-000002000000}" name="Note" dataDxfId="917"/>
  </tableColumns>
  <tableStyleInfo name="TableStyleMedium2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7E000000}" name="Weitsprung_M1" displayName="Weitsprung_M1" ref="AH3:AI54" totalsRowShown="0" headerRowDxfId="916" dataDxfId="915">
  <autoFilter ref="AH3:AI54" xr:uid="{00000000-0009-0000-0100-00002F000000}"/>
  <sortState xmlns:xlrd2="http://schemas.microsoft.com/office/spreadsheetml/2017/richdata2" ref="AH4:AI55">
    <sortCondition ref="AH4:AH55"/>
  </sortState>
  <tableColumns count="2">
    <tableColumn id="1" xr3:uid="{00000000-0010-0000-7E00-000001000000}" name="Resultat" dataDxfId="914"/>
    <tableColumn id="2" xr3:uid="{00000000-0010-0000-7E00-000002000000}" name="Note" dataDxfId="913"/>
  </tableColumns>
  <tableStyleInfo name="TableStyleMedium5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7F000000}" name="SechzigmLauf_K1" displayName="SechzigmLauf_K1" ref="A3:B54" totalsRowShown="0" headerRowDxfId="912" dataDxfId="911">
  <autoFilter ref="A3:B54" xr:uid="{00000000-0009-0000-0100-000030000000}"/>
  <sortState xmlns:xlrd2="http://schemas.microsoft.com/office/spreadsheetml/2017/richdata2" ref="A4:B55">
    <sortCondition descending="1" ref="A4"/>
  </sortState>
  <tableColumns count="2">
    <tableColumn id="1" xr3:uid="{00000000-0010-0000-7F00-000001000000}" name="Resultat" dataDxfId="910"/>
    <tableColumn id="2" xr3:uid="{00000000-0010-0000-7F00-000002000000}" name="Note" dataDxfId="909"/>
  </tableColumns>
  <tableStyleInfo name="TableStyleMedium2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80000000}" name="SechzigmLauf_M1" displayName="SechzigmLauf_M1" ref="D3:E54" totalsRowShown="0" headerRowDxfId="908" dataDxfId="907">
  <autoFilter ref="D3:E54" xr:uid="{00000000-0009-0000-0100-000031000000}"/>
  <sortState xmlns:xlrd2="http://schemas.microsoft.com/office/spreadsheetml/2017/richdata2" ref="D4:E55">
    <sortCondition descending="1" ref="D4:D55"/>
  </sortState>
  <tableColumns count="2">
    <tableColumn id="1" xr3:uid="{00000000-0010-0000-8000-000001000000}" name="Resultat" dataDxfId="906"/>
    <tableColumn id="2" xr3:uid="{00000000-0010-0000-8000-000002000000}" name="Note" dataDxfId="905"/>
  </tableColumns>
  <tableStyleInfo name="TableStyleMedium5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81000000}" name="AchtzigmLauf_K1" displayName="AchtzigmLauf_K1" ref="G3:H54" totalsRowShown="0" headerRowDxfId="904" dataDxfId="903">
  <autoFilter ref="G3:H54" xr:uid="{00000000-0009-0000-0100-000032000000}"/>
  <sortState xmlns:xlrd2="http://schemas.microsoft.com/office/spreadsheetml/2017/richdata2" ref="G4:H55">
    <sortCondition descending="1" ref="G4:G55"/>
  </sortState>
  <tableColumns count="2">
    <tableColumn id="1" xr3:uid="{00000000-0010-0000-8100-000001000000}" name="Resultat" dataDxfId="902"/>
    <tableColumn id="2" xr3:uid="{00000000-0010-0000-8100-000002000000}" name="Note" dataDxfId="901"/>
  </tableColumns>
  <tableStyleInfo name="TableStyleMedium2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82000000}" name="AchtzigmLauf_M1" displayName="AchtzigmLauf_M1" ref="J3:K54" totalsRowShown="0" headerRowDxfId="900" dataDxfId="899">
  <autoFilter ref="J3:K54" xr:uid="{00000000-0009-0000-0100-000033000000}"/>
  <sortState xmlns:xlrd2="http://schemas.microsoft.com/office/spreadsheetml/2017/richdata2" ref="J4:K55">
    <sortCondition descending="1" ref="J4:J55"/>
  </sortState>
  <tableColumns count="2">
    <tableColumn id="1" xr3:uid="{00000000-0010-0000-8200-000001000000}" name="Resultat" dataDxfId="898"/>
    <tableColumn id="2" xr3:uid="{00000000-0010-0000-8200-000002000000}" name="Note" dataDxfId="897"/>
  </tableColumns>
  <tableStyleInfo name="TableStyleMedium5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83000000}" name="ZwölfMinLaufHalle_K1" displayName="ZwölfMinLaufHalle_K1" ref="M3:N54" totalsRowShown="0" headerRowDxfId="896" dataDxfId="895">
  <autoFilter ref="M3:N54" xr:uid="{00000000-0009-0000-0100-000034000000}"/>
  <sortState xmlns:xlrd2="http://schemas.microsoft.com/office/spreadsheetml/2017/richdata2" ref="M4:N34">
    <sortCondition descending="1" ref="M4"/>
  </sortState>
  <tableColumns count="2">
    <tableColumn id="1" xr3:uid="{00000000-0010-0000-8300-000001000000}" name="Resultat" dataDxfId="894"/>
    <tableColumn id="2" xr3:uid="{00000000-0010-0000-8300-000002000000}" name="Note" dataDxfId="893"/>
  </tableColumns>
  <tableStyleInfo name="TableStyleMedium2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84000000}" name="ZwölfMinLaufHalle_M1" displayName="ZwölfMinLaufHalle_M1" ref="P3:Q54" totalsRowShown="0" headerRowDxfId="892" dataDxfId="891">
  <autoFilter ref="P3:Q54" xr:uid="{00000000-0009-0000-0100-000035000000}"/>
  <sortState xmlns:xlrd2="http://schemas.microsoft.com/office/spreadsheetml/2017/richdata2" ref="P4:Q32">
    <sortCondition descending="1" ref="P4"/>
  </sortState>
  <tableColumns count="2">
    <tableColumn id="1" xr3:uid="{00000000-0010-0000-8400-000001000000}" name="Resultat" dataDxfId="890"/>
    <tableColumn id="2" xr3:uid="{00000000-0010-0000-8400-000002000000}" name="Note" dataDxfId="889"/>
  </tableColumns>
  <tableStyleInfo name="TableStyleMedium5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85000000}" name="ZwölfMinLaufimFreien_K1" displayName="ZwölfMinLaufimFreien_K1" ref="S3:T54" totalsRowShown="0" headerRowDxfId="888" dataDxfId="887">
  <autoFilter ref="S3:T54" xr:uid="{00000000-0009-0000-0100-000036000000}"/>
  <sortState xmlns:xlrd2="http://schemas.microsoft.com/office/spreadsheetml/2017/richdata2" ref="S4:T55">
    <sortCondition ref="S4:S55"/>
  </sortState>
  <tableColumns count="2">
    <tableColumn id="1" xr3:uid="{00000000-0010-0000-8500-000001000000}" name="Resultat" dataDxfId="886"/>
    <tableColumn id="2" xr3:uid="{00000000-0010-0000-8500-000002000000}" name="Note" dataDxfId="885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86000000}" name="ZwölfMinLaufimFreien_M1" displayName="ZwölfMinLaufimFreien_M1" ref="V3:W54" totalsRowShown="0" headerRowDxfId="884" dataDxfId="883">
  <autoFilter ref="V3:W54" xr:uid="{00000000-0009-0000-0100-000037000000}"/>
  <sortState xmlns:xlrd2="http://schemas.microsoft.com/office/spreadsheetml/2017/richdata2" ref="V4:W55">
    <sortCondition ref="V4:V55"/>
  </sortState>
  <tableColumns count="2">
    <tableColumn id="1" xr3:uid="{00000000-0010-0000-8600-000001000000}" name="Resultat" dataDxfId="882"/>
    <tableColumn id="2" xr3:uid="{00000000-0010-0000-8600-000002000000}" name="Note" dataDxfId="881"/>
  </tableColumns>
  <tableStyleInfo name="TableStyleMedium5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87000000}" name="Ballwurf_K2" displayName="Ballwurf_K2" ref="AK3:AL54" totalsRowShown="0" headerRowDxfId="880" dataDxfId="879">
  <autoFilter ref="AK3:AL54" xr:uid="{00000000-0009-0000-0100-00005E000000}"/>
  <sortState xmlns:xlrd2="http://schemas.microsoft.com/office/spreadsheetml/2017/richdata2" ref="AK4:AL55">
    <sortCondition ref="AK4:AK55"/>
  </sortState>
  <tableColumns count="2">
    <tableColumn id="1" xr3:uid="{00000000-0010-0000-8700-000001000000}" name="Resultat" dataDxfId="878"/>
    <tableColumn id="2" xr3:uid="{00000000-0010-0000-8700-000002000000}" name="Note" dataDxfId="877"/>
  </tableColumns>
  <tableStyleInfo name="TableStyleMedium2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88000000}" name="Ballwurf_M2" displayName="Ballwurf_M2" ref="AN3:AO54" totalsRowShown="0" headerRowDxfId="876" dataDxfId="875">
  <autoFilter ref="AN3:AO54" xr:uid="{00000000-0009-0000-0100-00005F000000}"/>
  <sortState xmlns:xlrd2="http://schemas.microsoft.com/office/spreadsheetml/2017/richdata2" ref="AN4:AO55">
    <sortCondition ref="AN4:AN55"/>
  </sortState>
  <tableColumns count="2">
    <tableColumn id="1" xr3:uid="{00000000-0010-0000-8800-000001000000}" name="Resultat" dataDxfId="874"/>
    <tableColumn id="2" xr3:uid="{00000000-0010-0000-8800-000002000000}" name="Note" dataDxfId="873"/>
  </tableColumns>
  <tableStyleInfo name="TableStyleMedium5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89000000}" name="Kugelstossen_K2" displayName="Kugelstossen_K2" ref="AQ3:AR54" totalsRowShown="0" headerRowDxfId="872" dataDxfId="871">
  <autoFilter ref="AQ3:AR54" xr:uid="{00000000-0009-0000-0100-000060000000}"/>
  <sortState xmlns:xlrd2="http://schemas.microsoft.com/office/spreadsheetml/2017/richdata2" ref="AQ4:AR55">
    <sortCondition ref="AQ4:AQ55"/>
  </sortState>
  <tableColumns count="2">
    <tableColumn id="1" xr3:uid="{00000000-0010-0000-8900-000001000000}" name="Resultat" dataDxfId="870"/>
    <tableColumn id="2" xr3:uid="{00000000-0010-0000-8900-000002000000}" name="Note" dataDxfId="869"/>
  </tableColumns>
  <tableStyleInfo name="TableStyleMedium2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8A000000}" name="Kugelstossen_M2" displayName="Kugelstossen_M2" ref="AT3:AU54" totalsRowShown="0" headerRowDxfId="868" dataDxfId="867">
  <autoFilter ref="AT3:AU54" xr:uid="{00000000-0009-0000-0100-000061000000}"/>
  <sortState xmlns:xlrd2="http://schemas.microsoft.com/office/spreadsheetml/2017/richdata2" ref="AT4:AU55">
    <sortCondition ref="AT4:AT55"/>
  </sortState>
  <tableColumns count="2">
    <tableColumn id="1" xr3:uid="{00000000-0010-0000-8A00-000001000000}" name="Resultat" dataDxfId="866"/>
    <tableColumn id="2" xr3:uid="{00000000-0010-0000-8A00-000002000000}" name="Note" dataDxfId="865"/>
  </tableColumns>
  <tableStyleInfo name="TableStyleMedium5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8B000000}" name="Speerwurf_K2" displayName="Speerwurf_K2" ref="AW3:AX54" totalsRowShown="0" headerRowDxfId="864" dataDxfId="863">
  <autoFilter ref="AW3:AX54" xr:uid="{00000000-0009-0000-0100-000062000000}"/>
  <sortState xmlns:xlrd2="http://schemas.microsoft.com/office/spreadsheetml/2017/richdata2" ref="AW4:AX55">
    <sortCondition ref="AW4:AW55"/>
  </sortState>
  <tableColumns count="2">
    <tableColumn id="1" xr3:uid="{00000000-0010-0000-8B00-000001000000}" name="Resultat" dataDxfId="862"/>
    <tableColumn id="2" xr3:uid="{00000000-0010-0000-8B00-000002000000}" name="Note" dataDxfId="861"/>
  </tableColumns>
  <tableStyleInfo name="TableStyleMedium2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8C000000}" name="Speerwurf_M2" displayName="Speerwurf_M2" ref="AZ3:BA54" totalsRowShown="0" headerRowDxfId="860" dataDxfId="859">
  <autoFilter ref="AZ3:BA54" xr:uid="{00000000-0009-0000-0100-000063000000}"/>
  <sortState xmlns:xlrd2="http://schemas.microsoft.com/office/spreadsheetml/2017/richdata2" ref="AZ4:BA55">
    <sortCondition ref="AZ4:AZ55"/>
  </sortState>
  <tableColumns count="2">
    <tableColumn id="1" xr3:uid="{00000000-0010-0000-8C00-000001000000}" name="Resultat" dataDxfId="858"/>
    <tableColumn id="2" xr3:uid="{00000000-0010-0000-8C00-000002000000}" name="Note" dataDxfId="857"/>
  </tableColumns>
  <tableStyleInfo name="TableStyleMedium5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8D000000}" name="Hochsprung_K2" displayName="Hochsprung_K2" ref="Y3:Z54" totalsRowShown="0" headerRowDxfId="856" dataDxfId="855">
  <autoFilter ref="Y3:Z54" xr:uid="{00000000-0009-0000-0100-000064000000}"/>
  <sortState xmlns:xlrd2="http://schemas.microsoft.com/office/spreadsheetml/2017/richdata2" ref="Y4:Z55">
    <sortCondition ref="Y4:Y55"/>
  </sortState>
  <tableColumns count="2">
    <tableColumn id="1" xr3:uid="{00000000-0010-0000-8D00-000001000000}" name="Resultat" dataDxfId="854"/>
    <tableColumn id="2" xr3:uid="{00000000-0010-0000-8D00-000002000000}" name="Note" dataDxfId="853"/>
  </tableColumns>
  <tableStyleInfo name="TableStyleMedium2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8E000000}" name="Hochsprung_M2" displayName="Hochsprung_M2" ref="AB3:AC54" totalsRowShown="0" headerRowDxfId="852" dataDxfId="851">
  <autoFilter ref="AB3:AC54" xr:uid="{00000000-0009-0000-0100-000065000000}"/>
  <sortState xmlns:xlrd2="http://schemas.microsoft.com/office/spreadsheetml/2017/richdata2" ref="AB4:AC55">
    <sortCondition ref="AB4:AB55"/>
  </sortState>
  <tableColumns count="2">
    <tableColumn id="1" xr3:uid="{00000000-0010-0000-8E00-000001000000}" name="Resultat" dataDxfId="850"/>
    <tableColumn id="2" xr3:uid="{00000000-0010-0000-8E00-000002000000}" name="Note" dataDxfId="849"/>
  </tableColumns>
  <tableStyleInfo name="TableStyleMedium5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8F000000}" name="Weitsprung_K2" displayName="Weitsprung_K2" ref="AE3:AF54" totalsRowShown="0" headerRowDxfId="848" dataDxfId="847">
  <autoFilter ref="AE3:AF54" xr:uid="{00000000-0009-0000-0100-000066000000}"/>
  <sortState xmlns:xlrd2="http://schemas.microsoft.com/office/spreadsheetml/2017/richdata2" ref="AE4:AF55">
    <sortCondition ref="AE4:AE55"/>
  </sortState>
  <tableColumns count="2">
    <tableColumn id="1" xr3:uid="{00000000-0010-0000-8F00-000001000000}" name="Resultat" dataDxfId="846"/>
    <tableColumn id="2" xr3:uid="{00000000-0010-0000-8F00-000002000000}" name="Note" dataDxfId="845"/>
  </tableColumns>
  <tableStyleInfo name="TableStyleMedium2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90000000}" name="Weitsprung_M2" displayName="Weitsprung_M2" ref="AH3:AI54" totalsRowShown="0" headerRowDxfId="844" dataDxfId="843">
  <autoFilter ref="AH3:AI54" xr:uid="{00000000-0009-0000-0100-000067000000}"/>
  <sortState xmlns:xlrd2="http://schemas.microsoft.com/office/spreadsheetml/2017/richdata2" ref="AH4:AI55">
    <sortCondition ref="AH4:AH55"/>
  </sortState>
  <tableColumns count="2">
    <tableColumn id="1" xr3:uid="{00000000-0010-0000-9000-000001000000}" name="Resultat" dataDxfId="842"/>
    <tableColumn id="2" xr3:uid="{00000000-0010-0000-9000-000002000000}" name="Note" dataDxfId="841"/>
  </tableColumns>
  <tableStyleInfo name="TableStyleMedium5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91000000}" name="SechzigmLauf_K2" displayName="SechzigmLauf_K2" ref="A3:B54" totalsRowShown="0" headerRowDxfId="840" dataDxfId="839">
  <autoFilter ref="A3:B54" xr:uid="{00000000-0009-0000-0100-000068000000}"/>
  <sortState xmlns:xlrd2="http://schemas.microsoft.com/office/spreadsheetml/2017/richdata2" ref="A4:B55">
    <sortCondition descending="1" ref="A4:A55"/>
  </sortState>
  <tableColumns count="2">
    <tableColumn id="1" xr3:uid="{00000000-0010-0000-9100-000001000000}" name="Resultat" dataDxfId="838"/>
    <tableColumn id="2" xr3:uid="{00000000-0010-0000-9100-000002000000}" name="Note" dataDxfId="837"/>
  </tableColumns>
  <tableStyleInfo name="TableStyleMedium2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92000000}" name="SechzigmLauf_M2" displayName="SechzigmLauf_M2" ref="D3:E54" totalsRowShown="0" headerRowDxfId="836" dataDxfId="835">
  <autoFilter ref="D3:E54" xr:uid="{00000000-0009-0000-0100-000069000000}"/>
  <sortState xmlns:xlrd2="http://schemas.microsoft.com/office/spreadsheetml/2017/richdata2" ref="D4:E55">
    <sortCondition descending="1" ref="D4:D55"/>
  </sortState>
  <tableColumns count="2">
    <tableColumn id="1" xr3:uid="{00000000-0010-0000-9200-000001000000}" name="Resultat" dataDxfId="834"/>
    <tableColumn id="2" xr3:uid="{00000000-0010-0000-9200-000002000000}" name="Note" dataDxfId="833"/>
  </tableColumns>
  <tableStyleInfo name="TableStyleMedium5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93000000}" name="AchtzigmLauf_K2" displayName="AchtzigmLauf_K2" ref="G3:H54" totalsRowShown="0" headerRowDxfId="832" dataDxfId="831">
  <autoFilter ref="G3:H54" xr:uid="{00000000-0009-0000-0100-00006A000000}"/>
  <sortState xmlns:xlrd2="http://schemas.microsoft.com/office/spreadsheetml/2017/richdata2" ref="G4:H55">
    <sortCondition descending="1" ref="G4:G55"/>
  </sortState>
  <tableColumns count="2">
    <tableColumn id="1" xr3:uid="{00000000-0010-0000-9300-000001000000}" name="Resultat" dataDxfId="830"/>
    <tableColumn id="2" xr3:uid="{00000000-0010-0000-9300-000002000000}" name="Note" dataDxfId="829"/>
  </tableColumns>
  <tableStyleInfo name="TableStyleMedium2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94000000}" name="AchtzigmLauf_M2" displayName="AchtzigmLauf_M2" ref="J3:K54" totalsRowShown="0" headerRowDxfId="828" dataDxfId="827">
  <autoFilter ref="J3:K54" xr:uid="{00000000-0009-0000-0100-00006B000000}"/>
  <sortState xmlns:xlrd2="http://schemas.microsoft.com/office/spreadsheetml/2017/richdata2" ref="J4:K55">
    <sortCondition descending="1" ref="J4:J55"/>
  </sortState>
  <tableColumns count="2">
    <tableColumn id="1" xr3:uid="{00000000-0010-0000-9400-000001000000}" name="Resultat" dataDxfId="826"/>
    <tableColumn id="2" xr3:uid="{00000000-0010-0000-9400-000002000000}" name="Note" dataDxfId="825"/>
  </tableColumns>
  <tableStyleInfo name="TableStyleMedium5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95000000}" name="ZwölfMinLaufHalle_K2" displayName="ZwölfMinLaufHalle_K2" ref="M3:N54" totalsRowShown="0" headerRowDxfId="824" dataDxfId="823">
  <autoFilter ref="M3:N54" xr:uid="{00000000-0009-0000-0100-00006C000000}"/>
  <sortState xmlns:xlrd2="http://schemas.microsoft.com/office/spreadsheetml/2017/richdata2" ref="M4:N34">
    <sortCondition descending="1" ref="M4"/>
  </sortState>
  <tableColumns count="2">
    <tableColumn id="1" xr3:uid="{00000000-0010-0000-9500-000001000000}" name="Resultat" dataDxfId="822"/>
    <tableColumn id="2" xr3:uid="{00000000-0010-0000-9500-000002000000}" name="Note" dataDxfId="821"/>
  </tableColumns>
  <tableStyleInfo name="TableStyleMedium2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96000000}" name="ZwölfMinLaufHalle_M2" displayName="ZwölfMinLaufHalle_M2" ref="P3:Q54" totalsRowShown="0" headerRowDxfId="820" dataDxfId="819">
  <autoFilter ref="P3:Q54" xr:uid="{00000000-0009-0000-0100-00006D000000}"/>
  <sortState xmlns:xlrd2="http://schemas.microsoft.com/office/spreadsheetml/2017/richdata2" ref="P4:Q32">
    <sortCondition descending="1" ref="P4"/>
  </sortState>
  <tableColumns count="2">
    <tableColumn id="1" xr3:uid="{00000000-0010-0000-9600-000001000000}" name="Resultat" dataDxfId="818"/>
    <tableColumn id="2" xr3:uid="{00000000-0010-0000-9600-000002000000}" name="Note" dataDxfId="817"/>
  </tableColumns>
  <tableStyleInfo name="TableStyleMedium5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97000000}" name="ZwölfMinLaufimFreien_K2" displayName="ZwölfMinLaufimFreien_K2" ref="S3:T54" totalsRowShown="0" headerRowDxfId="816" dataDxfId="815">
  <autoFilter ref="S3:T54" xr:uid="{00000000-0009-0000-0100-00006E000000}"/>
  <sortState xmlns:xlrd2="http://schemas.microsoft.com/office/spreadsheetml/2017/richdata2" ref="S4:T55">
    <sortCondition ref="S4:S55"/>
  </sortState>
  <tableColumns count="2">
    <tableColumn id="1" xr3:uid="{00000000-0010-0000-9700-000001000000}" name="Resultat" dataDxfId="814"/>
    <tableColumn id="2" xr3:uid="{00000000-0010-0000-9700-000002000000}" name="Note" dataDxfId="813"/>
  </tableColumns>
  <tableStyleInfo name="TableStyleMedium2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98000000}" name="ZwölfMinLaufimFreien_M2" displayName="ZwölfMinLaufimFreien_M2" ref="V3:W54" totalsRowShown="0" headerRowDxfId="812" dataDxfId="811">
  <autoFilter ref="V3:W54" xr:uid="{00000000-0009-0000-0100-00006F000000}"/>
  <sortState xmlns:xlrd2="http://schemas.microsoft.com/office/spreadsheetml/2017/richdata2" ref="V4:W55">
    <sortCondition ref="V4:V55"/>
  </sortState>
  <tableColumns count="2">
    <tableColumn id="1" xr3:uid="{00000000-0010-0000-9800-000001000000}" name="Resultat" dataDxfId="810"/>
    <tableColumn id="2" xr3:uid="{00000000-0010-0000-9800-000002000000}" name="Note" dataDxfId="809"/>
  </tableColumns>
  <tableStyleInfo name="TableStyleMedium5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99000000}" name="Geräteturnen_K1" displayName="Geräteturnen_K1" ref="A3:B24" totalsRowShown="0" headerRowDxfId="808" dataDxfId="807">
  <autoFilter ref="A3:B24" xr:uid="{00000000-0009-0000-0100-00001C000000}"/>
  <sortState xmlns:xlrd2="http://schemas.microsoft.com/office/spreadsheetml/2017/richdata2" ref="A4:B25">
    <sortCondition ref="A4:A25"/>
  </sortState>
  <tableColumns count="2">
    <tableColumn id="1" xr3:uid="{00000000-0010-0000-9900-000001000000}" name="Resultat" dataDxfId="806"/>
    <tableColumn id="2" xr3:uid="{00000000-0010-0000-9900-000002000000}" name="Note" dataDxfId="805"/>
  </tableColumns>
  <tableStyleInfo name="TableStyleMedium2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9A000000}" name="Geräteturnen_M1" displayName="Geräteturnen_M1" ref="D3:E24" totalsRowShown="0" headerRowDxfId="804" dataDxfId="803">
  <autoFilter ref="D3:E24" xr:uid="{00000000-0009-0000-0100-00001D000000}"/>
  <sortState xmlns:xlrd2="http://schemas.microsoft.com/office/spreadsheetml/2017/richdata2" ref="D4:E25">
    <sortCondition ref="D4:D25"/>
  </sortState>
  <tableColumns count="2">
    <tableColumn id="1" xr3:uid="{00000000-0010-0000-9A00-000001000000}" name="Resultat" dataDxfId="802"/>
    <tableColumn id="2" xr3:uid="{00000000-0010-0000-9A00-000002000000}" name="Note" dataDxfId="801"/>
  </tableColumns>
  <tableStyleInfo name="TableStyleMedium5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9B000000}" name="Parkour_K1" displayName="Parkour_K1" ref="G3:H30" totalsRowShown="0" headerRowDxfId="800" dataDxfId="799">
  <autoFilter ref="G3:H30" xr:uid="{00000000-0009-0000-0100-00001E000000}"/>
  <sortState xmlns:xlrd2="http://schemas.microsoft.com/office/spreadsheetml/2017/richdata2" ref="G4:H31">
    <sortCondition ref="G4:G31"/>
  </sortState>
  <tableColumns count="2">
    <tableColumn id="1" xr3:uid="{00000000-0010-0000-9B00-000001000000}" name="Resultat" dataDxfId="798"/>
    <tableColumn id="2" xr3:uid="{00000000-0010-0000-9B00-000002000000}" name="Note" dataDxfId="797"/>
  </tableColumns>
  <tableStyleInfo name="TableStyleMedium2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9C000000}" name="Parkour_M1" displayName="Parkour_M1" ref="J3:K30" totalsRowShown="0" headerRowDxfId="796" dataDxfId="795">
  <autoFilter ref="J3:K30" xr:uid="{00000000-0009-0000-0100-00001F000000}"/>
  <sortState xmlns:xlrd2="http://schemas.microsoft.com/office/spreadsheetml/2017/richdata2" ref="J4:K31">
    <sortCondition ref="J4:J31"/>
  </sortState>
  <tableColumns count="2">
    <tableColumn id="1" xr3:uid="{00000000-0010-0000-9C00-000001000000}" name="Resultat" dataDxfId="794"/>
    <tableColumn id="2" xr3:uid="{00000000-0010-0000-9C00-000002000000}" name="Note" dataDxfId="793"/>
  </tableColumns>
  <tableStyleInfo name="TableStyleMedium5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9D000000}" name="Geräteturnen_K2" displayName="Geräteturnen_K2" ref="A3:B24" totalsRowShown="0" headerRowDxfId="792" dataDxfId="791">
  <autoFilter ref="A3:B24" xr:uid="{00000000-0009-0000-0100-000070000000}"/>
  <sortState xmlns:xlrd2="http://schemas.microsoft.com/office/spreadsheetml/2017/richdata2" ref="A4:B25">
    <sortCondition ref="A4:A25"/>
  </sortState>
  <tableColumns count="2">
    <tableColumn id="1" xr3:uid="{00000000-0010-0000-9D00-000001000000}" name="Resultat" dataDxfId="790"/>
    <tableColumn id="2" xr3:uid="{00000000-0010-0000-9D00-000002000000}" name="Note" dataDxfId="789"/>
  </tableColumns>
  <tableStyleInfo name="TableStyleMedium2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9E000000}" name="Geräteturnen_M2" displayName="Geräteturnen_M2" ref="D3:E24" totalsRowShown="0" headerRowDxfId="788" dataDxfId="787">
  <autoFilter ref="D3:E24" xr:uid="{00000000-0009-0000-0100-000071000000}"/>
  <sortState xmlns:xlrd2="http://schemas.microsoft.com/office/spreadsheetml/2017/richdata2" ref="D4:E25">
    <sortCondition ref="D4:D25"/>
  </sortState>
  <tableColumns count="2">
    <tableColumn id="1" xr3:uid="{00000000-0010-0000-9E00-000001000000}" name="Resultat" dataDxfId="786"/>
    <tableColumn id="2" xr3:uid="{00000000-0010-0000-9E00-000002000000}" name="Note" dataDxfId="785"/>
  </tableColumns>
  <tableStyleInfo name="TableStyleMedium5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9F000000}" name="Parkour_K2" displayName="Parkour_K2" ref="G3:H30" totalsRowShown="0" headerRowDxfId="784" dataDxfId="783">
  <autoFilter ref="G3:H30" xr:uid="{00000000-0009-0000-0100-000072000000}"/>
  <sortState xmlns:xlrd2="http://schemas.microsoft.com/office/spreadsheetml/2017/richdata2" ref="G4:H31">
    <sortCondition ref="G4:G31"/>
  </sortState>
  <tableColumns count="2">
    <tableColumn id="1" xr3:uid="{00000000-0010-0000-9F00-000001000000}" name="Resultat" dataDxfId="782"/>
    <tableColumn id="2" xr3:uid="{00000000-0010-0000-9F00-000002000000}" name="Note" dataDxfId="781"/>
  </tableColumns>
  <tableStyleInfo name="TableStyleMedium2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A0000000}" name="Parkour_M2" displayName="Parkour_M2" ref="J3:K30" totalsRowShown="0" headerRowDxfId="780" dataDxfId="779">
  <autoFilter ref="J3:K30" xr:uid="{00000000-0009-0000-0100-000073000000}"/>
  <sortState xmlns:xlrd2="http://schemas.microsoft.com/office/spreadsheetml/2017/richdata2" ref="J4:K31">
    <sortCondition ref="J4:J31"/>
  </sortState>
  <tableColumns count="2">
    <tableColumn id="1" xr3:uid="{00000000-0010-0000-A000-000001000000}" name="Resultat" dataDxfId="778"/>
    <tableColumn id="2" xr3:uid="{00000000-0010-0000-A000-000002000000}" name="Note" dataDxfId="777"/>
  </tableColumns>
  <tableStyleInfo name="TableStyleMedium5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A1000000}" name="Tanzen_K1" displayName="Tanzen_K1" ref="A3:B26" totalsRowShown="0" headerRowDxfId="776" dataDxfId="775">
  <autoFilter ref="A3:B26" xr:uid="{00000000-0009-0000-0100-000020000000}"/>
  <sortState xmlns:xlrd2="http://schemas.microsoft.com/office/spreadsheetml/2017/richdata2" ref="A4:B25">
    <sortCondition ref="A4:A25"/>
  </sortState>
  <tableColumns count="2">
    <tableColumn id="1" xr3:uid="{00000000-0010-0000-A100-000001000000}" name="Resultat" dataDxfId="774"/>
    <tableColumn id="2" xr3:uid="{00000000-0010-0000-A100-000002000000}" name="Note" dataDxfId="773"/>
  </tableColumns>
  <tableStyleInfo name="TableStyleMedium2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A2000000}" name="Tanzen_M1" displayName="Tanzen_M1" ref="D3:E26" totalsRowShown="0" headerRowDxfId="772" dataDxfId="771">
  <autoFilter ref="D3:E26" xr:uid="{00000000-0009-0000-0100-000021000000}"/>
  <sortState xmlns:xlrd2="http://schemas.microsoft.com/office/spreadsheetml/2017/richdata2" ref="D4:E25">
    <sortCondition ref="D4:D25"/>
  </sortState>
  <tableColumns count="2">
    <tableColumn id="1" xr3:uid="{00000000-0010-0000-A200-000001000000}" name="Resultat" dataDxfId="770"/>
    <tableColumn id="2" xr3:uid="{00000000-0010-0000-A200-000002000000}" name="Note" dataDxfId="769"/>
  </tableColumns>
  <tableStyleInfo name="TableStyleMedium5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A3000000}" name="RopeSkipping_K1" displayName="RopeSkipping_K1" ref="G3:H20" totalsRowShown="0" headerRowDxfId="768" dataDxfId="767">
  <autoFilter ref="G3:H20" xr:uid="{00000000-0009-0000-0100-000022000000}"/>
  <sortState xmlns:xlrd2="http://schemas.microsoft.com/office/spreadsheetml/2017/richdata2" ref="G4:H20">
    <sortCondition ref="G4:G20"/>
  </sortState>
  <tableColumns count="2">
    <tableColumn id="1" xr3:uid="{00000000-0010-0000-A300-000001000000}" name="Resultat" dataDxfId="766"/>
    <tableColumn id="2" xr3:uid="{00000000-0010-0000-A300-000002000000}" name="Note" dataDxfId="765"/>
  </tableColumns>
  <tableStyleInfo name="TableStyleMedium2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A4000000}" name="RopeSkipping_M1" displayName="RopeSkipping_M1" ref="J3:K20" totalsRowShown="0" headerRowDxfId="764" dataDxfId="763">
  <autoFilter ref="J3:K20" xr:uid="{00000000-0009-0000-0100-000023000000}"/>
  <sortState xmlns:xlrd2="http://schemas.microsoft.com/office/spreadsheetml/2017/richdata2" ref="J4:K20">
    <sortCondition ref="J4:J20"/>
  </sortState>
  <tableColumns count="2">
    <tableColumn id="1" xr3:uid="{00000000-0010-0000-A400-000001000000}" name="Resultat" dataDxfId="762"/>
    <tableColumn id="2" xr3:uid="{00000000-0010-0000-A400-000002000000}" name="Note" dataDxfId="761"/>
  </tableColumns>
  <tableStyleInfo name="TableStyleMedium5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A5000000}" name="Aerobic_K1" displayName="Aerobic_K1" ref="M3:N21" totalsRowShown="0" headerRowDxfId="760" dataDxfId="759">
  <autoFilter ref="M3:N21" xr:uid="{00000000-0009-0000-0100-000024000000}"/>
  <sortState xmlns:xlrd2="http://schemas.microsoft.com/office/spreadsheetml/2017/richdata2" ref="M4:N25">
    <sortCondition ref="M4:M25"/>
  </sortState>
  <tableColumns count="2">
    <tableColumn id="1" xr3:uid="{00000000-0010-0000-A500-000001000000}" name="Resultat" dataDxfId="758"/>
    <tableColumn id="2" xr3:uid="{00000000-0010-0000-A500-000002000000}" name="Note" dataDxfId="757"/>
  </tableColumns>
  <tableStyleInfo name="TableStyleMedium2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A6000000}" name="Aerobic_M1" displayName="Aerobic_M1" ref="P3:Q21" totalsRowShown="0" headerRowDxfId="756" dataDxfId="755">
  <autoFilter ref="P3:Q21" xr:uid="{00000000-0009-0000-0100-000025000000}"/>
  <sortState xmlns:xlrd2="http://schemas.microsoft.com/office/spreadsheetml/2017/richdata2" ref="P4:Q25">
    <sortCondition ref="P4:P25"/>
  </sortState>
  <tableColumns count="2">
    <tableColumn id="1" xr3:uid="{00000000-0010-0000-A600-000001000000}" name="Resultat" dataDxfId="754"/>
    <tableColumn id="2" xr3:uid="{00000000-0010-0000-A600-000002000000}" name="Note" dataDxfId="753"/>
  </tableColumns>
  <tableStyleInfo name="TableStyleMedium5" showFirstColumn="0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A7000000}" name="Tanzen_K2" displayName="Tanzen_K2" ref="A3:B26" totalsRowShown="0" headerRowDxfId="752" dataDxfId="751">
  <autoFilter ref="A3:B26" xr:uid="{00000000-0009-0000-0100-000074000000}"/>
  <sortState xmlns:xlrd2="http://schemas.microsoft.com/office/spreadsheetml/2017/richdata2" ref="A4:B27">
    <sortCondition ref="A4:A27"/>
  </sortState>
  <tableColumns count="2">
    <tableColumn id="1" xr3:uid="{00000000-0010-0000-A700-000001000000}" name="Resultat" dataDxfId="750"/>
    <tableColumn id="2" xr3:uid="{00000000-0010-0000-A700-000002000000}" name="Note" dataDxfId="749"/>
  </tableColumns>
  <tableStyleInfo name="TableStyleMedium2" showFirstColumn="0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A8000000}" name="Tanzen_M2" displayName="Tanzen_M2" ref="D3:E26" totalsRowShown="0" headerRowDxfId="748" dataDxfId="747">
  <autoFilter ref="D3:E26" xr:uid="{00000000-0009-0000-0100-000075000000}"/>
  <sortState xmlns:xlrd2="http://schemas.microsoft.com/office/spreadsheetml/2017/richdata2" ref="D4:E27">
    <sortCondition ref="D4:D27"/>
  </sortState>
  <tableColumns count="2">
    <tableColumn id="1" xr3:uid="{00000000-0010-0000-A800-000001000000}" name="Resultat" dataDxfId="746"/>
    <tableColumn id="2" xr3:uid="{00000000-0010-0000-A800-000002000000}" name="Note" dataDxfId="745"/>
  </tableColumns>
  <tableStyleInfo name="TableStyleMedium5" showFirstColumn="0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A9000000}" name="RopeSkipping_K2" displayName="RopeSkipping_K2" ref="G3:H20" totalsRowShown="0" headerRowDxfId="744" dataDxfId="743">
  <autoFilter ref="G3:H20" xr:uid="{00000000-0009-0000-0100-000076000000}"/>
  <sortState xmlns:xlrd2="http://schemas.microsoft.com/office/spreadsheetml/2017/richdata2" ref="G4:H20">
    <sortCondition ref="G4:G20"/>
  </sortState>
  <tableColumns count="2">
    <tableColumn id="1" xr3:uid="{00000000-0010-0000-A900-000001000000}" name="Resultat" dataDxfId="742"/>
    <tableColumn id="2" xr3:uid="{00000000-0010-0000-A900-000002000000}" name="Note" dataDxfId="741"/>
  </tableColumns>
  <tableStyleInfo name="TableStyleMedium2" showFirstColumn="0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AA000000}" name="RopeSkipping_M2" displayName="RopeSkipping_M2" ref="J3:K20" totalsRowShown="0" headerRowDxfId="740" dataDxfId="739">
  <autoFilter ref="J3:K20" xr:uid="{00000000-0009-0000-0100-000077000000}"/>
  <sortState xmlns:xlrd2="http://schemas.microsoft.com/office/spreadsheetml/2017/richdata2" ref="J4:K20">
    <sortCondition ref="J4:J20"/>
  </sortState>
  <tableColumns count="2">
    <tableColumn id="1" xr3:uid="{00000000-0010-0000-AA00-000001000000}" name="Resultat" dataDxfId="738"/>
    <tableColumn id="2" xr3:uid="{00000000-0010-0000-AA00-000002000000}" name="Note" dataDxfId="737"/>
  </tableColumns>
  <tableStyleInfo name="TableStyleMedium5" showFirstColumn="0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AB000000}" name="Aerobic_K2" displayName="Aerobic_K2" ref="M3:N21" totalsRowShown="0" headerRowDxfId="736" dataDxfId="735">
  <autoFilter ref="M3:N21" xr:uid="{00000000-0009-0000-0100-000078000000}"/>
  <sortState xmlns:xlrd2="http://schemas.microsoft.com/office/spreadsheetml/2017/richdata2" ref="M4:N27">
    <sortCondition ref="M4:M27"/>
  </sortState>
  <tableColumns count="2">
    <tableColumn id="1" xr3:uid="{00000000-0010-0000-AB00-000001000000}" name="Resultat" dataDxfId="734"/>
    <tableColumn id="2" xr3:uid="{00000000-0010-0000-AB00-000002000000}" name="Note" dataDxfId="733"/>
  </tableColumns>
  <tableStyleInfo name="TableStyleMedium2" showFirstColumn="0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AC000000}" name="Aerobic_M2" displayName="Aerobic_M2" ref="P3:Q21" totalsRowShown="0" headerRowDxfId="732" dataDxfId="731">
  <autoFilter ref="P3:Q21" xr:uid="{00000000-0009-0000-0100-000079000000}"/>
  <sortState xmlns:xlrd2="http://schemas.microsoft.com/office/spreadsheetml/2017/richdata2" ref="P4:Q27">
    <sortCondition ref="P4:P27"/>
  </sortState>
  <tableColumns count="2">
    <tableColumn id="1" xr3:uid="{00000000-0010-0000-AC00-000001000000}" name="Resultat" dataDxfId="730"/>
    <tableColumn id="2" xr3:uid="{00000000-0010-0000-AC00-000002000000}" name="Note" dataDxfId="729"/>
  </tableColumns>
  <tableStyleInfo name="TableStyleMedium5" showFirstColumn="0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AD000000}" name="Basketball_K1" displayName="Basketball_K1" ref="A3:B54" totalsRowShown="0" dataDxfId="728">
  <autoFilter ref="A3:B54" xr:uid="{00000000-0009-0000-0100-000004000000}"/>
  <sortState xmlns:xlrd2="http://schemas.microsoft.com/office/spreadsheetml/2017/richdata2" ref="A4:B55">
    <sortCondition descending="1" ref="A4"/>
  </sortState>
  <tableColumns count="2">
    <tableColumn id="1" xr3:uid="{00000000-0010-0000-AD00-000001000000}" name="Resultat" dataDxfId="727"/>
    <tableColumn id="2" xr3:uid="{00000000-0010-0000-AD00-000002000000}" name="Note" dataDxfId="726"/>
  </tableColumns>
  <tableStyleInfo name="TableStyleMedium2" showFirstColumn="0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AE000000}" name="Basketball_M1" displayName="Basketball_M1" ref="D3:E54" totalsRowShown="0" dataDxfId="725">
  <autoFilter ref="D3:E54" xr:uid="{00000000-0009-0000-0100-000005000000}"/>
  <sortState xmlns:xlrd2="http://schemas.microsoft.com/office/spreadsheetml/2017/richdata2" ref="D4:E55">
    <sortCondition descending="1" ref="D4"/>
  </sortState>
  <tableColumns count="2">
    <tableColumn id="1" xr3:uid="{00000000-0010-0000-AE00-000001000000}" name="Resultat" dataDxfId="724"/>
    <tableColumn id="2" xr3:uid="{00000000-0010-0000-AE00-000002000000}" name="Note" dataDxfId="723"/>
  </tableColumns>
  <tableStyleInfo name="TableStyleMedium5" showFirstColumn="0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AF000000}" name="Fussball_K1" displayName="Fussball_K1" ref="G3:H54" totalsRowShown="0">
  <autoFilter ref="G3:H54" xr:uid="{00000000-0009-0000-0100-000001000000}"/>
  <sortState xmlns:xlrd2="http://schemas.microsoft.com/office/spreadsheetml/2017/richdata2" ref="G4:H55">
    <sortCondition descending="1" ref="G4"/>
  </sortState>
  <tableColumns count="2">
    <tableColumn id="1" xr3:uid="{00000000-0010-0000-AF00-000001000000}" name="Resultat" dataDxfId="722"/>
    <tableColumn id="2" xr3:uid="{00000000-0010-0000-AF00-000002000000}" name="Note" dataDxfId="721"/>
  </tableColumns>
  <tableStyleInfo name="TableStyleMedium2" showFirstColumn="0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B0000000}" name="Fussball_M1" displayName="Fussball_M1" ref="J3:K54" totalsRowShown="0" dataDxfId="720">
  <autoFilter ref="J3:K54" xr:uid="{00000000-0009-0000-0100-000002000000}"/>
  <sortState xmlns:xlrd2="http://schemas.microsoft.com/office/spreadsheetml/2017/richdata2" ref="J4:K55">
    <sortCondition descending="1" ref="J4"/>
  </sortState>
  <tableColumns count="2">
    <tableColumn id="1" xr3:uid="{00000000-0010-0000-B000-000001000000}" name="Resultat" dataDxfId="719"/>
    <tableColumn id="2" xr3:uid="{00000000-0010-0000-B000-000002000000}" name="Note" dataDxfId="718"/>
  </tableColumns>
  <tableStyleInfo name="TableStyleMedium5" showFirstColumn="0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B1000000}" name="Handball_K1" displayName="Handball_K1" ref="M3:N54" totalsRowShown="0">
  <autoFilter ref="M3:N54" xr:uid="{00000000-0009-0000-0100-000003000000}"/>
  <sortState xmlns:xlrd2="http://schemas.microsoft.com/office/spreadsheetml/2017/richdata2" ref="M4:N55">
    <sortCondition descending="1" ref="M4"/>
  </sortState>
  <tableColumns count="2">
    <tableColumn id="1" xr3:uid="{00000000-0010-0000-B100-000001000000}" name="Resultat" dataDxfId="717"/>
    <tableColumn id="2" xr3:uid="{00000000-0010-0000-B100-000002000000}" name="Note" dataDxfId="716"/>
  </tableColumns>
  <tableStyleInfo name="TableStyleMedium2" showFirstColumn="0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B2000000}" name="Handball_M1" displayName="Handball_M1" ref="P3:Q54" totalsRowShown="0">
  <autoFilter ref="P3:Q54" xr:uid="{00000000-0009-0000-0100-00000B000000}"/>
  <sortState xmlns:xlrd2="http://schemas.microsoft.com/office/spreadsheetml/2017/richdata2" ref="P4:Q55">
    <sortCondition descending="1" ref="P4"/>
  </sortState>
  <tableColumns count="2">
    <tableColumn id="1" xr3:uid="{00000000-0010-0000-B200-000001000000}" name="Resultat" dataDxfId="715"/>
    <tableColumn id="2" xr3:uid="{00000000-0010-0000-B200-000002000000}" name="Note" dataDxfId="714"/>
  </tableColumns>
  <tableStyleInfo name="TableStyleMedium5" showFirstColumn="0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B3000000}" name="Unihockey_K1" displayName="Unihockey_K1" ref="S3:T54" totalsRowShown="0">
  <autoFilter ref="S3:T54" xr:uid="{00000000-0009-0000-0100-00000C000000}"/>
  <sortState xmlns:xlrd2="http://schemas.microsoft.com/office/spreadsheetml/2017/richdata2" ref="S4:T55">
    <sortCondition descending="1" ref="S4"/>
  </sortState>
  <tableColumns count="2">
    <tableColumn id="1" xr3:uid="{00000000-0010-0000-B300-000001000000}" name="Resultat" dataDxfId="713"/>
    <tableColumn id="2" xr3:uid="{00000000-0010-0000-B300-000002000000}" name="Note" dataDxfId="712"/>
  </tableColumns>
  <tableStyleInfo name="TableStyleMedium2" showFirstColumn="0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B4000000}" name="Unihockey_M1" displayName="Unihockey_M1" ref="V3:W54" totalsRowShown="0">
  <autoFilter ref="V3:W54" xr:uid="{00000000-0009-0000-0100-00000D000000}"/>
  <sortState xmlns:xlrd2="http://schemas.microsoft.com/office/spreadsheetml/2017/richdata2" ref="V4:W55">
    <sortCondition descending="1" ref="V4"/>
  </sortState>
  <tableColumns count="2">
    <tableColumn id="1" xr3:uid="{00000000-0010-0000-B400-000001000000}" name="Resultat" dataDxfId="711"/>
    <tableColumn id="2" xr3:uid="{00000000-0010-0000-B400-000002000000}" name="Note" dataDxfId="710"/>
  </tableColumns>
  <tableStyleInfo name="TableStyleMedium5" showFirstColumn="0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B5000000}" name="Volleyball_K1" displayName="Volleyball_K1" ref="Y3:Z27" totalsRowShown="0">
  <autoFilter ref="Y3:Z27" xr:uid="{00000000-0009-0000-0100-00000E000000}"/>
  <sortState xmlns:xlrd2="http://schemas.microsoft.com/office/spreadsheetml/2017/richdata2" ref="Y4:Z33">
    <sortCondition ref="Y4"/>
  </sortState>
  <tableColumns count="2">
    <tableColumn id="1" xr3:uid="{00000000-0010-0000-B500-000001000000}" name="Resultat" dataDxfId="709"/>
    <tableColumn id="2" xr3:uid="{00000000-0010-0000-B500-000002000000}" name="Note" dataDxfId="708"/>
  </tableColumns>
  <tableStyleInfo name="TableStyleMedium2" showFirstColumn="0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B6000000}" name="Volleyball_M1" displayName="Volleyball_M1" ref="AB3:AC27" totalsRowShown="0">
  <autoFilter ref="AB3:AC27" xr:uid="{00000000-0009-0000-0100-00000F000000}"/>
  <sortState xmlns:xlrd2="http://schemas.microsoft.com/office/spreadsheetml/2017/richdata2" ref="AB4:AC33">
    <sortCondition ref="AB4"/>
  </sortState>
  <tableColumns count="2">
    <tableColumn id="1" xr3:uid="{00000000-0010-0000-B600-000001000000}" name="Resultat" dataDxfId="707"/>
    <tableColumn id="2" xr3:uid="{00000000-0010-0000-B600-000002000000}" name="Note" dataDxfId="706"/>
  </tableColumns>
  <tableStyleInfo name="TableStyleMedium5" showFirstColumn="0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B7000000}" name="Basketball_K2" displayName="Basketball_K2" ref="A3:B54" totalsRowShown="0" dataDxfId="705">
  <autoFilter ref="A3:B54" xr:uid="{00000000-0009-0000-0100-00007A000000}"/>
  <sortState xmlns:xlrd2="http://schemas.microsoft.com/office/spreadsheetml/2017/richdata2" ref="A4:B55">
    <sortCondition descending="1" ref="A4"/>
  </sortState>
  <tableColumns count="2">
    <tableColumn id="1" xr3:uid="{00000000-0010-0000-B700-000001000000}" name="Resultat" dataDxfId="704"/>
    <tableColumn id="2" xr3:uid="{00000000-0010-0000-B700-000002000000}" name="Note" dataDxfId="703"/>
  </tableColumns>
  <tableStyleInfo name="TableStyleMedium2" showFirstColumn="0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B8000000}" name="Basketball_M2" displayName="Basketball_M2" ref="D3:E54" totalsRowShown="0" dataDxfId="702">
  <autoFilter ref="D3:E54" xr:uid="{00000000-0009-0000-0100-00007B000000}"/>
  <sortState xmlns:xlrd2="http://schemas.microsoft.com/office/spreadsheetml/2017/richdata2" ref="D4:E55">
    <sortCondition descending="1" ref="D4"/>
  </sortState>
  <tableColumns count="2">
    <tableColumn id="1" xr3:uid="{00000000-0010-0000-B800-000001000000}" name="Resultat" dataDxfId="701"/>
    <tableColumn id="2" xr3:uid="{00000000-0010-0000-B800-000002000000}" name="Note" dataDxfId="700"/>
  </tableColumns>
  <tableStyleInfo name="TableStyleMedium5" showFirstColumn="0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B9000000}" name="Fussball_K2" displayName="Fussball_K2" ref="G3:H54" totalsRowShown="0">
  <autoFilter ref="G3:H54" xr:uid="{00000000-0009-0000-0100-00007C000000}"/>
  <sortState xmlns:xlrd2="http://schemas.microsoft.com/office/spreadsheetml/2017/richdata2" ref="G4:H55">
    <sortCondition descending="1" ref="G4"/>
  </sortState>
  <tableColumns count="2">
    <tableColumn id="1" xr3:uid="{00000000-0010-0000-B900-000001000000}" name="Resultat" dataDxfId="699"/>
    <tableColumn id="2" xr3:uid="{00000000-0010-0000-B900-000002000000}" name="Note" dataDxfId="698"/>
  </tableColumns>
  <tableStyleInfo name="TableStyleMedium2" showFirstColumn="0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BA000000}" name="Fussball_M2" displayName="Fussball_M2" ref="J3:K54" totalsRowShown="0" dataDxfId="697">
  <autoFilter ref="J3:K54" xr:uid="{00000000-0009-0000-0100-00007D000000}"/>
  <sortState xmlns:xlrd2="http://schemas.microsoft.com/office/spreadsheetml/2017/richdata2" ref="J4:K55">
    <sortCondition descending="1" ref="J4"/>
  </sortState>
  <tableColumns count="2">
    <tableColumn id="1" xr3:uid="{00000000-0010-0000-BA00-000001000000}" name="Resultat" dataDxfId="696"/>
    <tableColumn id="2" xr3:uid="{00000000-0010-0000-BA00-000002000000}" name="Note" dataDxfId="695"/>
  </tableColumns>
  <tableStyleInfo name="TableStyleMedium5" showFirstColumn="0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BB000000}" name="Handball_K2" displayName="Handball_K2" ref="M3:N54" totalsRowShown="0">
  <autoFilter ref="M3:N54" xr:uid="{00000000-0009-0000-0100-00007E000000}"/>
  <sortState xmlns:xlrd2="http://schemas.microsoft.com/office/spreadsheetml/2017/richdata2" ref="M4:N55">
    <sortCondition descending="1" ref="M4"/>
  </sortState>
  <tableColumns count="2">
    <tableColumn id="1" xr3:uid="{00000000-0010-0000-BB00-000001000000}" name="Resultat" dataDxfId="694"/>
    <tableColumn id="2" xr3:uid="{00000000-0010-0000-BB00-000002000000}" name="Note" dataDxfId="693"/>
  </tableColumns>
  <tableStyleInfo name="TableStyleMedium2" showFirstColumn="0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BC000000}" name="Handball_M2" displayName="Handball_M2" ref="P3:Q54" totalsRowShown="0">
  <autoFilter ref="P3:Q54" xr:uid="{00000000-0009-0000-0100-00007F000000}"/>
  <sortState xmlns:xlrd2="http://schemas.microsoft.com/office/spreadsheetml/2017/richdata2" ref="P4:Q55">
    <sortCondition descending="1" ref="P4"/>
  </sortState>
  <tableColumns count="2">
    <tableColumn id="1" xr3:uid="{00000000-0010-0000-BC00-000001000000}" name="Resultat" dataDxfId="692"/>
    <tableColumn id="2" xr3:uid="{00000000-0010-0000-BC00-000002000000}" name="Note" dataDxfId="691"/>
  </tableColumns>
  <tableStyleInfo name="TableStyleMedium5" showFirstColumn="0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BD000000}" name="Unihockey_K2" displayName="Unihockey_K2" ref="S3:T54" totalsRowShown="0">
  <autoFilter ref="S3:T54" xr:uid="{00000000-0009-0000-0100-000080000000}"/>
  <sortState xmlns:xlrd2="http://schemas.microsoft.com/office/spreadsheetml/2017/richdata2" ref="S4:T55">
    <sortCondition descending="1" ref="S4"/>
  </sortState>
  <tableColumns count="2">
    <tableColumn id="1" xr3:uid="{00000000-0010-0000-BD00-000001000000}" name="Resultat" dataDxfId="690"/>
    <tableColumn id="2" xr3:uid="{00000000-0010-0000-BD00-000002000000}" name="Note" dataDxfId="689"/>
  </tableColumns>
  <tableStyleInfo name="TableStyleMedium2" showFirstColumn="0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BE000000}" name="Unihockey_M2" displayName="Unihockey_M2" ref="V3:W54" totalsRowShown="0">
  <autoFilter ref="V3:W54" xr:uid="{00000000-0009-0000-0100-000081000000}"/>
  <sortState xmlns:xlrd2="http://schemas.microsoft.com/office/spreadsheetml/2017/richdata2" ref="V4:W55">
    <sortCondition descending="1" ref="V4"/>
  </sortState>
  <tableColumns count="2">
    <tableColumn id="1" xr3:uid="{00000000-0010-0000-BE00-000001000000}" name="Resultat" dataDxfId="688"/>
    <tableColumn id="2" xr3:uid="{00000000-0010-0000-BE00-000002000000}" name="Note" dataDxfId="687"/>
  </tableColumns>
  <tableStyleInfo name="TableStyleMedium5" showFirstColumn="0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BF000000}" name="Volleyball_K2" displayName="Volleyball_K2" ref="Y3:Z26" totalsRowShown="0">
  <autoFilter ref="Y3:Z26" xr:uid="{00000000-0009-0000-0100-000082000000}"/>
  <sortState xmlns:xlrd2="http://schemas.microsoft.com/office/spreadsheetml/2017/richdata2" ref="Y4:Z35">
    <sortCondition ref="Y4"/>
  </sortState>
  <tableColumns count="2">
    <tableColumn id="1" xr3:uid="{00000000-0010-0000-BF00-000001000000}" name="Resultat" dataDxfId="686"/>
    <tableColumn id="2" xr3:uid="{00000000-0010-0000-BF00-000002000000}" name="Note" dataDxfId="685"/>
  </tableColumns>
  <tableStyleInfo name="TableStyleMedium2" showFirstColumn="0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C0000000}" name="Volleyball_M2" displayName="Volleyball_M2" ref="AB3:AC26" totalsRowShown="0">
  <autoFilter ref="AB3:AC26" xr:uid="{00000000-0009-0000-0100-000083000000}"/>
  <sortState xmlns:xlrd2="http://schemas.microsoft.com/office/spreadsheetml/2017/richdata2" ref="AB4:AC35">
    <sortCondition ref="AB4"/>
  </sortState>
  <tableColumns count="2">
    <tableColumn id="1" xr3:uid="{00000000-0010-0000-C000-000001000000}" name="Resultat" dataDxfId="684"/>
    <tableColumn id="2" xr3:uid="{00000000-0010-0000-C000-000002000000}" name="Note" dataDxfId="683"/>
  </tableColumns>
  <tableStyleInfo name="TableStyleMedium5" showFirstColumn="0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C1000000}" name="Gleiten_Knaben" displayName="Gleiten_Knaben" ref="A3:A6" totalsRowShown="0" headerRowDxfId="682" dataDxfId="681">
  <autoFilter ref="A3:A6" xr:uid="{00000000-0009-0000-0100-000054000000}"/>
  <tableColumns count="1">
    <tableColumn id="1" xr3:uid="{00000000-0010-0000-C100-000001000000}" name="Status" dataDxfId="680">
      <calculatedColumnFormula>$E$3&amp;" "&amp;$E$2</calculatedColumnFormula>
    </tableColumn>
  </tableColumns>
  <tableStyleInfo name="TableStyleMedium2" showFirstColumn="0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C2000000}" name="Gleiten_Mädchen" displayName="Gleiten_Mädchen" ref="C3:C6" totalsRowShown="0" headerRowDxfId="679" dataDxfId="678">
  <autoFilter ref="C3:C6" xr:uid="{00000000-0009-0000-0100-000055000000}"/>
  <tableColumns count="1">
    <tableColumn id="1" xr3:uid="{00000000-0010-0000-C200-000001000000}" name="Status" dataDxfId="677">
      <calculatedColumnFormula>$E$3&amp;" "&amp;$E$2</calculatedColumnFormula>
    </tableColumn>
  </tableColumns>
  <tableStyleInfo name="TableStyleMedium5" showFirstColumn="0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C3000000}" name="Schwimmen_Knaben" displayName="Schwimmen_Knaben" ref="A3:C13" totalsRowShown="0" headerRowDxfId="676" dataDxfId="675">
  <autoFilter ref="A3:C13" xr:uid="{00000000-0009-0000-0100-00003E000000}"/>
  <sortState xmlns:xlrd2="http://schemas.microsoft.com/office/spreadsheetml/2017/richdata2" ref="A4:C6">
    <sortCondition descending="1" ref="A4"/>
  </sortState>
  <tableColumns count="3">
    <tableColumn id="1" xr3:uid="{00000000-0010-0000-C300-000001000000}" name="Resultat" dataDxfId="674">
      <calculatedColumnFormula array="1">SMALL(Schwimmen_Umrechnung_Knaben[Resultat_K],ROW()-(ROW(Schwimmen_Knaben[#Headers])))</calculatedColumnFormula>
    </tableColumn>
    <tableColumn id="3" xr3:uid="{4FA0CD60-FDEE-437D-9FDA-41F518345284}" name="Anzeige" dataDxfId="673">
      <calculatedColumnFormula array="1">INDEX(Schwimmen_Umrechnung_Knaben[ResultatMin_K]&amp;"'"&amp;TEXT(Schwimmen_Umrechnung_Knaben[ResultatSek_K],"00")&amp;"''",MATCH(Schwimmen_Knaben[[#This Row],[Resultat]],Schwimmen_Umrechnung_Knaben[Resultat_K],0))</calculatedColumnFormula>
    </tableColumn>
    <tableColumn id="2" xr3:uid="{00000000-0010-0000-C300-000002000000}" name="Note" dataDxfId="672"/>
  </tableColumns>
  <tableStyleInfo name="TableStyleMedium2" showFirstColumn="0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C4000000}" name="Schwimmen_Mädchen" displayName="Schwimmen_Mädchen" ref="E3:G13" totalsRowShown="0" headerRowDxfId="671" dataDxfId="670">
  <autoFilter ref="E3:G13" xr:uid="{00000000-0009-0000-0100-00003F000000}"/>
  <sortState xmlns:xlrd2="http://schemas.microsoft.com/office/spreadsheetml/2017/richdata2" ref="E4:G6">
    <sortCondition ref="E4"/>
  </sortState>
  <tableColumns count="3">
    <tableColumn id="1" xr3:uid="{00000000-0010-0000-C400-000001000000}" name="Resultat" dataDxfId="669"/>
    <tableColumn id="3" xr3:uid="{63A5B4BA-A0EE-4963-A76F-1E80F82C5E73}" name="Anzeige" dataDxfId="668">
      <calculatedColumnFormula array="1">INDEX(Schwimmen_Umrechnung_Mädchen[ResultatMin_M]&amp;"'"&amp;TEXT(Schwimmen_Umrechnung_Mädchen[ResultatSek_M],"00")&amp;"''",MATCH(Schwimmen_Mädchen[[#This Row],[Resultat]],Schwimmen_Umrechnung_Mädchen[Resultat_M],0))</calculatedColumnFormula>
    </tableColumn>
    <tableColumn id="2" xr3:uid="{00000000-0010-0000-C400-000002000000}" name="Note" dataDxfId="667"/>
  </tableColumns>
  <tableStyleInfo name="TableStyleMedium5" showFirstColumn="0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0" xr:uid="{85FC40E3-C900-48BB-9757-7BB0F2F0DF12}" name="Schwimmen_Umrechnung_Knaben" displayName="Schwimmen_Umrechnung_Knaben" ref="I3:K13" totalsRowShown="0" dataDxfId="666">
  <autoFilter ref="I3:K13" xr:uid="{85FC40E3-C900-48BB-9757-7BB0F2F0DF12}"/>
  <tableColumns count="3">
    <tableColumn id="1" xr3:uid="{531DD737-8859-43B1-AC73-63BFE58693A3}" name="ResultatMin_K" dataDxfId="665"/>
    <tableColumn id="2" xr3:uid="{09440496-53BE-4E8D-8E30-AECF5C86B0DA}" name="ResultatSek_K" dataDxfId="664"/>
    <tableColumn id="3" xr3:uid="{168F1FD7-FF52-48C0-88C5-1392EC2FE367}" name="Resultat_K" dataDxfId="663">
      <calculatedColumnFormula>(Schwimmen_Umrechnung_Knaben[[#This Row],[ResultatMin_K]]*$K$1)+Schwimmen_Umrechnung_Knaben[[#This Row],[ResultatSek_K]]</calculatedColumnFormula>
    </tableColumn>
  </tableColumns>
  <tableStyleInfo name="TableStyleMedium4" showFirstColumn="0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1" xr:uid="{98CAC155-A09C-434C-BC0B-D1B8EEA52E5D}" name="Schwimmen_Umrechnung_Mädchen" displayName="Schwimmen_Umrechnung_Mädchen" ref="M3:O13" totalsRowShown="0">
  <autoFilter ref="M3:O13" xr:uid="{98CAC155-A09C-434C-BC0B-D1B8EEA52E5D}"/>
  <tableColumns count="3">
    <tableColumn id="1" xr3:uid="{A85BA524-2355-40B2-8B4C-BF3E0DEE105C}" name="ResultatMin_M"/>
    <tableColumn id="2" xr3:uid="{6C617D66-4727-4A14-BF98-9E3365957914}" name="ResultatSek_M" dataDxfId="662"/>
    <tableColumn id="3" xr3:uid="{78B8427B-4980-4E28-A37B-CF295A98F547}" name="Resultat_M" dataDxfId="661">
      <calculatedColumnFormula>(Schwimmen_Umrechnung_Mädchen[[#This Row],[ResultatMin_M]]*$K$1)+Schwimmen_Umrechnung_Mädchen[[#This Row],[ResultatSek_M]]</calculatedColumnFormula>
    </tableColumn>
  </tableColumns>
  <tableStyleInfo name="TableStyleMedium4" showFirstColumn="0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C5000000}" name="Beweglichkeit_Knaben" displayName="Beweglichkeit_Knaben" ref="A3:B21" totalsRowShown="0">
  <autoFilter ref="A3:B21" xr:uid="{00000000-0009-0000-0100-000038000000}"/>
  <sortState xmlns:xlrd2="http://schemas.microsoft.com/office/spreadsheetml/2017/richdata2" ref="A4:B22">
    <sortCondition ref="A4"/>
  </sortState>
  <tableColumns count="2">
    <tableColumn id="1" xr3:uid="{00000000-0010-0000-C500-000001000000}" name="Resultat" dataDxfId="660"/>
    <tableColumn id="2" xr3:uid="{00000000-0010-0000-C500-000002000000}" name="Note" dataDxfId="659"/>
  </tableColumns>
  <tableStyleInfo name="TableStyleMedium2" showFirstColumn="0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C6000000}" name="Beweglichkeit_Mädchen" displayName="Beweglichkeit_Mädchen" ref="D3:E25" totalsRowShown="0">
  <autoFilter ref="D3:E25" xr:uid="{00000000-0009-0000-0100-000039000000}"/>
  <sortState xmlns:xlrd2="http://schemas.microsoft.com/office/spreadsheetml/2017/richdata2" ref="D4:E26">
    <sortCondition ref="D4"/>
  </sortState>
  <tableColumns count="2">
    <tableColumn id="1" xr3:uid="{00000000-0010-0000-C600-000001000000}" name="Resultat" dataDxfId="658"/>
    <tableColumn id="2" xr3:uid="{00000000-0010-0000-C600-000002000000}" name="Note" dataDxfId="657"/>
  </tableColumns>
  <tableStyleInfo name="TableStyleMedium5" showFirstColumn="0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C7000000}" name="Rumpfkraft_Knaben" displayName="Rumpfkraft_Knaben" ref="G3:H35" totalsRowShown="0">
  <autoFilter ref="G3:H35" xr:uid="{00000000-0009-0000-0100-00003A000000}"/>
  <sortState xmlns:xlrd2="http://schemas.microsoft.com/office/spreadsheetml/2017/richdata2" ref="G4:H36">
    <sortCondition ref="G4"/>
  </sortState>
  <tableColumns count="2">
    <tableColumn id="1" xr3:uid="{00000000-0010-0000-C700-000001000000}" name="Resultat" dataDxfId="656"/>
    <tableColumn id="2" xr3:uid="{00000000-0010-0000-C700-000002000000}" name="Note" dataDxfId="655"/>
  </tableColumns>
  <tableStyleInfo name="TableStyleMedium2" showFirstColumn="0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C8000000}" name="Rumpfkraft_Mädchen" displayName="Rumpfkraft_Mädchen" ref="J3:K45" totalsRowShown="0">
  <autoFilter ref="J3:K45" xr:uid="{00000000-0009-0000-0100-00003B000000}"/>
  <sortState xmlns:xlrd2="http://schemas.microsoft.com/office/spreadsheetml/2017/richdata2" ref="J4:K46">
    <sortCondition ref="J4"/>
  </sortState>
  <tableColumns count="2">
    <tableColumn id="1" xr3:uid="{00000000-0010-0000-C800-000001000000}" name="Resultat" dataDxfId="654"/>
    <tableColumn id="2" xr3:uid="{00000000-0010-0000-C800-000002000000}" name="Note" dataDxfId="653"/>
  </tableColumns>
  <tableStyleInfo name="TableStyleMedium5" showFirstColumn="0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C9000000}" name="Konditionsparcours_K1" displayName="Konditionsparcours_K1" ref="M3:N54" totalsRowShown="0" headerRowDxfId="652" dataDxfId="651">
  <autoFilter ref="M3:N54" xr:uid="{00000000-0009-0000-0100-00003C000000}"/>
  <sortState xmlns:xlrd2="http://schemas.microsoft.com/office/spreadsheetml/2017/richdata2" ref="M4:N55">
    <sortCondition ref="M4"/>
  </sortState>
  <tableColumns count="2">
    <tableColumn id="1" xr3:uid="{00000000-0010-0000-C900-000001000000}" name="Resultat" dataDxfId="650"/>
    <tableColumn id="2" xr3:uid="{00000000-0010-0000-C900-000002000000}" name="Note" dataDxfId="649"/>
  </tableColumns>
  <tableStyleInfo name="TableStyleMedium2" showFirstColumn="0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CA000000}" name="Konditionsparcours_M1" displayName="Konditionsparcours_M1" ref="P3:Q54" totalsRowShown="0">
  <autoFilter ref="P3:Q54" xr:uid="{00000000-0009-0000-0100-00003D000000}"/>
  <sortState xmlns:xlrd2="http://schemas.microsoft.com/office/spreadsheetml/2017/richdata2" ref="P4:Q55">
    <sortCondition ref="P4"/>
  </sortState>
  <tableColumns count="2">
    <tableColumn id="1" xr3:uid="{00000000-0010-0000-CA00-000001000000}" name="Resultat" dataDxfId="648"/>
    <tableColumn id="2" xr3:uid="{00000000-0010-0000-CA00-000002000000}" name="Note" dataDxfId="647"/>
  </tableColumns>
  <tableStyleInfo name="TableStyleMedium5" showFirstColumn="0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CB000000}" name="Konditionsparcours_K2" displayName="Konditionsparcours_K2" ref="S3:T54" totalsRowShown="0" headerRowDxfId="646" dataDxfId="645">
  <autoFilter ref="S3:T54" xr:uid="{00000000-0009-0000-0100-000084000000}"/>
  <sortState xmlns:xlrd2="http://schemas.microsoft.com/office/spreadsheetml/2017/richdata2" ref="S4:T55">
    <sortCondition ref="S4"/>
  </sortState>
  <tableColumns count="2">
    <tableColumn id="1" xr3:uid="{00000000-0010-0000-CB00-000001000000}" name="Resultat" dataDxfId="644"/>
    <tableColumn id="2" xr3:uid="{00000000-0010-0000-CB00-000002000000}" name="Note" dataDxfId="643"/>
  </tableColumns>
  <tableStyleInfo name="TableStyleMedium2" showFirstColumn="0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CC000000}" name="Konditionsparcours_M2" displayName="Konditionsparcours_M2" ref="V3:W54" totalsRowShown="0">
  <autoFilter ref="V3:W54" xr:uid="{00000000-0009-0000-0100-000085000000}"/>
  <sortState xmlns:xlrd2="http://schemas.microsoft.com/office/spreadsheetml/2017/richdata2" ref="V4:W55">
    <sortCondition ref="V4"/>
  </sortState>
  <tableColumns count="2">
    <tableColumn id="1" xr3:uid="{00000000-0010-0000-CC00-000001000000}" name="Resultat" dataDxfId="642"/>
    <tableColumn id="2" xr3:uid="{00000000-0010-0000-CC00-000002000000}" name="Note" dataDxfId="641"/>
  </tableColumns>
  <tableStyleInfo name="TableStyleMedium5" showFirstColumn="0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CD000000}" name="StdGeschlecht" displayName="StdGeschlecht" ref="D5:F7" totalsRowShown="0">
  <autoFilter ref="D5:F7" xr:uid="{00000000-0009-0000-0100-000007000000}"/>
  <tableColumns count="3">
    <tableColumn id="2" xr3:uid="{00000000-0010-0000-CD00-000002000000}" name="StdGeschlecht"/>
    <tableColumn id="1" xr3:uid="{C5DAC081-73B5-4F38-AA60-DC1DB7557C7D}" name="1" dataDxfId="640">
      <calculatedColumnFormula>StdGeschlecht[[#This Row],[StdGeschlecht]]&amp;"_"&amp;LEFT(StdGeschlecht[[#This Row],[StdGeschlecht]],1)&amp;StdGeschlecht[[#Headers],[1]]</calculatedColumnFormula>
    </tableColumn>
    <tableColumn id="3" xr3:uid="{695E656B-D5FE-415B-A067-5B04EDA098D0}" name="2" dataDxfId="639">
      <calculatedColumnFormula>StdGeschlecht[[#This Row],[StdGeschlecht]]&amp;"_"&amp;LEFT(StdGeschlecht[[#This Row],[StdGeschlecht]],1)&amp;StdGeschlecht[[#Headers],[2]]</calculatedColumnFormula>
    </tableColumn>
  </tableColumns>
  <tableStyleInfo name="TableStyleMedium2" showFirstColumn="0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CF000000}" name="StdBewertungen" displayName="StdBewertungen" ref="BU16:BV25" totalsRowShown="0">
  <autoFilter ref="BU16:BV25" xr:uid="{00000000-0009-0000-0100-000011000000}"/>
  <tableColumns count="2">
    <tableColumn id="1" xr3:uid="{00000000-0010-0000-CF00-000001000000}" name="StdBewertung"/>
    <tableColumn id="2" xr3:uid="{00000000-0010-0000-CF00-000002000000}" name="Anzeigetext"/>
  </tableColumns>
  <tableStyleInfo name="TableStyleMedium2" showFirstColumn="0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D0000000}" name="StdDisziplinen" displayName="StdDisziplinen" ref="L5:BK41" totalsRowShown="0">
  <autoFilter ref="L5:BK41" xr:uid="{00000000-0009-0000-0100-000012000000}"/>
  <tableColumns count="52">
    <tableColumn id="10" xr3:uid="{00000000-0010-0000-D000-00000A000000}" name="ID" dataDxfId="638">
      <calculatedColumnFormula array="1">ROW()-ROW(StdDisziplinen[#Headers])</calculatedColumnFormula>
    </tableColumn>
    <tableColumn id="3" xr3:uid="{00000000-0010-0000-D000-000003000000}" name="BS-Nr." dataDxfId="637"/>
    <tableColumn id="6" xr3:uid="{00000000-0010-0000-D000-000006000000}" name="Fit0" dataDxfId="636"/>
    <tableColumn id="4" xr3:uid="{00000000-0010-0000-D000-000004000000}" name="Gruppe" dataDxfId="635"/>
    <tableColumn id="7" xr3:uid="{00000000-0010-0000-D000-000007000000}" name="Fit1" dataDxfId="634"/>
    <tableColumn id="5" xr3:uid="{00000000-0010-0000-D000-000005000000}" name="Fähigkeit" dataDxfId="633"/>
    <tableColumn id="1" xr3:uid="{00000000-0010-0000-D000-000001000000}" name="StdDisziplin"/>
    <tableColumn id="8" xr3:uid="{00000000-0010-0000-D000-000008000000}" name="StdTabÜberschrift" dataDxfId="632">
      <calculatedColumnFormula>StdDisziplinen[[#This Row],[StdDisziplin]]</calculatedColumnFormula>
    </tableColumn>
    <tableColumn id="30" xr3:uid="{494EA231-90D7-458F-B415-0773601FB3DC}" name="StdTabMax">
      <calculatedColumnFormula>LEFT(S6,4)</calculatedColumnFormula>
    </tableColumn>
    <tableColumn id="34" xr3:uid="{EE7DFBA1-E7A1-4E52-94DC-47FCC0FB072A}" name="StdTabPos" dataDxfId="631">
      <calculatedColumnFormula>LEN(StdDisziplinen[[#This Row],[StdTabÜberschrift]])+$U$3</calculatedColumnFormula>
    </tableColumn>
    <tableColumn id="28" xr3:uid="{82981309-7F47-4102-ADA1-9AAE5A2DF873}" name="StdTabResultat" dataDxfId="630">
      <calculatedColumnFormula>StdDisziplinen[[#This Row],[StdTabÜberschrift]]&amp;$V$2</calculatedColumnFormula>
    </tableColumn>
    <tableColumn id="31" xr3:uid="{24D043EF-C238-440F-BB22-719BCA1D7436}" name="StdTabResEin" dataDxfId="629">
      <calculatedColumnFormula>StdDisziplinen[[#This Row],[StdTabResultat]]&amp;$W$3</calculatedColumnFormula>
    </tableColumn>
    <tableColumn id="45" xr3:uid="{E5B19896-03E8-4406-A011-D5D3E2790E95}" name="StdTabResRes" dataDxfId="628">
      <calculatedColumnFormula>StdDisziplinen[[#This Row],[StdTabResultat]]&amp;$X$3</calculatedColumnFormula>
    </tableColumn>
    <tableColumn id="23" xr3:uid="{A1C36169-818A-48DD-9387-FAC0B5654B5B}" name="StdTabGerundet" dataDxfId="627">
      <calculatedColumnFormula>StdDisziplinen[[#This Row],[StdTabÜberschrift]]&amp;$Y$2</calculatedColumnFormula>
    </tableColumn>
    <tableColumn id="32" xr3:uid="{D32ADDB5-2C1F-48F0-8AEE-402530443551}" name="StdTabGerRun" dataDxfId="626">
      <calculatedColumnFormula>StdDisziplinen[[#This Row],[StdTabGerundet]]&amp;$Z$3</calculatedColumnFormula>
    </tableColumn>
    <tableColumn id="13" xr3:uid="{00000000-0010-0000-D000-00000D000000}" name="TabÜberschriftResultat" dataDxfId="625">
      <calculatedColumnFormula>StdDisziplinen[[#This Row],[StdTabÜberschrift]]&amp;$AA$3&amp;$AA$2</calculatedColumnFormula>
    </tableColumn>
    <tableColumn id="33" xr3:uid="{5F9F1ED5-32DE-4C33-985A-DB7E34C5700A}" name="TabÜberschriftSkala" dataDxfId="624">
      <calculatedColumnFormula>StdDisziplinen[[#This Row],[StdTabÜberschrift]]&amp;$AB$2&amp;$AB$3</calculatedColumnFormula>
    </tableColumn>
    <tableColumn id="12" xr3:uid="{00000000-0010-0000-D000-00000C000000}" name="TabÜberschriftNote" dataDxfId="623">
      <calculatedColumnFormula>StdDisziplinen[[#This Row],[StdTabÜberschrift]]&amp;$AC$3&amp;"["&amp;StdDisziplinen[[#This Row],[Ergebnis]]&amp;"]"</calculatedColumnFormula>
    </tableColumn>
    <tableColumn id="14" xr3:uid="{00000000-0010-0000-D000-00000E000000}" name="TabÜberschriftDurchschnitt" dataDxfId="622">
      <calculatedColumnFormula>StdDisziplinen[[#This Row],[StdTabÜberschrift]]&amp;StdDisziplinen[[#This Row],[Ergebnis]]&amp;"[@["&amp;StdDisziplinen[[#This Row],[Ergebnis]]&amp;"]]"</calculatedColumnFormula>
    </tableColumn>
    <tableColumn id="17" xr3:uid="{00000000-0010-0000-D000-000011000000}" name="BereichBedingteFormatierung" dataDxfId="621">
      <calculatedColumnFormula>StdDisziplinen[[#This Row],[StdTabResultat]]&amp;$AE$2</calculatedColumnFormula>
    </tableColumn>
    <tableColumn id="15" xr3:uid="{00000000-0010-0000-D000-00000F000000}" name="Resultatform" dataDxfId="620"/>
    <tableColumn id="2" xr3:uid="{00000000-0010-0000-D000-000002000000}" name="Bewertung"/>
    <tableColumn id="24" xr3:uid="{00000000-0010-0000-D000-000018000000}" name="Bewertung2" dataDxfId="619">
      <calculatedColumnFormula>StdDisziplinen[[#This Row],[Bewertung]]</calculatedColumnFormula>
    </tableColumn>
    <tableColumn id="11" xr3:uid="{00000000-0010-0000-D000-00000B000000}" name="Resultatanzeige" dataDxfId="618">
      <calculatedColumnFormula>IFERROR(INDEX(StdBewertungen[Anzeigetext],MATCH(StdDisziplinen[[#This Row],[Bewertung]],StdBewertungen[StdBewertung],0)),"")</calculatedColumnFormula>
    </tableColumn>
    <tableColumn id="9" xr3:uid="{00000000-0010-0000-D000-000009000000}" name="Ergebnis"/>
    <tableColumn id="21" xr3:uid="{00000000-0010-0000-D000-000015000000}" name="Maximalwert_OS1"/>
    <tableColumn id="20" xr3:uid="{00000000-0010-0000-D000-000014000000}" name="Maximalwert_OS2"/>
    <tableColumn id="35" xr3:uid="{27CC44FA-EDC1-40E9-BF3C-9D767BC90F8C}" name="Maximalwert_Text" dataDxfId="617">
      <calculatedColumnFormula>IF(OR(StdDisziplinen[[#This Row],[Maximalwert_OS1]]&lt;&gt;"",StdDisziplinen[[#This Row],[Maximalwert_OS2]]&lt;&gt;""),$AM$2,"")</calculatedColumnFormula>
    </tableColumn>
    <tableColumn id="16" xr3:uid="{00000000-0010-0000-D000-000010000000}" name="Vergleichstyp" dataDxfId="616"/>
    <tableColumn id="43" xr3:uid="{60234FC7-E114-4D0E-A5AF-1BBFF7953D48}" name="Rundung_Stellen"/>
    <tableColumn id="46" xr3:uid="{D220F592-C50A-48C4-A922-B33FD152797B}" name="Rundung_Aufrunden" dataDxfId="615"/>
    <tableColumn id="26" xr3:uid="{00000000-0010-0000-D000-00001A000000}" name="GemStufe" dataDxfId="614"/>
    <tableColumn id="29" xr3:uid="{D7AFD058-4A78-483D-8942-E1BFCA59BAAF}" name="StufeMax" dataDxfId="613">
      <calculatedColumnFormula>$AR$2&amp;StdDisziplinen[[#This Row],[StdTabMax]]</calculatedColumnFormula>
    </tableColumn>
    <tableColumn id="25" xr3:uid="{00000000-0010-0000-D000-000019000000}" name="MaxTextSt1" dataDxfId="612">
      <calculatedColumnFormula>IF(StdDisziplinen[[#This Row],[Maximalwert_OS1]]="","",REPLACE($AS$2,6,2,StdDisziplinen[[#This Row],[Maximalwert_OS1]])&amp;StdDisziplinen[[#This Row],[GemStufe]])</calculatedColumnFormula>
    </tableColumn>
    <tableColumn id="27" xr3:uid="{00000000-0010-0000-D000-00001B000000}" name="MaxTextSt2" dataDxfId="611">
      <calculatedColumnFormula>IF(StdDisziplinen[[#This Row],[Maximalwert_OS2]]="","",REPLACE($AT$2,6,2,StdDisziplinen[[#This Row],[Maximalwert_OS2]])&amp;StdDisziplinen[[#This Row],[GemStufe]])</calculatedColumnFormula>
    </tableColumn>
    <tableColumn id="40" xr3:uid="{B28AAB04-A021-4388-9543-09ACFCED72F4}" name="Spalte" dataDxfId="610">
      <calculatedColumnFormula>MATCH(StdDisziplinen[[#This Row],[ID]],Resultatmappe!$A$3:$ACN$3,0)</calculatedColumnFormula>
    </tableColumn>
    <tableColumn id="37" xr3:uid="{01A078A2-151B-469F-9EB7-E8CBF4662B15}" name="Res_Code" dataDxfId="609"/>
    <tableColumn id="36" xr3:uid="{6C7572B2-86E7-4F55-950D-7A611A6E2599}" name="Run_Code" dataDxfId="608">
      <calculatedColumnFormula>StdDisziplinen[[#This Row],[Res_Code]]</calculatedColumnFormula>
    </tableColumn>
    <tableColumn id="38" xr3:uid="{5DDE8961-4CA8-425F-9216-4C64D5AB066C}" name="Ska_Code" dataDxfId="607"/>
    <tableColumn id="39" xr3:uid="{2671205C-41F4-45A2-A328-2E1167F63800}" name="Not_Code" dataDxfId="606"/>
    <tableColumn id="41" xr3:uid="{5F65D729-8E64-4555-8398-AF13D2871A53}" name="R-A_Code" dataDxfId="605">
      <calculatedColumnFormula>IF(StdDisziplinen[[#This Row],[Res_Code]]=2,"0"&amp;$AZ$3&amp;"00",IF(StdDisziplinen[[#This Row],[Res_Code]]=1,"0"&amp;$AZ$3&amp;"0","0"))</calculatedColumnFormula>
    </tableColumn>
    <tableColumn id="42" xr3:uid="{609AC48F-86E9-43A9-A961-5F4D8451A350}" name="N-A_Code" dataDxfId="604">
      <calculatedColumnFormula>IF(StdDisziplinen[[#This Row],[Res_Code]]=2,"0"&amp;$AZ$3&amp;"00",IF(StdDisziplinen[[#This Row],[Res_Code]]=1,"0"&amp;$AZ$3&amp;"0","0"))</calculatedColumnFormula>
    </tableColumn>
    <tableColumn id="22" xr3:uid="{0A67B3B4-795D-44D7-A24E-D1BCD3DD8F67}" name="M-P_Code" dataDxfId="603"/>
    <tableColumn id="44" xr3:uid="{E0670238-1A08-46FB-9814-43673463D1D0}" name="BedRes" dataDxfId="602">
      <calculatedColumnFormula>IFERROR(REPLACE(StdDisziplinen[[#This Row],[StdTabResRes]],LEN(StdDisziplinen[[#This Row],[StdTabResRes]])-9,8,StdDisziplinen[[#Headers],[BedRes]]),"")</calculatedColumnFormula>
    </tableColumn>
    <tableColumn id="18" xr3:uid="{D18C974C-7FBF-4E59-BBBF-C03D9DD3914E}" name="StdTabEingabe" dataDxfId="601">
      <calculatedColumnFormula>StdDisziplinen[[#This Row],[StdTabResultat]]&amp;"["&amp;$BD$2&amp;"]"</calculatedColumnFormula>
    </tableColumn>
    <tableColumn id="19" xr3:uid="{B806045A-526A-430E-97A1-6F90F3875228}" name="Anz_StdTabEingabe" dataDxfId="600">
      <calculatedColumnFormula>COUNTA(INDIRECT(StdDisziplinen[[#This Row],[StdTabEingabe]]))</calculatedColumnFormula>
    </tableColumn>
    <tableColumn id="48" xr3:uid="{840D724F-0924-4935-BBB7-E322C40EA94F}" name="Bereich_Ein_Z" dataDxfId="599">
      <calculatedColumnFormula>StdDisziplinen[[#This Row],[StdTabResultat]]&amp;"["&amp;$BF$2&amp;"]"</calculatedColumnFormula>
    </tableColumn>
    <tableColumn id="51" xr3:uid="{63DC6571-9443-46F3-A47E-820A7097FE30}" name="Bereich_Ein_S" dataDxfId="598">
      <calculatedColumnFormula>StdDisziplinen[[#This Row],[StdTabResultat]]&amp;"["&amp;$W$2&amp;"]"</calculatedColumnFormula>
    </tableColumn>
    <tableColumn id="52" xr3:uid="{D4241170-78FB-4E17-B653-8662477B14D5}" name="Bereich_Ein_ZStart" dataDxfId="597">
      <calculatedColumnFormula array="1">ROW(INDIRECT(StdDisziplinen[[#This Row],[Bereich_Ein_Z]]))+$BH$2</calculatedColumnFormula>
    </tableColumn>
    <tableColumn id="53" xr3:uid="{069A986E-CC8A-4FF4-B833-5803A944FF78}" name="Bereich_Ein_ZEnde" dataDxfId="596">
      <calculatedColumnFormula>StdDisziplinen[[#This Row],[Bereich_Ein_ZStart]]+$BI$2</calculatedColumnFormula>
    </tableColumn>
    <tableColumn id="49" xr3:uid="{BA65EC47-8824-4E3F-96BA-3EBB102ED32D}" name="Bereich_Ein_Adr" dataDxfId="595">
      <calculatedColumnFormula array="1">IFERROR(ADDRESS(StdDisziplinen[[#This Row],[Bereich_Ein_ZStart]],COLUMN(INDIRECT(StdDisziplinen[[#This Row],[Bereich_Ein_S]])),1,1,)&amp;":"&amp;ADDRESS(StdDisziplinen[[#This Row],[Bereich_Ein_ZEnde]],COLUMN(INDIRECT(StdDisziplinen[[#This Row],[Bereich_Ein_S]])),1,1,),"")</calculatedColumnFormula>
    </tableColumn>
    <tableColumn id="50" xr3:uid="{4B19544E-FBDD-43F2-BF18-7567CAD2AB18}" name="Bereich_Stu_Adr" dataDxfId="594">
      <calculatedColumnFormula array="1">IFERROR(ADDRESS(ROW(INDIRECT(StdDisziplinen[[#This Row],[StufeMax]])),COLUMN(INDIRECT(StdDisziplinen[[#This Row],[StufeMax]])),1,1,),"")</calculatedColumnFormula>
    </tableColumn>
  </tableColumns>
  <tableStyleInfo name="TableStyleMedium2" showFirstColumn="0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D1000000}" name="StdAnzeigetext" displayName="StdAnzeigetext" ref="BX16:BX20" totalsRowShown="0">
  <autoFilter ref="BX16:BX20" xr:uid="{00000000-0009-0000-0100-000014000000}"/>
  <tableColumns count="1">
    <tableColumn id="1" xr3:uid="{00000000-0010-0000-D100-000001000000}" name="StdAnzeigetext"/>
  </tableColumns>
  <tableStyleInfo name="TableStyleMedium2" showFirstColumn="0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D2000000}" name="StdGruppe" displayName="StdGruppe" ref="BU5:BV10" totalsRowShown="0" headerRowDxfId="593" dataDxfId="592">
  <autoFilter ref="BU5:BV10" xr:uid="{00000000-0009-0000-0100-000018000000}"/>
  <tableColumns count="2">
    <tableColumn id="1" xr3:uid="{00000000-0010-0000-D200-000001000000}" name="StdGruppe" dataDxfId="591"/>
    <tableColumn id="2" xr3:uid="{3DDECB29-4E47-407B-9F76-DE8B529FAA51}" name="AnzGeforderteDiszGruppe" dataDxfId="590"/>
  </tableColumns>
  <tableStyleInfo name="TableStyleMedium2" showFirstColumn="0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D3000000}" name="StdFähigkeit" displayName="StdFähigkeit" ref="BQ16:BQ20" totalsRowShown="0" headerRowDxfId="589" dataDxfId="588">
  <autoFilter ref="BQ16:BQ20" xr:uid="{00000000-0009-0000-0100-000019000000}"/>
  <tableColumns count="1">
    <tableColumn id="1" xr3:uid="{00000000-0010-0000-D300-000001000000}" name="StdFähigkeit" dataDxfId="587"/>
  </tableColumns>
  <tableStyleInfo name="TableStyleMedium2" showFirstColumn="0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D4000000}" name="StdBS" displayName="StdBS" ref="BM5:BS11" totalsRowShown="0">
  <autoFilter ref="BM5:BS11" xr:uid="{00000000-0009-0000-0100-00001A000000}"/>
  <tableColumns count="7">
    <tableColumn id="1" xr3:uid="{00000000-0010-0000-D400-000001000000}" name="StdNummer" dataDxfId="586"/>
    <tableColumn id="2" xr3:uid="{00000000-0010-0000-D400-000002000000}" name="StdBS"/>
    <tableColumn id="3" xr3:uid="{00000000-0010-0000-D400-000003000000}" name="Titelanzeige" dataDxfId="585">
      <calculatedColumnFormula>StdBS[[#This Row],[StdNummer]]&amp;"   "&amp;StdBS[[#This Row],[StdBS]]</calculatedColumnFormula>
    </tableColumn>
    <tableColumn id="6" xr3:uid="{52A8D97E-7DAF-4974-9A64-CBFC0741746E}" name="AnzDisz"/>
    <tableColumn id="4" xr3:uid="{00000000-0010-0000-D400-000004000000}" name="AnzGeforderteDiszBS"/>
    <tableColumn id="7" xr3:uid="{86223E90-447C-47AC-BA86-BCDA981EE696}" name="ZeileStellenDurchschnitt"/>
    <tableColumn id="5" xr3:uid="{E0E20CD5-452B-4F02-8AC7-00F5E51EF161}" name="RundungDurchschnitt"/>
  </tableColumns>
  <tableStyleInfo name="TableStyleMedium2" showFirstColumn="0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D5000000}" name="StdFit" displayName="StdFit" ref="BM16:BO17" totalsRowShown="0">
  <autoFilter ref="BM16:BO17" xr:uid="{00000000-0009-0000-0100-00001B000000}"/>
  <tableColumns count="3">
    <tableColumn id="1" xr3:uid="{00000000-0010-0000-D500-000001000000}" name="StdFit0"/>
    <tableColumn id="2" xr3:uid="{00000000-0010-0000-D500-000002000000}" name="StdFit1"/>
    <tableColumn id="3" xr3:uid="{00000000-0010-0000-D500-000003000000}" name="StdFit2"/>
  </tableColumns>
  <tableStyleInfo name="TableStyleMedium2" showFirstColumn="0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D8000000}" name="StdErgebnis" displayName="StdErgebnis" ref="BX5:BX7" totalsRowShown="0">
  <autoFilter ref="BX5:BX7" xr:uid="{00000000-0009-0000-0100-000046000000}"/>
  <tableColumns count="1">
    <tableColumn id="1" xr3:uid="{00000000-0010-0000-D800-000001000000}" name="StdErgebnis"/>
  </tableColumns>
  <tableStyleInfo name="TableStyleMedium2" showFirstColumn="0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DB000000}" name="StdJahr" displayName="StdJahr" ref="A5:B7" totalsRowShown="0" dataDxfId="584">
  <autoFilter ref="A5:B7" xr:uid="{00000000-0009-0000-0100-00005D000000}"/>
  <tableColumns count="2">
    <tableColumn id="1" xr3:uid="{00000000-0010-0000-DB00-000001000000}" name="StdJahr" dataDxfId="583"/>
    <tableColumn id="2" xr3:uid="{00000000-0010-0000-DB00-000002000000}" name="StdJahrText" dataDxfId="582">
      <calculatedColumnFormula>StdJahr[[#This Row],[StdJahr]]&amp;". OS"</calculatedColumnFormula>
    </tableColumn>
  </tableColumns>
  <tableStyleInfo name="TableStyleMedium2" showFirstColumn="0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DC000000}" name="StdResultatform" displayName="StdResultatform" ref="BX25:BX39" totalsRowShown="0">
  <autoFilter ref="BX25:BX39" xr:uid="{00000000-0009-0000-0100-000087000000}"/>
  <tableColumns count="1">
    <tableColumn id="1" xr3:uid="{00000000-0010-0000-DC00-000001000000}" name="StdResultatform"/>
  </tableColumns>
  <tableStyleInfo name="TableStyleMedium2" showFirstColumn="0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DD000000}" name="StdVergleichstyp" displayName="StdVergleichstyp" ref="BS16:BS19" totalsRowShown="0">
  <autoFilter ref="BS16:BS19" xr:uid="{00000000-0009-0000-0100-00005B000000}"/>
  <tableColumns count="1">
    <tableColumn id="1" xr3:uid="{00000000-0010-0000-DD00-000001000000}" name="StdVergleichstyp"/>
  </tableColumns>
  <tableStyleInfo name="TableStyleMedium2" showFirstColumn="0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00000000-000C-0000-FFFF-FFFFDF000000}" name="Schulgemeinden" displayName="Schulgemeinden" ref="D18:G61" totalsRowShown="0">
  <autoFilter ref="D18:G61" xr:uid="{00000000-0009-0000-0100-000018010000}"/>
  <tableColumns count="4">
    <tableColumn id="3" xr3:uid="{00000000-0010-0000-DF00-000003000000}" name="Zähler" dataDxfId="581">
      <calculatedColumnFormula array="1">ROW()-ROW(Schulgemeinden[#Headers])</calculatedColumnFormula>
    </tableColumn>
    <tableColumn id="1" xr3:uid="{00000000-0010-0000-DF00-000001000000}" name="Schulgemeinde" dataDxfId="580"/>
    <tableColumn id="2" xr3:uid="{00000000-0010-0000-DF00-000002000000}" name="Kanton"/>
    <tableColumn id="4" xr3:uid="{57B37AD8-7713-45C7-B3CC-0CFC1D655B00}" name="Position" dataDxfId="579">
      <calculatedColumnFormula>INDEX(INDIRECT($G$15),MATCH(Schulgemeinden[[#This Row],[Kanton]],INDIRECT($F$15),0))</calculatedColumnFormula>
    </tableColumn>
  </tableColumns>
  <tableStyleInfo name="TableStyleMedium7" showFirstColumn="0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00000000-000C-0000-FFFF-FFFFE0000000}" name="Kantone" displayName="Kantone" ref="I18:J22" totalsRowShown="0">
  <autoFilter ref="I18:J22" xr:uid="{00000000-0009-0000-0100-000019010000}"/>
  <tableColumns count="2">
    <tableColumn id="1" xr3:uid="{00000000-0010-0000-E000-000001000000}" name="Kantone"/>
    <tableColumn id="2" xr3:uid="{00000000-0010-0000-E000-000002000000}" name="Position">
      <calculatedColumnFormula>ROW(Diplom_Kantone!A1)</calculatedColumnFormula>
    </tableColumn>
  </tableColumns>
  <tableStyleInfo name="TableStyleMedium7" showFirstColumn="0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2" xr:uid="{00000000-000C-0000-FFFF-FFFFE1000000}" name="Medaillen" displayName="Medaillen" ref="I25:J30" totalsRowShown="0">
  <autoFilter ref="I25:J30" xr:uid="{00000000-0009-0000-0100-00001A010000}"/>
  <tableColumns count="2">
    <tableColumn id="1" xr3:uid="{00000000-0010-0000-E100-000001000000}" name="Medaille"/>
    <tableColumn id="2" xr3:uid="{00000000-0010-0000-E100-000002000000}" name="Position"/>
  </tableColumns>
  <tableStyleInfo name="TableStyleMedium7" showFirstColumn="0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3" xr:uid="{00000000-000C-0000-FFFF-FFFFE2000000}" name="Form_Beurt" displayName="Form_Beurt" ref="I33:J37" totalsRowShown="0">
  <autoFilter ref="I33:J37" xr:uid="{00000000-0009-0000-0100-00001B010000}"/>
  <tableColumns count="2">
    <tableColumn id="1" xr3:uid="{00000000-0010-0000-E200-000001000000}" name="Beurteilung"/>
    <tableColumn id="2" xr3:uid="{00000000-0010-0000-E200-000002000000}" name="Position"/>
  </tableColumns>
  <tableStyleInfo name="TableStyleMedium7" showFirstColumn="0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6" xr:uid="{00000000-000C-0000-FFFF-FFFFE3000000}" name="Schuljahre" displayName="Schuljahre" ref="A18:B26" totalsRowShown="0">
  <autoFilter ref="A18:B26" xr:uid="{00000000-0009-0000-0100-00001E010000}"/>
  <tableColumns count="2">
    <tableColumn id="1" xr3:uid="{00000000-0010-0000-E300-000001000000}" name="Schuljahr" dataDxfId="578">
      <calculatedColumnFormula>Schuljahre[[#Headers],[Schuljahr]]&amp;" "&amp;YEAR(TODAY())+(Schuljahre[[#This Row],[Zähler]]-1)&amp;"/"&amp;YEAR(TODAY())+Schuljahre[[#This Row],[Zähler]]</calculatedColumnFormula>
    </tableColumn>
    <tableColumn id="2" xr3:uid="{00000000-0010-0000-E300-000002000000}" name="Zähler"/>
  </tableColumns>
  <tableStyleInfo name="TableStyleMedium7" showFirstColumn="0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9EF8E7F-C21C-49E2-8542-D4B49BC7D0ED}" name="StdSpezBer" displayName="StdSpezBer" ref="BM25:BS31" totalsRowShown="0">
  <autoFilter ref="BM25:BS31" xr:uid="{49EF8E7F-C21C-49E2-8542-D4B49BC7D0ED}"/>
  <tableColumns count="7">
    <tableColumn id="1" xr3:uid="{21E46A9E-9248-4F9B-9695-D518CF41166C}" name="SpezBer_Name"/>
    <tableColumn id="2" xr3:uid="{2407F5D7-32DB-4029-8606-6B1E0E3E7B34}" name="SpezBer_Start" dataDxfId="577">
      <calculatedColumnFormula>ADDRESS(ROW(Resultatmappe!$C$17),COLUMN(Resultatmappe!$C$17),1,1,$BJ$2)</calculatedColumnFormula>
    </tableColumn>
    <tableColumn id="3" xr3:uid="{BAC34876-D335-452F-B5D0-9267817C7C76}" name="SpezBer_Ende" dataDxfId="576">
      <calculatedColumnFormula>ADDRESS(ROW(Resultatmappe!$C$21),COLUMN(Resultatmappe!$C$21),1,1,$BJ$2)</calculatedColumnFormula>
    </tableColumn>
    <tableColumn id="4" xr3:uid="{F4355D99-6571-4061-A01A-7D101ED4CA9A}" name="SpezBer_ZlKorr" dataDxfId="575"/>
    <tableColumn id="5" xr3:uid="{E5637D80-D643-42AE-AF2E-8E686676D17A}" name="SpezBer_SpKorr" dataDxfId="574"/>
    <tableColumn id="6" xr3:uid="{2D595446-0BCF-493A-923C-980A5A42CE14}" name="SpezBer_Adr" dataDxfId="573">
      <calculatedColumnFormula>StdSpezBer[[#This Row],[SpezBer_Start]]&amp;":"&amp;StdSpezBer[[#This Row],[SpezBer_Ende]]</calculatedColumnFormula>
    </tableColumn>
    <tableColumn id="7" xr3:uid="{85464780-2E2B-4493-AA9D-AF091BC6AB55}" name="SpezBer_offen2" dataDxfId="572"/>
  </tableColumns>
  <tableStyleInfo name="TableStyleMedium2" showFirstColumn="0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E4000000}" name="Ge" displayName="Ge" ref="D3:D33" totalsRowShown="0" headerRowDxfId="571" dataDxfId="570">
  <autoFilter ref="D3:D33" xr:uid="{00000000-0009-0000-0100-0000DC000000}"/>
  <tableColumns count="1">
    <tableColumn id="1" xr3:uid="{00000000-0010-0000-E400-000001000000}" name="Geschl" dataDxfId="569">
      <calculatedColumnFormula>Resultatmappe!E28</calculatedColumnFormula>
    </tableColumn>
  </tableColumns>
  <tableStyleInfo name="TableStyleMedium2" showFirstColumn="0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00000000-000C-0000-FFFF-FFFFE5000000}" name="Df" displayName="Df" ref="F3:F33" totalsRowShown="0" headerRowDxfId="568" dataDxfId="567">
  <autoFilter ref="F3:F33" xr:uid="{00000000-0009-0000-0100-0000DD000000}"/>
  <tableColumns count="1">
    <tableColumn id="1" xr3:uid="{00000000-0010-0000-E500-000001000000}" name="Disziplin BS 5" dataDxfId="566">
      <calculatedColumnFormula>Resultatmappe!ZH28</calculatedColumnFormula>
    </tableColumn>
  </tableColumns>
  <tableStyleInfo name="TableStyleMedium2" showFirstColumn="0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00000000-000C-0000-FFFF-FFFFE6000000}" name="RSL" displayName="RSL" ref="H3:H33" totalsRowShown="0">
  <autoFilter ref="H3:H33" xr:uid="{00000000-0009-0000-0100-0000DE000000}"/>
  <tableColumns count="1">
    <tableColumn id="1" xr3:uid="{00000000-0010-0000-E600-000001000000}" name="60-m-Lauf" dataDxfId="565">
      <calculatedColumnFormula>Resultatmappe!H28</calculatedColumnFormula>
    </tableColumn>
  </tableColumns>
  <tableStyleInfo name="TableStyleMedium2" showFirstColumn="0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00000000-000C-0000-FFFF-FFFFE7000000}" name="RAL" displayName="RAL" ref="J3:J33" totalsRowShown="0">
  <autoFilter ref="J3:J33" xr:uid="{00000000-0009-0000-0100-0000DF000000}"/>
  <tableColumns count="1">
    <tableColumn id="1" xr3:uid="{00000000-0010-0000-E700-000001000000}" name="80-m-Lauf" dataDxfId="564">
      <calculatedColumnFormula>Resultatmappe!T28</calculatedColumnFormula>
    </tableColumn>
  </tableColumns>
  <tableStyleInfo name="TableStyleMedium2" showFirstColumn="0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00000000-000C-0000-FFFF-FFFFE8000000}" name="RZH" displayName="RZH" ref="L3:L33" totalsRowShown="0">
  <autoFilter ref="L3:L33" xr:uid="{00000000-0009-0000-0100-0000E0000000}"/>
  <tableColumns count="1">
    <tableColumn id="1" xr3:uid="{00000000-0010-0000-E800-000001000000}" name="12-Min.-Lauf (Halle)" dataDxfId="563">
      <calculatedColumnFormula>Resultatmappe!AF28</calculatedColumnFormula>
    </tableColumn>
  </tableColumns>
  <tableStyleInfo name="TableStyleMedium2" showFirstColumn="0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E9000000}" name="RZF" displayName="RZF" ref="N3:N33" totalsRowShown="0">
  <autoFilter ref="N3:N33" xr:uid="{00000000-0009-0000-0100-0000E1000000}"/>
  <tableColumns count="1">
    <tableColumn id="1" xr3:uid="{00000000-0010-0000-E900-000001000000}" name="12-Min.-Lauf (im Freien)" dataDxfId="562">
      <calculatedColumnFormula>Resultatmappe!AR28</calculatedColumnFormula>
    </tableColumn>
  </tableColumns>
  <tableStyleInfo name="TableStyleMedium2" showFirstColumn="0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00000000-000C-0000-FFFF-FFFFEA000000}" name="RHs" displayName="RHs" ref="P3:P33" totalsRowShown="0">
  <autoFilter ref="P3:P33" xr:uid="{00000000-0009-0000-0100-0000E2000000}"/>
  <tableColumns count="1">
    <tableColumn id="1" xr3:uid="{00000000-0010-0000-EA00-000001000000}" name="Hochsprung" dataDxfId="561">
      <calculatedColumnFormula>Resultatmappe!BD28</calculatedColumnFormula>
    </tableColumn>
  </tableColumns>
  <tableStyleInfo name="TableStyleMedium2" showFirstColumn="0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00000000-000C-0000-FFFF-FFFFEB000000}" name="RWs" displayName="RWs" ref="R3:R33" totalsRowShown="0">
  <autoFilter ref="R3:R33" xr:uid="{00000000-0009-0000-0100-0000E3000000}"/>
  <tableColumns count="1">
    <tableColumn id="1" xr3:uid="{00000000-0010-0000-EB00-000001000000}" name="Weitsprung" dataDxfId="560">
      <calculatedColumnFormula>Resultatmappe!BP28</calculatedColumnFormula>
    </tableColumn>
  </tableColumns>
  <tableStyleInfo name="TableStyleMedium2" showFirstColumn="0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00000000-000C-0000-FFFF-FFFFEC000000}" name="RBw" displayName="RBw" ref="T3:T33" totalsRowShown="0">
  <autoFilter ref="T3:T33" xr:uid="{00000000-0009-0000-0100-0000E4000000}"/>
  <tableColumns count="1">
    <tableColumn id="1" xr3:uid="{00000000-0010-0000-EC00-000001000000}" name="Ballwurf" dataDxfId="559">
      <calculatedColumnFormula>Resultatmappe!CB28</calculatedColumnFormula>
    </tableColumn>
  </tableColumns>
  <tableStyleInfo name="TableStyleMedium2" showFirstColumn="0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00000000-000C-0000-FFFF-FFFFED000000}" name="RKs" displayName="RKs" ref="V3:V33" totalsRowShown="0">
  <autoFilter ref="V3:V33" xr:uid="{00000000-0009-0000-0100-0000E5000000}"/>
  <tableColumns count="1">
    <tableColumn id="1" xr3:uid="{00000000-0010-0000-ED00-000001000000}" name="Kugelstossen" dataDxfId="558">
      <calculatedColumnFormula>Resultatmappe!CN28</calculatedColumnFormula>
    </tableColumn>
  </tableColumns>
  <tableStyleInfo name="TableStyleMedium2" showFirstColumn="0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EE000000}" name="RSw" displayName="RSw" ref="X3:X33" totalsRowShown="0">
  <autoFilter ref="X3:X33" xr:uid="{00000000-0009-0000-0100-0000E6000000}"/>
  <tableColumns count="1">
    <tableColumn id="1" xr3:uid="{00000000-0010-0000-EE00-000001000000}" name="Speerwurf" dataDxfId="557">
      <calculatedColumnFormula>Resultatmappe!CZ28</calculatedColumnFormula>
    </tableColumn>
  </tableColumns>
  <tableStyleInfo name="TableStyleMedium2" showFirstColumn="0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00000000-000C-0000-FFFF-FFFFEF000000}" name="RRk" displayName="RRk" ref="Z3:Z33" totalsRowShown="0">
  <autoFilter ref="Z3:Z33" xr:uid="{00000000-0009-0000-0100-0000E7000000}"/>
  <tableColumns count="1">
    <tableColumn id="1" xr3:uid="{00000000-0010-0000-EF00-000001000000}" name="Reck" dataDxfId="556">
      <calculatedColumnFormula>Resultatmappe!HQ28</calculatedColumnFormula>
    </tableColumn>
  </tableColumns>
  <tableStyleInfo name="TableStyleMedium2" showFirstColumn="0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00000000-000C-0000-FFFF-FFFFF0000000}" name="RBd" displayName="RBd" ref="AB3:AB33" totalsRowShown="0">
  <autoFilter ref="AB3:AB33" xr:uid="{00000000-0009-0000-0100-0000E8000000}"/>
  <tableColumns count="1">
    <tableColumn id="1" xr3:uid="{00000000-0010-0000-F000-000001000000}" name="Boden" dataDxfId="555">
      <calculatedColumnFormula>Resultatmappe!HZ28</calculatedColumnFormula>
    </tableColumn>
  </tableColumns>
  <tableStyleInfo name="TableStyleMedium2" showFirstColumn="0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00000000-000C-0000-FFFF-FFFFF1000000}" name="RSb" displayName="RSb" ref="AD3:AD33" totalsRowShown="0">
  <autoFilter ref="AD3:AD33" xr:uid="{00000000-0009-0000-0100-0000E9000000}"/>
  <tableColumns count="1">
    <tableColumn id="1" xr3:uid="{00000000-0010-0000-F100-000001000000}" name="Stufenbarren" dataDxfId="554">
      <calculatedColumnFormula>Resultatmappe!II28</calculatedColumnFormula>
    </tableColumn>
  </tableColumns>
  <tableStyleInfo name="TableStyleMedium2" showFirstColumn="0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00000000-000C-0000-FFFF-FFFFF2000000}" name="RPb" displayName="RPb" ref="AF3:AF33" totalsRowShown="0">
  <autoFilter ref="AF3:AF33" xr:uid="{00000000-0009-0000-0100-0000EA000000}"/>
  <tableColumns count="1">
    <tableColumn id="1" xr3:uid="{00000000-0010-0000-F200-000001000000}" name="Parallelbarren" dataDxfId="553">
      <calculatedColumnFormula>Resultatmappe!IR28</calculatedColumnFormula>
    </tableColumn>
  </tableColumns>
  <tableStyleInfo name="TableStyleMedium2" showFirstColumn="0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00000000-000C-0000-FFFF-FFFFF3000000}" name="RSr" displayName="RSr" ref="AH3:AH33" totalsRowShown="0">
  <autoFilter ref="AH3:AH33" xr:uid="{00000000-0009-0000-0100-0000EB000000}"/>
  <tableColumns count="1">
    <tableColumn id="1" xr3:uid="{00000000-0010-0000-F300-000001000000}" name="Schaukelringe" dataDxfId="552">
      <calculatedColumnFormula>Resultatmappe!JA28</calculatedColumnFormula>
    </tableColumn>
  </tableColumns>
  <tableStyleInfo name="TableStyleMedium2" showFirstColumn="0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00000000-000C-0000-FFFF-FFFFF4000000}" name="RSp" displayName="RSp" ref="AJ3:AJ33" totalsRowShown="0">
  <autoFilter ref="AJ3:AJ33" xr:uid="{00000000-0009-0000-0100-0000EC000000}"/>
  <tableColumns count="1">
    <tableColumn id="1" xr3:uid="{00000000-0010-0000-F400-000001000000}" name="Sprung" dataDxfId="551">
      <calculatedColumnFormula>Resultatmappe!JJ28</calculatedColumnFormula>
    </tableColumn>
  </tableColumns>
  <tableStyleInfo name="TableStyleMedium2" showFirstColumn="0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0000000-000C-0000-FFFF-FFFFF5000000}" name="RGS" displayName="RGS" ref="AL3:AL33" totalsRowShown="0">
  <autoFilter ref="AL3:AL33" xr:uid="{00000000-0009-0000-0100-0000ED000000}"/>
  <tableColumns count="1">
    <tableColumn id="1" xr3:uid="{00000000-0010-0000-F500-000001000000}" name="Geräte Summe" dataDxfId="550">
      <calculatedColumnFormula>Resultatmappe!MW28</calculatedColumnFormula>
    </tableColumn>
  </tableColumns>
  <tableStyleInfo name="TableStyleMedium2" showFirstColumn="0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00000000-000C-0000-FFFF-FFFFF6000000}" name="RPk" displayName="RPk" ref="AN3:AN33" totalsRowShown="0">
  <autoFilter ref="AN3:AN33" xr:uid="{00000000-0009-0000-0100-0000EE000000}"/>
  <tableColumns count="1">
    <tableColumn id="1" xr3:uid="{00000000-0010-0000-F600-000001000000}" name="Parkour" dataDxfId="549">
      <calculatedColumnFormula>Resultatmappe!NH28</calculatedColumnFormula>
    </tableColumn>
  </tableColumns>
  <tableStyleInfo name="TableStyleMedium2" showFirstColumn="0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0000000-000C-0000-FFFF-FFFFF7000000}" name="RTz" displayName="RTz" ref="AP3:AP33" totalsRowShown="0">
  <autoFilter ref="AP3:AP33" xr:uid="{00000000-0009-0000-0100-0000EF000000}"/>
  <tableColumns count="1">
    <tableColumn id="1" xr3:uid="{00000000-0010-0000-F700-000001000000}" name="Tanzen" dataDxfId="548">
      <calculatedColumnFormula>Resultatmappe!PD28</calculatedColumnFormula>
    </tableColumn>
  </tableColumns>
  <tableStyleInfo name="TableStyleMedium2" showFirstColumn="0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F8000000}" name="RRs" displayName="RRs" ref="AR3:AR33" totalsRowShown="0">
  <autoFilter ref="AR3:AR33" xr:uid="{00000000-0009-0000-0100-0000F0000000}"/>
  <tableColumns count="1">
    <tableColumn id="1" xr3:uid="{00000000-0010-0000-F800-000001000000}" name="Rope-Skipping" dataDxfId="547">
      <calculatedColumnFormula>Resultatmappe!PP28</calculatedColumnFormula>
    </tableColumn>
  </tableColumns>
  <tableStyleInfo name="TableStyleMedium2" showFirstColumn="0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00000000-000C-0000-FFFF-FFFFF9000000}" name="RAe" displayName="RAe" ref="AT3:AT33" totalsRowShown="0">
  <autoFilter ref="AT3:AT33" xr:uid="{00000000-0009-0000-0100-0000F1000000}"/>
  <tableColumns count="1">
    <tableColumn id="1" xr3:uid="{00000000-0010-0000-F900-000001000000}" name="Aerobic" dataDxfId="546">
      <calculatedColumnFormula>Resultatmappe!QC28</calculatedColumnFormula>
    </tableColumn>
  </tableColumns>
  <tableStyleInfo name="TableStyleMedium2" showFirstColumn="0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00000000-000C-0000-FFFF-FFFFFA000000}" name="RBb" displayName="RBb" ref="AV3:AV33" totalsRowShown="0">
  <autoFilter ref="AV3:AV33" xr:uid="{00000000-0009-0000-0100-0000F2000000}"/>
  <tableColumns count="1">
    <tableColumn id="1" xr3:uid="{00000000-0010-0000-FA00-000001000000}" name="Basketball" dataDxfId="545">
      <calculatedColumnFormula>Resultatmappe!RO28</calculatedColumnFormula>
    </tableColumn>
  </tableColumns>
  <tableStyleInfo name="TableStyleMedium2" showFirstColumn="0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00000000-000C-0000-FFFF-FFFFFB000000}" name="RFb" displayName="RFb" ref="AX3:AX33" totalsRowShown="0">
  <autoFilter ref="AX3:AX33" xr:uid="{00000000-0009-0000-0100-0000F3000000}"/>
  <tableColumns count="1">
    <tableColumn id="1" xr3:uid="{00000000-0010-0000-FB00-000001000000}" name="Fussball" dataDxfId="544">
      <calculatedColumnFormula>Resultatmappe!SA28</calculatedColumnFormula>
    </tableColumn>
  </tableColumns>
  <tableStyleInfo name="TableStyleMedium2" showFirstColumn="0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0000000-000C-0000-FFFF-FFFFFC000000}" name="RHb" displayName="RHb" ref="AZ3:AZ33" totalsRowShown="0">
  <autoFilter ref="AZ3:AZ33" xr:uid="{00000000-0009-0000-0100-0000F4000000}"/>
  <tableColumns count="1">
    <tableColumn id="1" xr3:uid="{00000000-0010-0000-FC00-000001000000}" name="Handball" dataDxfId="543">
      <calculatedColumnFormula>Resultatmappe!SM28</calculatedColumnFormula>
    </tableColumn>
  </tableColumns>
  <tableStyleInfo name="TableStyleMedium2" showFirstColumn="0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00000000-000C-0000-FFFF-FFFFFD000000}" name="RUh" displayName="RUh" ref="BB3:BB33" totalsRowShown="0">
  <autoFilter ref="BB3:BB33" xr:uid="{00000000-0009-0000-0100-0000F5000000}"/>
  <tableColumns count="1">
    <tableColumn id="1" xr3:uid="{00000000-0010-0000-FD00-000001000000}" name="Unihockey" dataDxfId="542">
      <calculatedColumnFormula>Resultatmappe!SY28</calculatedColumnFormula>
    </tableColumn>
  </tableColumns>
  <tableStyleInfo name="TableStyleMedium2" showFirstColumn="0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00000000-000C-0000-FFFF-FFFFFE000000}" name="RVb" displayName="RVb" ref="BD3:BD33" totalsRowShown="0">
  <autoFilter ref="BD3:BD33" xr:uid="{00000000-0009-0000-0100-0000F6000000}"/>
  <tableColumns count="1">
    <tableColumn id="1" xr3:uid="{00000000-0010-0000-FE00-000001000000}" name="Volleyball" dataDxfId="541">
      <calculatedColumnFormula>Resultatmappe!TK28</calculatedColumnFormula>
    </tableColumn>
  </tableColumns>
  <tableStyleInfo name="TableStyleMedium2" showFirstColumn="0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7" xr:uid="{00000000-000C-0000-FFFF-FFFFFF000000}" name="RBf" displayName="RBf" ref="BF3:BF33" totalsRowShown="0">
  <autoFilter ref="BF3:BF33" xr:uid="{00000000-0009-0000-0100-0000F7000000}"/>
  <tableColumns count="1">
    <tableColumn id="1" xr3:uid="{00000000-0010-0000-FF00-000001000000}" name="BS 5" dataDxfId="540">
      <calculatedColumnFormula>Resultatmappe!ZK28</calculatedColumnFormula>
    </tableColumn>
  </tableColumns>
  <tableStyleInfo name="TableStyleMedium2" showFirstColumn="0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8" xr:uid="{00000000-000C-0000-FFFF-FFFF00010000}" name="RSc" displayName="RSc" ref="BH3:BH33" totalsRowShown="0">
  <autoFilter ref="BH3:BH33" xr:uid="{00000000-0009-0000-0100-0000F8000000}"/>
  <tableColumns count="1">
    <tableColumn id="1" xr3:uid="{00000000-0010-0000-0001-000001000000}" name="Schwimmen" dataDxfId="539">
      <calculatedColumnFormula>Resultatmappe!ZW28</calculatedColumnFormula>
    </tableColumn>
  </tableColumns>
  <tableStyleInfo name="TableStyleMedium2" showFirstColumn="0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9" xr:uid="{00000000-000C-0000-FFFF-FFFF01010000}" name="RBg" displayName="RBg" ref="BJ3:BJ33" totalsRowShown="0">
  <autoFilter ref="BJ3:BJ33" xr:uid="{00000000-0009-0000-0100-0000F9000000}"/>
  <tableColumns count="1">
    <tableColumn id="1" xr3:uid="{00000000-0010-0000-0101-000001000000}" name="Beweglichkeit" dataDxfId="538">
      <calculatedColumnFormula>Resultatmappe!AAS28</calculatedColumnFormula>
    </tableColumn>
  </tableColumns>
  <tableStyleInfo name="TableStyleMedium2" showFirstColumn="0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00000000-000C-0000-FFFF-FFFF02010000}" name="RRu" displayName="RRu" ref="BL3:BL33" totalsRowShown="0">
  <autoFilter ref="BL3:BL33" xr:uid="{00000000-0009-0000-0100-0000FA000000}"/>
  <tableColumns count="1">
    <tableColumn id="1" xr3:uid="{00000000-0010-0000-0201-000001000000}" name="Rumpfkraft" dataDxfId="537">
      <calculatedColumnFormula>Resultatmappe!ABE28</calculatedColumnFormula>
    </tableColumn>
  </tableColumns>
  <tableStyleInfo name="TableStyleMedium2" showFirstColumn="0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1" xr:uid="{00000000-000C-0000-FFFF-FFFF03010000}" name="RKp" displayName="RKp" ref="BN3:BN33" totalsRowShown="0">
  <autoFilter ref="BN3:BN33" xr:uid="{00000000-0009-0000-0100-0000FB000000}"/>
  <tableColumns count="1">
    <tableColumn id="1" xr3:uid="{00000000-0010-0000-0301-000001000000}" name="Konditionsparcours" dataDxfId="536">
      <calculatedColumnFormula>Resultatmappe!ACC28</calculatedColumnFormula>
    </tableColumn>
  </tableColumns>
  <tableStyleInfo name="TableStyleMedium2" showFirstColumn="0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04010000}" name="NSL" displayName="NSL" ref="H35:H65" totalsRowShown="0">
  <autoFilter ref="H35:H65" xr:uid="{00000000-0009-0000-0100-0000A1000000}"/>
  <tableColumns count="1">
    <tableColumn id="1" xr3:uid="{00000000-0010-0000-0401-000001000000}" name="N_60-m-Lauf" dataDxfId="535">
      <calculatedColumnFormula>Resultatmappe!Q28</calculatedColumnFormula>
    </tableColumn>
  </tableColumns>
  <tableStyleInfo name="TableStyleMedium4" showFirstColumn="0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00000000-000C-0000-FFFF-FFFF05010000}" name="NAL" displayName="NAL" ref="J35:J65" totalsRowShown="0">
  <autoFilter ref="J35:J65" xr:uid="{00000000-0009-0000-0100-0000DB000000}"/>
  <tableColumns count="1">
    <tableColumn id="1" xr3:uid="{00000000-0010-0000-0501-000001000000}" name="N_80-m-Lauf" dataDxfId="534">
      <calculatedColumnFormula>Resultatmappe!AC28</calculatedColumnFormula>
    </tableColumn>
  </tableColumns>
  <tableStyleInfo name="TableStyleMedium4" showFirstColumn="0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2" xr:uid="{00000000-000C-0000-FFFF-FFFF06010000}" name="NZH" displayName="NZH" ref="L35:L65" totalsRowShown="0">
  <autoFilter ref="L35:L65" xr:uid="{00000000-0009-0000-0100-0000FC000000}"/>
  <tableColumns count="1">
    <tableColumn id="1" xr3:uid="{00000000-0010-0000-0601-000001000000}" name="N_12-Min.-Lauf (Halle)" dataDxfId="533">
      <calculatedColumnFormula>Resultatmappe!AO28</calculatedColumnFormula>
    </tableColumn>
  </tableColumns>
  <tableStyleInfo name="TableStyleMedium4" showFirstColumn="0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3" xr:uid="{00000000-000C-0000-FFFF-FFFF07010000}" name="NZF" displayName="NZF" ref="N35:N65" totalsRowShown="0">
  <autoFilter ref="N35:N65" xr:uid="{00000000-0009-0000-0100-0000FD000000}"/>
  <tableColumns count="1">
    <tableColumn id="1" xr3:uid="{00000000-0010-0000-0701-000001000000}" name="N_12-Min.-Lauf (im Freien)" dataDxfId="532">
      <calculatedColumnFormula>Resultatmappe!BA28</calculatedColumnFormula>
    </tableColumn>
  </tableColumns>
  <tableStyleInfo name="TableStyleMedium4" showFirstColumn="0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4" xr:uid="{00000000-000C-0000-FFFF-FFFF08010000}" name="NHs" displayName="NHs" ref="P35:P65" totalsRowShown="0">
  <autoFilter ref="P35:P65" xr:uid="{00000000-0009-0000-0100-0000FE000000}"/>
  <tableColumns count="1">
    <tableColumn id="1" xr3:uid="{00000000-0010-0000-0801-000001000000}" name="N_Hochsprung" dataDxfId="531">
      <calculatedColumnFormula>Resultatmappe!BM28</calculatedColumnFormula>
    </tableColumn>
  </tableColumns>
  <tableStyleInfo name="TableStyleMedium4" showFirstColumn="0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00000000-000C-0000-FFFF-FFFF09010000}" name="NWs" displayName="NWs" ref="R35:R65" totalsRowShown="0">
  <autoFilter ref="R35:R65" xr:uid="{00000000-0009-0000-0100-0000FF000000}"/>
  <tableColumns count="1">
    <tableColumn id="1" xr3:uid="{00000000-0010-0000-0901-000001000000}" name="N_Weitsprung" dataDxfId="530">
      <calculatedColumnFormula>Resultatmappe!BY28</calculatedColumnFormula>
    </tableColumn>
  </tableColumns>
  <tableStyleInfo name="TableStyleMedium4" showFirstColumn="0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6" xr:uid="{00000000-000C-0000-FFFF-FFFF0A010000}" name="NBw" displayName="NBw" ref="T35:T65" totalsRowShown="0">
  <autoFilter ref="T35:T65" xr:uid="{00000000-0009-0000-0100-000000010000}"/>
  <tableColumns count="1">
    <tableColumn id="1" xr3:uid="{00000000-0010-0000-0A01-000001000000}" name="N_Ballwurf" dataDxfId="529">
      <calculatedColumnFormula>Resultatmappe!CK28</calculatedColumnFormula>
    </tableColumn>
  </tableColumns>
  <tableStyleInfo name="TableStyleMedium4" showFirstColumn="0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7" xr:uid="{00000000-000C-0000-FFFF-FFFF0B010000}" name="NKs" displayName="NKs" ref="V35:V65" totalsRowShown="0">
  <autoFilter ref="V35:V65" xr:uid="{00000000-0009-0000-0100-000001010000}"/>
  <tableColumns count="1">
    <tableColumn id="1" xr3:uid="{00000000-0010-0000-0B01-000001000000}" name="N_Kugelstossen" dataDxfId="528">
      <calculatedColumnFormula>Resultatmappe!CW28</calculatedColumnFormula>
    </tableColumn>
  </tableColumns>
  <tableStyleInfo name="TableStyleMedium4" showFirstColumn="0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8" xr:uid="{00000000-000C-0000-FFFF-FFFF0C010000}" name="NSw" displayName="NSw" ref="X35:X65" totalsRowShown="0">
  <autoFilter ref="X35:X65" xr:uid="{00000000-0009-0000-0100-000002010000}"/>
  <tableColumns count="1">
    <tableColumn id="1" xr3:uid="{00000000-0010-0000-0C01-000001000000}" name="N_Speerwurf" dataDxfId="527">
      <calculatedColumnFormula>Resultatmappe!DI28</calculatedColumnFormula>
    </tableColumn>
  </tableColumns>
  <tableStyleInfo name="TableStyleMedium4" showFirstColumn="0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9" xr:uid="{00000000-000C-0000-FFFF-FFFF0D010000}" name="NRk" displayName="NRk" ref="Z35:Z65" totalsRowShown="0">
  <autoFilter ref="Z35:Z65" xr:uid="{00000000-0009-0000-0100-000003010000}"/>
  <tableColumns count="1">
    <tableColumn id="1" xr3:uid="{00000000-0010-0000-0D01-000001000000}" name="N_Reck"/>
  </tableColumns>
  <tableStyleInfo name="TableStyleMedium4" showFirstColumn="0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00000000-000C-0000-FFFF-FFFF0E010000}" name="NBd" displayName="NBd" ref="AB35:AB65" totalsRowShown="0">
  <autoFilter ref="AB35:AB65" xr:uid="{00000000-0009-0000-0100-000004010000}"/>
  <tableColumns count="1">
    <tableColumn id="1" xr3:uid="{00000000-0010-0000-0E01-000001000000}" name="N_Boden"/>
  </tableColumns>
  <tableStyleInfo name="TableStyleMedium4" showFirstColumn="0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1" xr:uid="{00000000-000C-0000-FFFF-FFFF0F010000}" name="NSb" displayName="NSb" ref="AD35:AD65" totalsRowShown="0">
  <autoFilter ref="AD35:AD65" xr:uid="{00000000-0009-0000-0100-000005010000}"/>
  <tableColumns count="1">
    <tableColumn id="1" xr3:uid="{00000000-0010-0000-0F01-000001000000}" name="N_Stufenbarren"/>
  </tableColumns>
  <tableStyleInfo name="TableStyleMedium4" showFirstColumn="0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2" xr:uid="{00000000-000C-0000-FFFF-FFFF10010000}" name="NPb" displayName="NPb" ref="AF35:AF65" totalsRowShown="0">
  <autoFilter ref="AF35:AF65" xr:uid="{00000000-0009-0000-0100-000006010000}"/>
  <tableColumns count="1">
    <tableColumn id="1" xr3:uid="{00000000-0010-0000-1001-000001000000}" name="N_Parallelbarren"/>
  </tableColumns>
  <tableStyleInfo name="TableStyleMedium4" showFirstColumn="0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00000000-000C-0000-FFFF-FFFF11010000}" name="NSr" displayName="NSr" ref="AH35:AH65" totalsRowShown="0">
  <autoFilter ref="AH35:AH65" xr:uid="{00000000-0009-0000-0100-000007010000}"/>
  <tableColumns count="1">
    <tableColumn id="1" xr3:uid="{00000000-0010-0000-1101-000001000000}" name="N_Schaukelringe"/>
  </tableColumns>
  <tableStyleInfo name="TableStyleMedium4" showFirstColumn="0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00000000-000C-0000-FFFF-FFFF12010000}" name="NSp" displayName="NSp" ref="AJ35:AJ65" totalsRowShown="0">
  <autoFilter ref="AJ35:AJ65" xr:uid="{00000000-0009-0000-0100-000008010000}"/>
  <tableColumns count="1">
    <tableColumn id="1" xr3:uid="{00000000-0010-0000-1201-000001000000}" name="N_Sprung"/>
  </tableColumns>
  <tableStyleInfo name="TableStyleMedium4" showFirstColumn="0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13010000}" name="NGS" displayName="NGS" ref="AL35:AL65" totalsRowShown="0">
  <autoFilter ref="AL35:AL65" xr:uid="{00000000-0009-0000-0100-000009010000}"/>
  <tableColumns count="1">
    <tableColumn id="1" xr3:uid="{00000000-0010-0000-1301-000001000000}" name="N_Geräte Summe" dataDxfId="526">
      <calculatedColumnFormula>Resultatmappe!NE28</calculatedColumnFormula>
    </tableColumn>
  </tableColumns>
  <tableStyleInfo name="TableStyleMedium4" showFirstColumn="0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00000000-000C-0000-FFFF-FFFF14010000}" name="NPk" displayName="NPk" ref="AN35:AN65" totalsRowShown="0">
  <autoFilter ref="AN35:AN65" xr:uid="{00000000-0009-0000-0100-00000A010000}"/>
  <tableColumns count="1">
    <tableColumn id="1" xr3:uid="{00000000-0010-0000-1401-000001000000}" name="N_Parkour" dataDxfId="525">
      <calculatedColumnFormula>Resultatmappe!NR28</calculatedColumnFormula>
    </tableColumn>
  </tableColumns>
  <tableStyleInfo name="TableStyleMedium4" showFirstColumn="0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00000000-000C-0000-FFFF-FFFF15010000}" name="NTz" displayName="NTz" ref="AP35:AP65" totalsRowShown="0">
  <autoFilter ref="AP35:AP65" xr:uid="{00000000-0009-0000-0100-00000B010000}"/>
  <tableColumns count="1">
    <tableColumn id="1" xr3:uid="{00000000-0010-0000-1501-000001000000}" name="N_Tanzen" dataDxfId="524">
      <calculatedColumnFormula>Resultatmappe!PM28</calculatedColumnFormula>
    </tableColumn>
  </tableColumns>
  <tableStyleInfo name="TableStyleMedium4" showFirstColumn="0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00000000-000C-0000-FFFF-FFFF16010000}" name="NRs" displayName="NRs" ref="AR35:AR65" totalsRowShown="0">
  <autoFilter ref="AR35:AR65" xr:uid="{00000000-0009-0000-0100-00000C010000}"/>
  <tableColumns count="1">
    <tableColumn id="1" xr3:uid="{00000000-0010-0000-1601-000001000000}" name="N_Rope-Skipping" dataDxfId="523">
      <calculatedColumnFormula>Resultatmappe!PZ28</calculatedColumnFormula>
    </tableColumn>
  </tableColumns>
  <tableStyleInfo name="TableStyleMedium4" showFirstColumn="0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00000000-000C-0000-FFFF-FFFF17010000}" name="NAe" displayName="NAe" ref="AT35:AT65" totalsRowShown="0">
  <autoFilter ref="AT35:AT65" xr:uid="{00000000-0009-0000-0100-00000D010000}"/>
  <tableColumns count="1">
    <tableColumn id="1" xr3:uid="{00000000-0010-0000-1701-000001000000}" name="N_Aerobic" dataDxfId="522">
      <calculatedColumnFormula>Resultatmappe!QL28</calculatedColumnFormula>
    </tableColumn>
  </tableColumns>
  <tableStyleInfo name="TableStyleMedium4" showFirstColumn="0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18010000}" name="NBb" displayName="NBb" ref="AV35:AV65" totalsRowShown="0">
  <autoFilter ref="AV35:AV65" xr:uid="{00000000-0009-0000-0100-00000E010000}"/>
  <tableColumns count="1">
    <tableColumn id="1" xr3:uid="{00000000-0010-0000-1801-000001000000}" name="N_Basketball" dataDxfId="521">
      <calculatedColumnFormula>Resultatmappe!RX28</calculatedColumnFormula>
    </tableColumn>
  </tableColumns>
  <tableStyleInfo name="TableStyleMedium4" showFirstColumn="0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00000000-000C-0000-FFFF-FFFF19010000}" name="NFb" displayName="NFb" ref="AX35:AX65" totalsRowShown="0">
  <autoFilter ref="AX35:AX65" xr:uid="{00000000-0009-0000-0100-00000F010000}"/>
  <tableColumns count="1">
    <tableColumn id="1" xr3:uid="{00000000-0010-0000-1901-000001000000}" name="N_Fussball" dataDxfId="520">
      <calculatedColumnFormula>Resultatmappe!SJ28</calculatedColumnFormula>
    </tableColumn>
  </tableColumns>
  <tableStyleInfo name="TableStyleMedium4" showFirstColumn="0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00000000-000C-0000-FFFF-FFFF1A010000}" name="NHb" displayName="NHb" ref="AZ35:AZ65" totalsRowShown="0">
  <autoFilter ref="AZ35:AZ65" xr:uid="{00000000-0009-0000-0100-000010010000}"/>
  <tableColumns count="1">
    <tableColumn id="1" xr3:uid="{00000000-0010-0000-1A01-000001000000}" name="N_Handball" dataDxfId="519">
      <calculatedColumnFormula>Resultatmappe!SV28</calculatedColumnFormula>
    </tableColumn>
  </tableColumns>
  <tableStyleInfo name="TableStyleMedium4" showFirstColumn="0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00000000-000C-0000-FFFF-FFFF1B010000}" name="NUh" displayName="NUh" ref="BB35:BB65" totalsRowShown="0">
  <autoFilter ref="BB35:BB65" xr:uid="{00000000-0009-0000-0100-000011010000}"/>
  <tableColumns count="1">
    <tableColumn id="1" xr3:uid="{00000000-0010-0000-1B01-000001000000}" name="N_Unihockey" dataDxfId="518">
      <calculatedColumnFormula>Resultatmappe!TH28</calculatedColumnFormula>
    </tableColumn>
  </tableColumns>
  <tableStyleInfo name="TableStyleMedium4" showFirstColumn="0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00000000-000C-0000-FFFF-FFFF1C010000}" name="NVb" displayName="NVb" ref="BD35:BD65" totalsRowShown="0">
  <autoFilter ref="BD35:BD65" xr:uid="{00000000-0009-0000-0100-000012010000}"/>
  <tableColumns count="1">
    <tableColumn id="1" xr3:uid="{00000000-0010-0000-1C01-000001000000}" name="N_Volleyball" dataDxfId="517">
      <calculatedColumnFormula>Resultatmappe!TU28</calculatedColumnFormula>
    </tableColumn>
  </tableColumns>
  <tableStyleInfo name="TableStyleMedium4" showFirstColumn="0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1D010000}" name="NBf" displayName="NBf" ref="BF35:BF65" totalsRowShown="0">
  <autoFilter ref="BF35:BF65" xr:uid="{00000000-0009-0000-0100-000013010000}"/>
  <tableColumns count="1">
    <tableColumn id="1" xr3:uid="{00000000-0010-0000-1D01-000001000000}" name="N_BS 5"/>
  </tableColumns>
  <tableStyleInfo name="TableStyleMedium4" showFirstColumn="0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00000000-000C-0000-FFFF-FFFF1E010000}" name="NSc" displayName="NSc" ref="BH35:BH65" totalsRowShown="0">
  <autoFilter ref="BH35:BH65" xr:uid="{00000000-0009-0000-0100-000014010000}"/>
  <tableColumns count="1">
    <tableColumn id="1" xr3:uid="{00000000-0010-0000-1E01-000001000000}" name="N_Schwimmen" dataDxfId="516">
      <calculatedColumnFormula>Resultatmappe!AAD28</calculatedColumnFormula>
    </tableColumn>
  </tableColumns>
  <tableStyleInfo name="TableStyleMedium4" showFirstColumn="0" showLastColumn="0" showRowStripes="1" showColumnStripes="0"/>
</table>
</file>

<file path=xl/tables/table2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00000000-000C-0000-FFFF-FFFF1F010000}" name="NBg" displayName="NBg" ref="BJ35:BJ65" totalsRowShown="0">
  <autoFilter ref="BJ35:BJ65" xr:uid="{00000000-0009-0000-0100-000015010000}"/>
  <tableColumns count="1">
    <tableColumn id="1" xr3:uid="{00000000-0010-0000-1F01-000001000000}" name="N_Beweglichkeit" dataDxfId="515">
      <calculatedColumnFormula>Resultatmappe!ABB28</calculatedColumnFormula>
    </tableColumn>
  </tableColumns>
  <tableStyleInfo name="TableStyleMedium4" showFirstColumn="0" showLastColumn="0" showRowStripes="1" showColumnStripes="0"/>
</table>
</file>

<file path=xl/tables/table2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00000000-000C-0000-FFFF-FFFF20010000}" name="NRu" displayName="NRu" ref="BL35:BL65" totalsRowShown="0">
  <autoFilter ref="BL35:BL65" xr:uid="{00000000-0009-0000-0100-000016010000}"/>
  <tableColumns count="1">
    <tableColumn id="1" xr3:uid="{00000000-0010-0000-2001-000001000000}" name="N_Rumpfkraft" dataDxfId="514">
      <calculatedColumnFormula>Resultatmappe!ABN28</calculatedColumnFormula>
    </tableColumn>
  </tableColumns>
  <tableStyleInfo name="TableStyleMedium4" showFirstColumn="0" showLastColumn="0" showRowStripes="1" showColumnStripes="0"/>
</table>
</file>

<file path=xl/tables/table2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00000000-000C-0000-FFFF-FFFF21010000}" name="NKp" displayName="NKp" ref="BN35:BN65" totalsRowShown="0">
  <autoFilter ref="BN35:BN65" xr:uid="{00000000-0009-0000-0100-000017010000}"/>
  <tableColumns count="1">
    <tableColumn id="1" xr3:uid="{00000000-0010-0000-2101-000001000000}" name="N_Konditionsparcours" dataDxfId="513">
      <calculatedColumnFormula>Resultatmappe!ACM28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25.xml"/><Relationship Id="rId21" Type="http://schemas.openxmlformats.org/officeDocument/2006/relationships/table" Target="../tables/table20.xml"/><Relationship Id="rId42" Type="http://schemas.openxmlformats.org/officeDocument/2006/relationships/table" Target="../tables/table41.xml"/><Relationship Id="rId47" Type="http://schemas.openxmlformats.org/officeDocument/2006/relationships/table" Target="../tables/table46.xml"/><Relationship Id="rId63" Type="http://schemas.openxmlformats.org/officeDocument/2006/relationships/table" Target="../tables/table62.xml"/><Relationship Id="rId68" Type="http://schemas.openxmlformats.org/officeDocument/2006/relationships/table" Target="../tables/table67.xml"/><Relationship Id="rId84" Type="http://schemas.openxmlformats.org/officeDocument/2006/relationships/table" Target="../tables/table83.xml"/><Relationship Id="rId89" Type="http://schemas.openxmlformats.org/officeDocument/2006/relationships/table" Target="../tables/table88.xml"/><Relationship Id="rId112" Type="http://schemas.openxmlformats.org/officeDocument/2006/relationships/table" Target="../tables/table111.xml"/><Relationship Id="rId16" Type="http://schemas.openxmlformats.org/officeDocument/2006/relationships/table" Target="../tables/table15.xml"/><Relationship Id="rId107" Type="http://schemas.openxmlformats.org/officeDocument/2006/relationships/table" Target="../tables/table106.xml"/><Relationship Id="rId11" Type="http://schemas.openxmlformats.org/officeDocument/2006/relationships/table" Target="../tables/table10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53" Type="http://schemas.openxmlformats.org/officeDocument/2006/relationships/table" Target="../tables/table52.xml"/><Relationship Id="rId58" Type="http://schemas.openxmlformats.org/officeDocument/2006/relationships/table" Target="../tables/table57.xml"/><Relationship Id="rId74" Type="http://schemas.openxmlformats.org/officeDocument/2006/relationships/table" Target="../tables/table73.xml"/><Relationship Id="rId79" Type="http://schemas.openxmlformats.org/officeDocument/2006/relationships/table" Target="../tables/table78.xml"/><Relationship Id="rId102" Type="http://schemas.openxmlformats.org/officeDocument/2006/relationships/table" Target="../tables/table101.xml"/><Relationship Id="rId5" Type="http://schemas.openxmlformats.org/officeDocument/2006/relationships/table" Target="../tables/table4.xml"/><Relationship Id="rId90" Type="http://schemas.openxmlformats.org/officeDocument/2006/relationships/table" Target="../tables/table89.xml"/><Relationship Id="rId95" Type="http://schemas.openxmlformats.org/officeDocument/2006/relationships/table" Target="../tables/table94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43" Type="http://schemas.openxmlformats.org/officeDocument/2006/relationships/table" Target="../tables/table42.xml"/><Relationship Id="rId48" Type="http://schemas.openxmlformats.org/officeDocument/2006/relationships/table" Target="../tables/table47.xml"/><Relationship Id="rId64" Type="http://schemas.openxmlformats.org/officeDocument/2006/relationships/table" Target="../tables/table63.xml"/><Relationship Id="rId69" Type="http://schemas.openxmlformats.org/officeDocument/2006/relationships/table" Target="../tables/table68.xml"/><Relationship Id="rId113" Type="http://schemas.openxmlformats.org/officeDocument/2006/relationships/table" Target="../tables/table112.xml"/><Relationship Id="rId80" Type="http://schemas.openxmlformats.org/officeDocument/2006/relationships/table" Target="../tables/table79.xml"/><Relationship Id="rId85" Type="http://schemas.openxmlformats.org/officeDocument/2006/relationships/table" Target="../tables/table84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59" Type="http://schemas.openxmlformats.org/officeDocument/2006/relationships/table" Target="../tables/table58.xml"/><Relationship Id="rId103" Type="http://schemas.openxmlformats.org/officeDocument/2006/relationships/table" Target="../tables/table102.xml"/><Relationship Id="rId108" Type="http://schemas.openxmlformats.org/officeDocument/2006/relationships/table" Target="../tables/table107.xml"/><Relationship Id="rId54" Type="http://schemas.openxmlformats.org/officeDocument/2006/relationships/table" Target="../tables/table53.xml"/><Relationship Id="rId70" Type="http://schemas.openxmlformats.org/officeDocument/2006/relationships/table" Target="../tables/table69.xml"/><Relationship Id="rId75" Type="http://schemas.openxmlformats.org/officeDocument/2006/relationships/table" Target="../tables/table74.xml"/><Relationship Id="rId91" Type="http://schemas.openxmlformats.org/officeDocument/2006/relationships/table" Target="../tables/table90.xml"/><Relationship Id="rId96" Type="http://schemas.openxmlformats.org/officeDocument/2006/relationships/table" Target="../tables/table9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49" Type="http://schemas.openxmlformats.org/officeDocument/2006/relationships/table" Target="../tables/table48.xml"/><Relationship Id="rId57" Type="http://schemas.openxmlformats.org/officeDocument/2006/relationships/table" Target="../tables/table56.xml"/><Relationship Id="rId106" Type="http://schemas.openxmlformats.org/officeDocument/2006/relationships/table" Target="../tables/table105.xml"/><Relationship Id="rId10" Type="http://schemas.openxmlformats.org/officeDocument/2006/relationships/table" Target="../tables/table9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52" Type="http://schemas.openxmlformats.org/officeDocument/2006/relationships/table" Target="../tables/table51.xml"/><Relationship Id="rId60" Type="http://schemas.openxmlformats.org/officeDocument/2006/relationships/table" Target="../tables/table59.xml"/><Relationship Id="rId65" Type="http://schemas.openxmlformats.org/officeDocument/2006/relationships/table" Target="../tables/table64.xml"/><Relationship Id="rId73" Type="http://schemas.openxmlformats.org/officeDocument/2006/relationships/table" Target="../tables/table72.xml"/><Relationship Id="rId78" Type="http://schemas.openxmlformats.org/officeDocument/2006/relationships/table" Target="../tables/table77.xml"/><Relationship Id="rId81" Type="http://schemas.openxmlformats.org/officeDocument/2006/relationships/table" Target="../tables/table80.xml"/><Relationship Id="rId86" Type="http://schemas.openxmlformats.org/officeDocument/2006/relationships/table" Target="../tables/table85.xml"/><Relationship Id="rId94" Type="http://schemas.openxmlformats.org/officeDocument/2006/relationships/table" Target="../tables/table93.xml"/><Relationship Id="rId99" Type="http://schemas.openxmlformats.org/officeDocument/2006/relationships/table" Target="../tables/table98.xml"/><Relationship Id="rId101" Type="http://schemas.openxmlformats.org/officeDocument/2006/relationships/table" Target="../tables/table100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9" Type="http://schemas.openxmlformats.org/officeDocument/2006/relationships/table" Target="../tables/table38.xml"/><Relationship Id="rId109" Type="http://schemas.openxmlformats.org/officeDocument/2006/relationships/table" Target="../tables/table108.xml"/><Relationship Id="rId34" Type="http://schemas.openxmlformats.org/officeDocument/2006/relationships/table" Target="../tables/table33.xml"/><Relationship Id="rId50" Type="http://schemas.openxmlformats.org/officeDocument/2006/relationships/table" Target="../tables/table49.xml"/><Relationship Id="rId55" Type="http://schemas.openxmlformats.org/officeDocument/2006/relationships/table" Target="../tables/table54.xml"/><Relationship Id="rId76" Type="http://schemas.openxmlformats.org/officeDocument/2006/relationships/table" Target="../tables/table75.xml"/><Relationship Id="rId97" Type="http://schemas.openxmlformats.org/officeDocument/2006/relationships/table" Target="../tables/table96.xml"/><Relationship Id="rId104" Type="http://schemas.openxmlformats.org/officeDocument/2006/relationships/table" Target="../tables/table103.xml"/><Relationship Id="rId7" Type="http://schemas.openxmlformats.org/officeDocument/2006/relationships/table" Target="../tables/table6.xml"/><Relationship Id="rId71" Type="http://schemas.openxmlformats.org/officeDocument/2006/relationships/table" Target="../tables/table70.xml"/><Relationship Id="rId92" Type="http://schemas.openxmlformats.org/officeDocument/2006/relationships/table" Target="../tables/table91.xml"/><Relationship Id="rId2" Type="http://schemas.openxmlformats.org/officeDocument/2006/relationships/table" Target="../tables/table1.xml"/><Relationship Id="rId29" Type="http://schemas.openxmlformats.org/officeDocument/2006/relationships/table" Target="../tables/table28.xml"/><Relationship Id="rId24" Type="http://schemas.openxmlformats.org/officeDocument/2006/relationships/table" Target="../tables/table23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66" Type="http://schemas.openxmlformats.org/officeDocument/2006/relationships/table" Target="../tables/table65.xml"/><Relationship Id="rId87" Type="http://schemas.openxmlformats.org/officeDocument/2006/relationships/table" Target="../tables/table86.xml"/><Relationship Id="rId110" Type="http://schemas.openxmlformats.org/officeDocument/2006/relationships/table" Target="../tables/table109.xml"/><Relationship Id="rId61" Type="http://schemas.openxmlformats.org/officeDocument/2006/relationships/table" Target="../tables/table60.xml"/><Relationship Id="rId82" Type="http://schemas.openxmlformats.org/officeDocument/2006/relationships/table" Target="../tables/table81.xml"/><Relationship Id="rId19" Type="http://schemas.openxmlformats.org/officeDocument/2006/relationships/table" Target="../tables/table18.xml"/><Relationship Id="rId14" Type="http://schemas.openxmlformats.org/officeDocument/2006/relationships/table" Target="../tables/table13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56" Type="http://schemas.openxmlformats.org/officeDocument/2006/relationships/table" Target="../tables/table55.xml"/><Relationship Id="rId77" Type="http://schemas.openxmlformats.org/officeDocument/2006/relationships/table" Target="../tables/table76.xml"/><Relationship Id="rId100" Type="http://schemas.openxmlformats.org/officeDocument/2006/relationships/table" Target="../tables/table99.xml"/><Relationship Id="rId105" Type="http://schemas.openxmlformats.org/officeDocument/2006/relationships/table" Target="../tables/table104.xml"/><Relationship Id="rId8" Type="http://schemas.openxmlformats.org/officeDocument/2006/relationships/table" Target="../tables/table7.xml"/><Relationship Id="rId51" Type="http://schemas.openxmlformats.org/officeDocument/2006/relationships/table" Target="../tables/table50.xml"/><Relationship Id="rId72" Type="http://schemas.openxmlformats.org/officeDocument/2006/relationships/table" Target="../tables/table71.xml"/><Relationship Id="rId93" Type="http://schemas.openxmlformats.org/officeDocument/2006/relationships/table" Target="../tables/table92.xml"/><Relationship Id="rId98" Type="http://schemas.openxmlformats.org/officeDocument/2006/relationships/table" Target="../tables/table97.xml"/><Relationship Id="rId3" Type="http://schemas.openxmlformats.org/officeDocument/2006/relationships/table" Target="../tables/table2.xml"/><Relationship Id="rId25" Type="http://schemas.openxmlformats.org/officeDocument/2006/relationships/table" Target="../tables/table24.xml"/><Relationship Id="rId46" Type="http://schemas.openxmlformats.org/officeDocument/2006/relationships/table" Target="../tables/table45.xml"/><Relationship Id="rId67" Type="http://schemas.openxmlformats.org/officeDocument/2006/relationships/table" Target="../tables/table66.xml"/><Relationship Id="rId20" Type="http://schemas.openxmlformats.org/officeDocument/2006/relationships/table" Target="../tables/table19.xml"/><Relationship Id="rId41" Type="http://schemas.openxmlformats.org/officeDocument/2006/relationships/table" Target="../tables/table40.xml"/><Relationship Id="rId62" Type="http://schemas.openxmlformats.org/officeDocument/2006/relationships/table" Target="../tables/table61.xml"/><Relationship Id="rId83" Type="http://schemas.openxmlformats.org/officeDocument/2006/relationships/table" Target="../tables/table82.xml"/><Relationship Id="rId88" Type="http://schemas.openxmlformats.org/officeDocument/2006/relationships/table" Target="../tables/table87.xml"/><Relationship Id="rId111" Type="http://schemas.openxmlformats.org/officeDocument/2006/relationships/table" Target="../tables/table110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4.xml"/><Relationship Id="rId2" Type="http://schemas.openxmlformats.org/officeDocument/2006/relationships/table" Target="../tables/table113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17.xml"/><Relationship Id="rId5" Type="http://schemas.openxmlformats.org/officeDocument/2006/relationships/table" Target="../tables/table116.xml"/><Relationship Id="rId4" Type="http://schemas.openxmlformats.org/officeDocument/2006/relationships/table" Target="../tables/table11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4.xml"/><Relationship Id="rId13" Type="http://schemas.openxmlformats.org/officeDocument/2006/relationships/table" Target="../tables/table129.xml"/><Relationship Id="rId18" Type="http://schemas.openxmlformats.org/officeDocument/2006/relationships/table" Target="../tables/table134.xml"/><Relationship Id="rId3" Type="http://schemas.openxmlformats.org/officeDocument/2006/relationships/table" Target="../tables/table119.xml"/><Relationship Id="rId7" Type="http://schemas.openxmlformats.org/officeDocument/2006/relationships/table" Target="../tables/table123.xml"/><Relationship Id="rId12" Type="http://schemas.openxmlformats.org/officeDocument/2006/relationships/table" Target="../tables/table128.xml"/><Relationship Id="rId17" Type="http://schemas.openxmlformats.org/officeDocument/2006/relationships/table" Target="../tables/table133.xml"/><Relationship Id="rId2" Type="http://schemas.openxmlformats.org/officeDocument/2006/relationships/table" Target="../tables/table118.xml"/><Relationship Id="rId16" Type="http://schemas.openxmlformats.org/officeDocument/2006/relationships/table" Target="../tables/table132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22.xml"/><Relationship Id="rId11" Type="http://schemas.openxmlformats.org/officeDocument/2006/relationships/table" Target="../tables/table127.xml"/><Relationship Id="rId5" Type="http://schemas.openxmlformats.org/officeDocument/2006/relationships/table" Target="../tables/table121.xml"/><Relationship Id="rId15" Type="http://schemas.openxmlformats.org/officeDocument/2006/relationships/table" Target="../tables/table131.xml"/><Relationship Id="rId10" Type="http://schemas.openxmlformats.org/officeDocument/2006/relationships/table" Target="../tables/table126.xml"/><Relationship Id="rId19" Type="http://schemas.openxmlformats.org/officeDocument/2006/relationships/table" Target="../tables/table135.xml"/><Relationship Id="rId4" Type="http://schemas.openxmlformats.org/officeDocument/2006/relationships/table" Target="../tables/table120.xml"/><Relationship Id="rId9" Type="http://schemas.openxmlformats.org/officeDocument/2006/relationships/table" Target="../tables/table125.xml"/><Relationship Id="rId14" Type="http://schemas.openxmlformats.org/officeDocument/2006/relationships/table" Target="../tables/table13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2.xml"/><Relationship Id="rId13" Type="http://schemas.openxmlformats.org/officeDocument/2006/relationships/table" Target="../tables/table147.xml"/><Relationship Id="rId18" Type="http://schemas.openxmlformats.org/officeDocument/2006/relationships/table" Target="../tables/table152.xml"/><Relationship Id="rId3" Type="http://schemas.openxmlformats.org/officeDocument/2006/relationships/table" Target="../tables/table137.xml"/><Relationship Id="rId7" Type="http://schemas.openxmlformats.org/officeDocument/2006/relationships/table" Target="../tables/table141.xml"/><Relationship Id="rId12" Type="http://schemas.openxmlformats.org/officeDocument/2006/relationships/table" Target="../tables/table146.xml"/><Relationship Id="rId17" Type="http://schemas.openxmlformats.org/officeDocument/2006/relationships/table" Target="../tables/table151.xml"/><Relationship Id="rId2" Type="http://schemas.openxmlformats.org/officeDocument/2006/relationships/table" Target="../tables/table136.xml"/><Relationship Id="rId16" Type="http://schemas.openxmlformats.org/officeDocument/2006/relationships/table" Target="../tables/table150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140.xml"/><Relationship Id="rId11" Type="http://schemas.openxmlformats.org/officeDocument/2006/relationships/table" Target="../tables/table145.xml"/><Relationship Id="rId5" Type="http://schemas.openxmlformats.org/officeDocument/2006/relationships/table" Target="../tables/table139.xml"/><Relationship Id="rId15" Type="http://schemas.openxmlformats.org/officeDocument/2006/relationships/table" Target="../tables/table149.xml"/><Relationship Id="rId10" Type="http://schemas.openxmlformats.org/officeDocument/2006/relationships/table" Target="../tables/table144.xml"/><Relationship Id="rId19" Type="http://schemas.openxmlformats.org/officeDocument/2006/relationships/table" Target="../tables/table153.xml"/><Relationship Id="rId4" Type="http://schemas.openxmlformats.org/officeDocument/2006/relationships/table" Target="../tables/table138.xml"/><Relationship Id="rId9" Type="http://schemas.openxmlformats.org/officeDocument/2006/relationships/table" Target="../tables/table143.xml"/><Relationship Id="rId14" Type="http://schemas.openxmlformats.org/officeDocument/2006/relationships/table" Target="../tables/table14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5.xml"/><Relationship Id="rId2" Type="http://schemas.openxmlformats.org/officeDocument/2006/relationships/table" Target="../tables/table154.xml"/><Relationship Id="rId1" Type="http://schemas.openxmlformats.org/officeDocument/2006/relationships/printerSettings" Target="../printerSettings/printerSettings10.bin"/><Relationship Id="rId5" Type="http://schemas.openxmlformats.org/officeDocument/2006/relationships/table" Target="../tables/table157.xml"/><Relationship Id="rId4" Type="http://schemas.openxmlformats.org/officeDocument/2006/relationships/table" Target="../tables/table15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0.xml"/><Relationship Id="rId2" Type="http://schemas.openxmlformats.org/officeDocument/2006/relationships/table" Target="../tables/table159.xml"/><Relationship Id="rId1" Type="http://schemas.openxmlformats.org/officeDocument/2006/relationships/table" Target="../tables/table158.xml"/><Relationship Id="rId4" Type="http://schemas.openxmlformats.org/officeDocument/2006/relationships/table" Target="../tables/table16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3.xml"/><Relationship Id="rId7" Type="http://schemas.openxmlformats.org/officeDocument/2006/relationships/table" Target="../tables/table167.xml"/><Relationship Id="rId2" Type="http://schemas.openxmlformats.org/officeDocument/2006/relationships/table" Target="../tables/table162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166.xml"/><Relationship Id="rId5" Type="http://schemas.openxmlformats.org/officeDocument/2006/relationships/table" Target="../tables/table165.xml"/><Relationship Id="rId4" Type="http://schemas.openxmlformats.org/officeDocument/2006/relationships/table" Target="../tables/table16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9.xml"/><Relationship Id="rId7" Type="http://schemas.openxmlformats.org/officeDocument/2006/relationships/table" Target="../tables/table173.xml"/><Relationship Id="rId2" Type="http://schemas.openxmlformats.org/officeDocument/2006/relationships/table" Target="../tables/table168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172.xml"/><Relationship Id="rId5" Type="http://schemas.openxmlformats.org/officeDocument/2006/relationships/table" Target="../tables/table171.xml"/><Relationship Id="rId4" Type="http://schemas.openxmlformats.org/officeDocument/2006/relationships/table" Target="../tables/table17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80.xml"/><Relationship Id="rId3" Type="http://schemas.openxmlformats.org/officeDocument/2006/relationships/table" Target="../tables/table175.xml"/><Relationship Id="rId7" Type="http://schemas.openxmlformats.org/officeDocument/2006/relationships/table" Target="../tables/table179.xml"/><Relationship Id="rId2" Type="http://schemas.openxmlformats.org/officeDocument/2006/relationships/table" Target="../tables/table174.x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178.xml"/><Relationship Id="rId11" Type="http://schemas.openxmlformats.org/officeDocument/2006/relationships/table" Target="../tables/table183.xml"/><Relationship Id="rId5" Type="http://schemas.openxmlformats.org/officeDocument/2006/relationships/table" Target="../tables/table177.xml"/><Relationship Id="rId10" Type="http://schemas.openxmlformats.org/officeDocument/2006/relationships/table" Target="../tables/table182.xml"/><Relationship Id="rId4" Type="http://schemas.openxmlformats.org/officeDocument/2006/relationships/table" Target="../tables/table176.xml"/><Relationship Id="rId9" Type="http://schemas.openxmlformats.org/officeDocument/2006/relationships/table" Target="../tables/table181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0.xml"/><Relationship Id="rId3" Type="http://schemas.openxmlformats.org/officeDocument/2006/relationships/table" Target="../tables/table185.xml"/><Relationship Id="rId7" Type="http://schemas.openxmlformats.org/officeDocument/2006/relationships/table" Target="../tables/table189.xml"/><Relationship Id="rId2" Type="http://schemas.openxmlformats.org/officeDocument/2006/relationships/table" Target="../tables/table184.x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188.xml"/><Relationship Id="rId11" Type="http://schemas.openxmlformats.org/officeDocument/2006/relationships/table" Target="../tables/table193.xml"/><Relationship Id="rId5" Type="http://schemas.openxmlformats.org/officeDocument/2006/relationships/table" Target="../tables/table187.xml"/><Relationship Id="rId10" Type="http://schemas.openxmlformats.org/officeDocument/2006/relationships/table" Target="../tables/table192.xml"/><Relationship Id="rId4" Type="http://schemas.openxmlformats.org/officeDocument/2006/relationships/table" Target="../tables/table186.xml"/><Relationship Id="rId9" Type="http://schemas.openxmlformats.org/officeDocument/2006/relationships/table" Target="../tables/table191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5.xml"/><Relationship Id="rId1" Type="http://schemas.openxmlformats.org/officeDocument/2006/relationships/table" Target="../tables/table19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7.xml"/><Relationship Id="rId2" Type="http://schemas.openxmlformats.org/officeDocument/2006/relationships/table" Target="../tables/table196.xml"/><Relationship Id="rId1" Type="http://schemas.openxmlformats.org/officeDocument/2006/relationships/printerSettings" Target="../printerSettings/printerSettings15.bin"/><Relationship Id="rId5" Type="http://schemas.openxmlformats.org/officeDocument/2006/relationships/table" Target="../tables/table199.xml"/><Relationship Id="rId4" Type="http://schemas.openxmlformats.org/officeDocument/2006/relationships/table" Target="../tables/table198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06.xml"/><Relationship Id="rId3" Type="http://schemas.openxmlformats.org/officeDocument/2006/relationships/table" Target="../tables/table201.xml"/><Relationship Id="rId7" Type="http://schemas.openxmlformats.org/officeDocument/2006/relationships/table" Target="../tables/table205.xml"/><Relationship Id="rId2" Type="http://schemas.openxmlformats.org/officeDocument/2006/relationships/table" Target="../tables/table200.xml"/><Relationship Id="rId1" Type="http://schemas.openxmlformats.org/officeDocument/2006/relationships/printerSettings" Target="../printerSettings/printerSettings16.bin"/><Relationship Id="rId6" Type="http://schemas.openxmlformats.org/officeDocument/2006/relationships/table" Target="../tables/table204.xml"/><Relationship Id="rId5" Type="http://schemas.openxmlformats.org/officeDocument/2006/relationships/table" Target="../tables/table203.xml"/><Relationship Id="rId4" Type="http://schemas.openxmlformats.org/officeDocument/2006/relationships/table" Target="../tables/table202.xml"/><Relationship Id="rId9" Type="http://schemas.openxmlformats.org/officeDocument/2006/relationships/table" Target="../tables/table207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14.xml"/><Relationship Id="rId13" Type="http://schemas.openxmlformats.org/officeDocument/2006/relationships/table" Target="../tables/table219.xml"/><Relationship Id="rId18" Type="http://schemas.openxmlformats.org/officeDocument/2006/relationships/table" Target="../tables/table224.xml"/><Relationship Id="rId3" Type="http://schemas.openxmlformats.org/officeDocument/2006/relationships/table" Target="../tables/table209.xml"/><Relationship Id="rId7" Type="http://schemas.openxmlformats.org/officeDocument/2006/relationships/table" Target="../tables/table213.xml"/><Relationship Id="rId12" Type="http://schemas.openxmlformats.org/officeDocument/2006/relationships/table" Target="../tables/table218.xml"/><Relationship Id="rId17" Type="http://schemas.openxmlformats.org/officeDocument/2006/relationships/table" Target="../tables/table223.xml"/><Relationship Id="rId2" Type="http://schemas.openxmlformats.org/officeDocument/2006/relationships/table" Target="../tables/table208.xml"/><Relationship Id="rId16" Type="http://schemas.openxmlformats.org/officeDocument/2006/relationships/table" Target="../tables/table222.xml"/><Relationship Id="rId1" Type="http://schemas.openxmlformats.org/officeDocument/2006/relationships/printerSettings" Target="../printerSettings/printerSettings17.bin"/><Relationship Id="rId6" Type="http://schemas.openxmlformats.org/officeDocument/2006/relationships/table" Target="../tables/table212.xml"/><Relationship Id="rId11" Type="http://schemas.openxmlformats.org/officeDocument/2006/relationships/table" Target="../tables/table217.xml"/><Relationship Id="rId5" Type="http://schemas.openxmlformats.org/officeDocument/2006/relationships/table" Target="../tables/table211.xml"/><Relationship Id="rId15" Type="http://schemas.openxmlformats.org/officeDocument/2006/relationships/table" Target="../tables/table221.xml"/><Relationship Id="rId10" Type="http://schemas.openxmlformats.org/officeDocument/2006/relationships/table" Target="../tables/table216.xml"/><Relationship Id="rId19" Type="http://schemas.openxmlformats.org/officeDocument/2006/relationships/table" Target="../tables/table225.xml"/><Relationship Id="rId4" Type="http://schemas.openxmlformats.org/officeDocument/2006/relationships/table" Target="../tables/table210.xml"/><Relationship Id="rId9" Type="http://schemas.openxmlformats.org/officeDocument/2006/relationships/table" Target="../tables/table215.xml"/><Relationship Id="rId14" Type="http://schemas.openxmlformats.org/officeDocument/2006/relationships/table" Target="../tables/table220.xml"/></Relationships>
</file>

<file path=xl/worksheets/_rels/sheet20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238.xml"/><Relationship Id="rId18" Type="http://schemas.openxmlformats.org/officeDocument/2006/relationships/table" Target="../tables/table243.xml"/><Relationship Id="rId26" Type="http://schemas.openxmlformats.org/officeDocument/2006/relationships/table" Target="../tables/table251.xml"/><Relationship Id="rId39" Type="http://schemas.openxmlformats.org/officeDocument/2006/relationships/table" Target="../tables/table264.xml"/><Relationship Id="rId21" Type="http://schemas.openxmlformats.org/officeDocument/2006/relationships/table" Target="../tables/table246.xml"/><Relationship Id="rId34" Type="http://schemas.openxmlformats.org/officeDocument/2006/relationships/table" Target="../tables/table259.xml"/><Relationship Id="rId42" Type="http://schemas.openxmlformats.org/officeDocument/2006/relationships/table" Target="../tables/table267.xml"/><Relationship Id="rId47" Type="http://schemas.openxmlformats.org/officeDocument/2006/relationships/table" Target="../tables/table272.xml"/><Relationship Id="rId50" Type="http://schemas.openxmlformats.org/officeDocument/2006/relationships/table" Target="../tables/table275.xml"/><Relationship Id="rId55" Type="http://schemas.openxmlformats.org/officeDocument/2006/relationships/table" Target="../tables/table280.xml"/><Relationship Id="rId7" Type="http://schemas.openxmlformats.org/officeDocument/2006/relationships/table" Target="../tables/table232.xml"/><Relationship Id="rId2" Type="http://schemas.openxmlformats.org/officeDocument/2006/relationships/table" Target="../tables/table227.xml"/><Relationship Id="rId16" Type="http://schemas.openxmlformats.org/officeDocument/2006/relationships/table" Target="../tables/table241.xml"/><Relationship Id="rId29" Type="http://schemas.openxmlformats.org/officeDocument/2006/relationships/table" Target="../tables/table254.xml"/><Relationship Id="rId11" Type="http://schemas.openxmlformats.org/officeDocument/2006/relationships/table" Target="../tables/table236.xml"/><Relationship Id="rId24" Type="http://schemas.openxmlformats.org/officeDocument/2006/relationships/table" Target="../tables/table249.xml"/><Relationship Id="rId32" Type="http://schemas.openxmlformats.org/officeDocument/2006/relationships/table" Target="../tables/table257.xml"/><Relationship Id="rId37" Type="http://schemas.openxmlformats.org/officeDocument/2006/relationships/table" Target="../tables/table262.xml"/><Relationship Id="rId40" Type="http://schemas.openxmlformats.org/officeDocument/2006/relationships/table" Target="../tables/table265.xml"/><Relationship Id="rId45" Type="http://schemas.openxmlformats.org/officeDocument/2006/relationships/table" Target="../tables/table270.xml"/><Relationship Id="rId53" Type="http://schemas.openxmlformats.org/officeDocument/2006/relationships/table" Target="../tables/table278.xml"/><Relationship Id="rId58" Type="http://schemas.openxmlformats.org/officeDocument/2006/relationships/table" Target="../tables/table283.xml"/><Relationship Id="rId5" Type="http://schemas.openxmlformats.org/officeDocument/2006/relationships/table" Target="../tables/table230.xml"/><Relationship Id="rId61" Type="http://schemas.openxmlformats.org/officeDocument/2006/relationships/table" Target="../tables/table286.xml"/><Relationship Id="rId19" Type="http://schemas.openxmlformats.org/officeDocument/2006/relationships/table" Target="../tables/table244.xml"/><Relationship Id="rId14" Type="http://schemas.openxmlformats.org/officeDocument/2006/relationships/table" Target="../tables/table239.xml"/><Relationship Id="rId22" Type="http://schemas.openxmlformats.org/officeDocument/2006/relationships/table" Target="../tables/table247.xml"/><Relationship Id="rId27" Type="http://schemas.openxmlformats.org/officeDocument/2006/relationships/table" Target="../tables/table252.xml"/><Relationship Id="rId30" Type="http://schemas.openxmlformats.org/officeDocument/2006/relationships/table" Target="../tables/table255.xml"/><Relationship Id="rId35" Type="http://schemas.openxmlformats.org/officeDocument/2006/relationships/table" Target="../tables/table260.xml"/><Relationship Id="rId43" Type="http://schemas.openxmlformats.org/officeDocument/2006/relationships/table" Target="../tables/table268.xml"/><Relationship Id="rId48" Type="http://schemas.openxmlformats.org/officeDocument/2006/relationships/table" Target="../tables/table273.xml"/><Relationship Id="rId56" Type="http://schemas.openxmlformats.org/officeDocument/2006/relationships/table" Target="../tables/table281.xml"/><Relationship Id="rId8" Type="http://schemas.openxmlformats.org/officeDocument/2006/relationships/table" Target="../tables/table233.xml"/><Relationship Id="rId51" Type="http://schemas.openxmlformats.org/officeDocument/2006/relationships/table" Target="../tables/table276.xml"/><Relationship Id="rId3" Type="http://schemas.openxmlformats.org/officeDocument/2006/relationships/table" Target="../tables/table228.xml"/><Relationship Id="rId12" Type="http://schemas.openxmlformats.org/officeDocument/2006/relationships/table" Target="../tables/table237.xml"/><Relationship Id="rId17" Type="http://schemas.openxmlformats.org/officeDocument/2006/relationships/table" Target="../tables/table242.xml"/><Relationship Id="rId25" Type="http://schemas.openxmlformats.org/officeDocument/2006/relationships/table" Target="../tables/table250.xml"/><Relationship Id="rId33" Type="http://schemas.openxmlformats.org/officeDocument/2006/relationships/table" Target="../tables/table258.xml"/><Relationship Id="rId38" Type="http://schemas.openxmlformats.org/officeDocument/2006/relationships/table" Target="../tables/table263.xml"/><Relationship Id="rId46" Type="http://schemas.openxmlformats.org/officeDocument/2006/relationships/table" Target="../tables/table271.xml"/><Relationship Id="rId59" Type="http://schemas.openxmlformats.org/officeDocument/2006/relationships/table" Target="../tables/table284.xml"/><Relationship Id="rId20" Type="http://schemas.openxmlformats.org/officeDocument/2006/relationships/table" Target="../tables/table245.xml"/><Relationship Id="rId41" Type="http://schemas.openxmlformats.org/officeDocument/2006/relationships/table" Target="../tables/table266.xml"/><Relationship Id="rId54" Type="http://schemas.openxmlformats.org/officeDocument/2006/relationships/table" Target="../tables/table279.xml"/><Relationship Id="rId62" Type="http://schemas.openxmlformats.org/officeDocument/2006/relationships/table" Target="../tables/table287.xml"/><Relationship Id="rId1" Type="http://schemas.openxmlformats.org/officeDocument/2006/relationships/table" Target="../tables/table226.xml"/><Relationship Id="rId6" Type="http://schemas.openxmlformats.org/officeDocument/2006/relationships/table" Target="../tables/table231.xml"/><Relationship Id="rId15" Type="http://schemas.openxmlformats.org/officeDocument/2006/relationships/table" Target="../tables/table240.xml"/><Relationship Id="rId23" Type="http://schemas.openxmlformats.org/officeDocument/2006/relationships/table" Target="../tables/table248.xml"/><Relationship Id="rId28" Type="http://schemas.openxmlformats.org/officeDocument/2006/relationships/table" Target="../tables/table253.xml"/><Relationship Id="rId36" Type="http://schemas.openxmlformats.org/officeDocument/2006/relationships/table" Target="../tables/table261.xml"/><Relationship Id="rId49" Type="http://schemas.openxmlformats.org/officeDocument/2006/relationships/table" Target="../tables/table274.xml"/><Relationship Id="rId57" Type="http://schemas.openxmlformats.org/officeDocument/2006/relationships/table" Target="../tables/table282.xml"/><Relationship Id="rId10" Type="http://schemas.openxmlformats.org/officeDocument/2006/relationships/table" Target="../tables/table235.xml"/><Relationship Id="rId31" Type="http://schemas.openxmlformats.org/officeDocument/2006/relationships/table" Target="../tables/table256.xml"/><Relationship Id="rId44" Type="http://schemas.openxmlformats.org/officeDocument/2006/relationships/table" Target="../tables/table269.xml"/><Relationship Id="rId52" Type="http://schemas.openxmlformats.org/officeDocument/2006/relationships/table" Target="../tables/table277.xml"/><Relationship Id="rId60" Type="http://schemas.openxmlformats.org/officeDocument/2006/relationships/table" Target="../tables/table285.xml"/><Relationship Id="rId4" Type="http://schemas.openxmlformats.org/officeDocument/2006/relationships/table" Target="../tables/table229.xml"/><Relationship Id="rId9" Type="http://schemas.openxmlformats.org/officeDocument/2006/relationships/table" Target="../tables/table2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pageSetUpPr fitToPage="1"/>
  </sheetPr>
  <dimension ref="A1:AGP61"/>
  <sheetViews>
    <sheetView showGridLines="0" showRowColHeaders="0" tabSelected="1" showRuler="0" zoomScale="90" zoomScaleNormal="90" zoomScaleSheetLayoutView="25" zoomScalePageLayoutView="70" workbookViewId="0">
      <pane xSplit="6" ySplit="27" topLeftCell="G28" activePane="bottomRight" state="frozen"/>
      <selection pane="topRight"/>
      <selection pane="bottomLeft"/>
      <selection pane="bottomRight" activeCell="C17" sqref="C1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0" defaultRowHeight="15" zeroHeight="1"/>
  <cols>
    <col min="1" max="1" width="6.7109375" style="91" customWidth="1"/>
    <col min="2" max="3" width="26.7109375" style="91" customWidth="1"/>
    <col min="4" max="4" width="0.7109375" style="91" customWidth="1"/>
    <col min="5" max="5" width="26.7109375" style="91" customWidth="1"/>
    <col min="6" max="6" width="2.7109375" style="91" customWidth="1"/>
    <col min="7" max="7" width="11.5703125" style="91" customWidth="1"/>
    <col min="8" max="8" width="10.5703125" style="91" customWidth="1"/>
    <col min="9" max="9" width="10.5703125" style="91" hidden="1" customWidth="1"/>
    <col min="10" max="10" width="0.7109375" style="91" customWidth="1"/>
    <col min="11" max="11" width="11.5703125" style="91" hidden="1" customWidth="1"/>
    <col min="12" max="12" width="3.7109375" style="91" hidden="1" customWidth="1"/>
    <col min="13" max="13" width="24.7109375" style="91" hidden="1" customWidth="1"/>
    <col min="14" max="14" width="11.7109375" style="91" customWidth="1"/>
    <col min="15" max="15" width="0.7109375" style="91" customWidth="1"/>
    <col min="16" max="16" width="24.7109375" style="91" hidden="1" customWidth="1"/>
    <col min="17" max="17" width="11.7109375" style="91" customWidth="1"/>
    <col min="18" max="18" width="0.7109375" style="91" customWidth="1"/>
    <col min="19" max="19" width="11.7109375" style="91" customWidth="1"/>
    <col min="20" max="20" width="10.5703125" style="91" customWidth="1"/>
    <col min="21" max="21" width="10.5703125" style="91" hidden="1" customWidth="1"/>
    <col min="22" max="22" width="0.7109375" style="91" customWidth="1"/>
    <col min="23" max="23" width="11.5703125" style="91" hidden="1" customWidth="1"/>
    <col min="24" max="24" width="3.7109375" style="91" hidden="1" customWidth="1"/>
    <col min="25" max="25" width="24.7109375" style="91" hidden="1" customWidth="1"/>
    <col min="26" max="26" width="11.7109375" style="91" customWidth="1"/>
    <col min="27" max="27" width="0.7109375" style="91" customWidth="1"/>
    <col min="28" max="28" width="24.7109375" style="91" hidden="1" customWidth="1"/>
    <col min="29" max="29" width="11.7109375" style="91" customWidth="1"/>
    <col min="30" max="30" width="0.7109375" style="91" customWidth="1"/>
    <col min="31" max="31" width="11.7109375" style="91" customWidth="1"/>
    <col min="32" max="32" width="10.5703125" style="91" customWidth="1"/>
    <col min="33" max="33" width="10.5703125" style="91" hidden="1" customWidth="1"/>
    <col min="34" max="34" width="0.7109375" style="91" customWidth="1"/>
    <col min="35" max="35" width="11.7109375" style="91" hidden="1" customWidth="1"/>
    <col min="36" max="36" width="3.7109375" style="91" hidden="1" customWidth="1"/>
    <col min="37" max="37" width="24.7109375" style="91" hidden="1" customWidth="1"/>
    <col min="38" max="38" width="11.7109375" style="91" customWidth="1"/>
    <col min="39" max="39" width="0.7109375" style="91" customWidth="1"/>
    <col min="40" max="40" width="24.7109375" style="91" hidden="1" customWidth="1"/>
    <col min="41" max="41" width="11.7109375" style="91" customWidth="1"/>
    <col min="42" max="42" width="0.7109375" style="91" customWidth="1"/>
    <col min="43" max="43" width="11.7109375" style="91" customWidth="1"/>
    <col min="44" max="44" width="10.5703125" style="91" customWidth="1"/>
    <col min="45" max="45" width="10.5703125" style="91" hidden="1" customWidth="1"/>
    <col min="46" max="46" width="0.7109375" style="91" customWidth="1"/>
    <col min="47" max="47" width="11.7109375" style="91" hidden="1" customWidth="1"/>
    <col min="48" max="48" width="3.7109375" style="91" hidden="1" customWidth="1"/>
    <col min="49" max="49" width="24.7109375" style="91" hidden="1" customWidth="1"/>
    <col min="50" max="50" width="11.7109375" style="91" customWidth="1"/>
    <col min="51" max="51" width="0.7109375" style="91" customWidth="1"/>
    <col min="52" max="52" width="24.7109375" style="91" hidden="1" customWidth="1"/>
    <col min="53" max="53" width="11.7109375" style="91" customWidth="1"/>
    <col min="54" max="54" width="0.7109375" style="91" customWidth="1"/>
    <col min="55" max="55" width="11.7109375" style="91" customWidth="1"/>
    <col min="56" max="56" width="10.5703125" style="91" customWidth="1"/>
    <col min="57" max="57" width="10.5703125" style="91" hidden="1" customWidth="1"/>
    <col min="58" max="58" width="0.7109375" style="91" customWidth="1"/>
    <col min="59" max="59" width="11.7109375" style="91" hidden="1" customWidth="1"/>
    <col min="60" max="60" width="3.7109375" style="91" hidden="1" customWidth="1"/>
    <col min="61" max="61" width="24.7109375" style="91" hidden="1" customWidth="1"/>
    <col min="62" max="62" width="11.7109375" style="91" customWidth="1"/>
    <col min="63" max="63" width="0.7109375" style="91" customWidth="1"/>
    <col min="64" max="64" width="24.7109375" style="91" hidden="1" customWidth="1"/>
    <col min="65" max="65" width="11.7109375" style="91" customWidth="1"/>
    <col min="66" max="66" width="0.7109375" style="91" customWidth="1"/>
    <col min="67" max="67" width="11.7109375" style="91" customWidth="1"/>
    <col min="68" max="68" width="10.5703125" style="91" customWidth="1"/>
    <col min="69" max="69" width="10.5703125" style="91" hidden="1" customWidth="1"/>
    <col min="70" max="70" width="0.7109375" style="91" customWidth="1"/>
    <col min="71" max="71" width="11.7109375" style="91" hidden="1" customWidth="1"/>
    <col min="72" max="72" width="3.7109375" style="91" hidden="1" customWidth="1"/>
    <col min="73" max="73" width="24.7109375" style="91" hidden="1" customWidth="1"/>
    <col min="74" max="74" width="11.7109375" style="91" customWidth="1"/>
    <col min="75" max="75" width="0.7109375" style="91" customWidth="1"/>
    <col min="76" max="76" width="24.7109375" style="91" hidden="1" customWidth="1"/>
    <col min="77" max="77" width="11.7109375" style="91" customWidth="1"/>
    <col min="78" max="78" width="0.7109375" style="91" customWidth="1"/>
    <col min="79" max="79" width="11.7109375" style="91" customWidth="1"/>
    <col min="80" max="80" width="10.5703125" style="91" customWidth="1"/>
    <col min="81" max="81" width="10.5703125" style="91" hidden="1" customWidth="1"/>
    <col min="82" max="82" width="0.7109375" style="91" customWidth="1"/>
    <col min="83" max="83" width="11.7109375" style="91" hidden="1" customWidth="1"/>
    <col min="84" max="84" width="3.7109375" style="91" hidden="1" customWidth="1"/>
    <col min="85" max="85" width="24.7109375" style="91" hidden="1" customWidth="1"/>
    <col min="86" max="86" width="11.7109375" style="91" customWidth="1"/>
    <col min="87" max="87" width="0.7109375" style="91" customWidth="1"/>
    <col min="88" max="88" width="24.7109375" style="91" hidden="1" customWidth="1"/>
    <col min="89" max="89" width="11.7109375" style="91" customWidth="1"/>
    <col min="90" max="90" width="0.7109375" style="91" customWidth="1"/>
    <col min="91" max="91" width="11.7109375" style="91" customWidth="1"/>
    <col min="92" max="92" width="10.5703125" style="91" customWidth="1"/>
    <col min="93" max="93" width="10.5703125" style="91" hidden="1" customWidth="1"/>
    <col min="94" max="94" width="0.7109375" style="91" customWidth="1"/>
    <col min="95" max="95" width="11.7109375" style="91" hidden="1" customWidth="1"/>
    <col min="96" max="96" width="3.7109375" style="91" hidden="1" customWidth="1"/>
    <col min="97" max="97" width="24.7109375" style="91" hidden="1" customWidth="1"/>
    <col min="98" max="98" width="11.7109375" style="91" customWidth="1"/>
    <col min="99" max="99" width="0.7109375" style="91" customWidth="1"/>
    <col min="100" max="100" width="24.7109375" style="91" hidden="1" customWidth="1"/>
    <col min="101" max="101" width="11.7109375" style="91" customWidth="1"/>
    <col min="102" max="102" width="0.7109375" style="91" customWidth="1"/>
    <col min="103" max="103" width="11.7109375" style="91" customWidth="1"/>
    <col min="104" max="104" width="10.5703125" style="91" customWidth="1"/>
    <col min="105" max="105" width="10.5703125" style="91" hidden="1" customWidth="1"/>
    <col min="106" max="106" width="0.7109375" style="91" customWidth="1"/>
    <col min="107" max="107" width="11.7109375" style="91" hidden="1" customWidth="1"/>
    <col min="108" max="108" width="3.7109375" style="91" hidden="1" customWidth="1"/>
    <col min="109" max="109" width="24.7109375" style="91" hidden="1" customWidth="1"/>
    <col min="110" max="110" width="11.7109375" style="91" customWidth="1"/>
    <col min="111" max="111" width="0.7109375" style="91" customWidth="1"/>
    <col min="112" max="112" width="24.7109375" style="91" hidden="1" customWidth="1"/>
    <col min="113" max="113" width="11.7109375" style="91" customWidth="1"/>
    <col min="114" max="114" width="0.85546875" style="91" customWidth="1"/>
    <col min="115" max="118" width="15.7109375" style="91" hidden="1" customWidth="1"/>
    <col min="119" max="119" width="34.7109375" style="91" hidden="1" customWidth="1"/>
    <col min="120" max="120" width="2.28515625" style="91" hidden="1" customWidth="1"/>
    <col min="121" max="123" width="8.7109375" style="108" hidden="1" customWidth="1"/>
    <col min="124" max="129" width="15.7109375" style="91" hidden="1" customWidth="1"/>
    <col min="130" max="130" width="13.42578125" style="91" hidden="1" customWidth="1"/>
    <col min="131" max="131" width="2.85546875" style="91" hidden="1" customWidth="1"/>
    <col min="132" max="132" width="27.5703125" style="91" hidden="1" customWidth="1"/>
    <col min="133" max="135" width="20.7109375" style="91" hidden="1" customWidth="1"/>
    <col min="136" max="139" width="15.7109375" style="91" hidden="1" customWidth="1"/>
    <col min="140" max="140" width="38.28515625" style="91" hidden="1" customWidth="1"/>
    <col min="141" max="141" width="2.28515625" style="91" hidden="1" customWidth="1"/>
    <col min="142" max="144" width="8.7109375" style="108" hidden="1" customWidth="1"/>
    <col min="145" max="150" width="15.7109375" style="91" hidden="1" customWidth="1"/>
    <col min="151" max="151" width="13.42578125" style="91" hidden="1" customWidth="1"/>
    <col min="152" max="152" width="2.85546875" style="91" hidden="1" customWidth="1"/>
    <col min="153" max="153" width="27.5703125" style="91" hidden="1" customWidth="1"/>
    <col min="154" max="156" width="20.7109375" style="91" hidden="1" customWidth="1"/>
    <col min="157" max="160" width="15.7109375" style="91" hidden="1" customWidth="1"/>
    <col min="161" max="161" width="34.7109375" style="91" hidden="1" customWidth="1"/>
    <col min="162" max="162" width="2.28515625" style="91" hidden="1" customWidth="1"/>
    <col min="163" max="165" width="8.7109375" style="108" hidden="1" customWidth="1"/>
    <col min="166" max="171" width="15.7109375" style="91" hidden="1" customWidth="1"/>
    <col min="172" max="172" width="13.42578125" style="91" hidden="1" customWidth="1"/>
    <col min="173" max="173" width="2.85546875" style="91" hidden="1" customWidth="1"/>
    <col min="174" max="174" width="27.5703125" style="91" hidden="1" customWidth="1"/>
    <col min="175" max="177" width="20.7109375" style="91" hidden="1" customWidth="1"/>
    <col min="178" max="183" width="15.7109375" style="91" hidden="1" customWidth="1"/>
    <col min="184" max="184" width="34.7109375" style="91" hidden="1" customWidth="1"/>
    <col min="185" max="185" width="2.28515625" style="91" hidden="1" customWidth="1"/>
    <col min="186" max="188" width="8.7109375" style="108" hidden="1" customWidth="1"/>
    <col min="189" max="194" width="15.7109375" style="91" hidden="1" customWidth="1"/>
    <col min="195" max="195" width="13.42578125" style="91" hidden="1" customWidth="1"/>
    <col min="196" max="196" width="2.85546875" style="91" hidden="1" customWidth="1"/>
    <col min="197" max="197" width="27.5703125" style="91" hidden="1" customWidth="1"/>
    <col min="198" max="200" width="20.7109375" style="91" hidden="1" customWidth="1"/>
    <col min="201" max="205" width="7.7109375" style="91" hidden="1" customWidth="1"/>
    <col min="206" max="208" width="8.7109375" style="108" hidden="1" customWidth="1"/>
    <col min="209" max="209" width="16.7109375" style="91" hidden="1" customWidth="1"/>
    <col min="210" max="210" width="13.85546875" style="91" hidden="1" customWidth="1"/>
    <col min="211" max="214" width="10" style="91" hidden="1" customWidth="1"/>
    <col min="215" max="215" width="22.7109375" style="91" hidden="1" customWidth="1"/>
    <col min="216" max="219" width="3.140625" style="91" hidden="1" customWidth="1"/>
    <col min="220" max="220" width="22.7109375" style="91" customWidth="1"/>
    <col min="221" max="221" width="0.85546875" style="91" customWidth="1"/>
    <col min="222" max="222" width="16.7109375" style="91" customWidth="1"/>
    <col min="223" max="223" width="1" style="91" customWidth="1"/>
    <col min="224" max="224" width="11.7109375" style="91" customWidth="1"/>
    <col min="225" max="225" width="10.5703125" style="91" customWidth="1"/>
    <col min="226" max="227" width="10.5703125" style="95" hidden="1" customWidth="1"/>
    <col min="228" max="228" width="0.7109375" style="95" hidden="1" customWidth="1"/>
    <col min="229" max="229" width="11.7109375" style="95" hidden="1" customWidth="1"/>
    <col min="230" max="230" width="0.7109375" style="95" customWidth="1"/>
    <col min="231" max="231" width="11.7109375" style="95" customWidth="1"/>
    <col min="232" max="232" width="0.7109375" style="91" customWidth="1"/>
    <col min="233" max="233" width="11.7109375" style="91" customWidth="1"/>
    <col min="234" max="234" width="10.5703125" style="91" customWidth="1"/>
    <col min="235" max="236" width="10.5703125" style="95" hidden="1" customWidth="1"/>
    <col min="237" max="237" width="0.7109375" style="95" hidden="1" customWidth="1"/>
    <col min="238" max="238" width="11.7109375" style="95" hidden="1" customWidth="1"/>
    <col min="239" max="239" width="0.7109375" style="95" customWidth="1"/>
    <col min="240" max="240" width="11.7109375" style="95" customWidth="1"/>
    <col min="241" max="241" width="0.7109375" style="91" customWidth="1"/>
    <col min="242" max="242" width="11.7109375" style="91" customWidth="1"/>
    <col min="243" max="243" width="10.5703125" style="91" customWidth="1"/>
    <col min="244" max="245" width="10.5703125" style="95" hidden="1" customWidth="1"/>
    <col min="246" max="246" width="0.7109375" style="95" hidden="1" customWidth="1"/>
    <col min="247" max="247" width="11.7109375" style="95" hidden="1" customWidth="1"/>
    <col min="248" max="248" width="0.7109375" style="95" customWidth="1"/>
    <col min="249" max="249" width="11.7109375" style="95" customWidth="1"/>
    <col min="250" max="250" width="0.7109375" style="91" customWidth="1"/>
    <col min="251" max="251" width="11.7109375" style="91" customWidth="1"/>
    <col min="252" max="252" width="10.5703125" style="91" customWidth="1"/>
    <col min="253" max="254" width="10.5703125" style="95" hidden="1" customWidth="1"/>
    <col min="255" max="255" width="0.7109375" style="95" hidden="1" customWidth="1"/>
    <col min="256" max="256" width="11.7109375" style="95" hidden="1" customWidth="1"/>
    <col min="257" max="257" width="0.7109375" style="95" customWidth="1"/>
    <col min="258" max="258" width="11.7109375" style="95" customWidth="1"/>
    <col min="259" max="259" width="0.7109375" style="91" customWidth="1"/>
    <col min="260" max="260" width="11.7109375" style="91" customWidth="1"/>
    <col min="261" max="261" width="10.5703125" style="91" customWidth="1"/>
    <col min="262" max="263" width="10.5703125" style="95" hidden="1" customWidth="1"/>
    <col min="264" max="264" width="0.7109375" style="95" hidden="1" customWidth="1"/>
    <col min="265" max="265" width="11.7109375" style="95" hidden="1" customWidth="1"/>
    <col min="266" max="266" width="0.7109375" style="95" customWidth="1"/>
    <col min="267" max="267" width="11.7109375" style="95" customWidth="1"/>
    <col min="268" max="268" width="0.7109375" style="91" customWidth="1"/>
    <col min="269" max="269" width="11.7109375" style="91" customWidth="1"/>
    <col min="270" max="270" width="10.5703125" style="91" customWidth="1"/>
    <col min="271" max="272" width="10.5703125" style="95" hidden="1" customWidth="1"/>
    <col min="273" max="273" width="0.7109375" style="95" hidden="1" customWidth="1"/>
    <col min="274" max="274" width="11.7109375" style="95" hidden="1" customWidth="1"/>
    <col min="275" max="275" width="0.7109375" style="95" customWidth="1"/>
    <col min="276" max="276" width="11.7109375" style="95" customWidth="1"/>
    <col min="277" max="277" width="0.7109375" style="91" customWidth="1"/>
    <col min="278" max="319" width="8.7109375" style="91" hidden="1" customWidth="1"/>
    <col min="320" max="320" width="29.85546875" style="91" hidden="1" customWidth="1"/>
    <col min="321" max="325" width="15.7109375" style="91" hidden="1" customWidth="1"/>
    <col min="326" max="326" width="13.42578125" style="91" hidden="1" customWidth="1"/>
    <col min="327" max="327" width="2.85546875" style="91" hidden="1" customWidth="1"/>
    <col min="328" max="328" width="27.5703125" style="91" hidden="1" customWidth="1"/>
    <col min="329" max="331" width="20.7109375" style="91" hidden="1" customWidth="1"/>
    <col min="332" max="332" width="31.5703125" style="91" hidden="1" customWidth="1"/>
    <col min="333" max="337" width="15.7109375" style="91" hidden="1" customWidth="1"/>
    <col min="338" max="338" width="13.42578125" style="91" hidden="1" customWidth="1"/>
    <col min="339" max="339" width="2.85546875" style="91" hidden="1" customWidth="1"/>
    <col min="340" max="340" width="27.5703125" style="91" hidden="1" customWidth="1"/>
    <col min="341" max="343" width="20.7109375" style="91" hidden="1" customWidth="1"/>
    <col min="344" max="344" width="30.5703125" style="91" hidden="1" customWidth="1"/>
    <col min="345" max="349" width="15.7109375" style="91" hidden="1" customWidth="1"/>
    <col min="350" max="350" width="13.42578125" style="91" hidden="1" customWidth="1"/>
    <col min="351" max="351" width="2.85546875" style="91" hidden="1" customWidth="1"/>
    <col min="352" max="352" width="17.28515625" style="91" hidden="1" customWidth="1"/>
    <col min="353" max="355" width="20.7109375" style="91" hidden="1" customWidth="1"/>
    <col min="356" max="356" width="7.7109375" style="91" hidden="1" customWidth="1"/>
    <col min="357" max="360" width="8.7109375" style="108" hidden="1" customWidth="1"/>
    <col min="361" max="361" width="16.7109375" style="91" customWidth="1"/>
    <col min="362" max="362" width="0.7109375" style="91" customWidth="1"/>
    <col min="363" max="363" width="11.7109375" style="91" hidden="1" customWidth="1"/>
    <col min="364" max="364" width="3.7109375" style="91" hidden="1" customWidth="1"/>
    <col min="365" max="365" width="24.7109375" style="91" hidden="1" customWidth="1"/>
    <col min="366" max="366" width="11.7109375" style="91" customWidth="1"/>
    <col min="367" max="367" width="0.7109375" style="91" customWidth="1"/>
    <col min="368" max="368" width="24.7109375" style="91" hidden="1" customWidth="1"/>
    <col min="369" max="369" width="11.7109375" style="91" customWidth="1"/>
    <col min="370" max="370" width="0.7109375" style="91" customWidth="1"/>
    <col min="371" max="371" width="11.7109375" style="91" customWidth="1"/>
    <col min="372" max="372" width="10.5703125" style="91" customWidth="1"/>
    <col min="373" max="374" width="10.5703125" style="95" hidden="1" customWidth="1"/>
    <col min="375" max="375" width="0.7109375" style="91" customWidth="1"/>
    <col min="376" max="376" width="11.7109375" style="91" hidden="1" customWidth="1"/>
    <col min="377" max="377" width="3.7109375" style="91" hidden="1" customWidth="1"/>
    <col min="378" max="378" width="24.7109375" style="91" hidden="1" customWidth="1"/>
    <col min="379" max="379" width="11.7109375" style="91" customWidth="1"/>
    <col min="380" max="380" width="0.7109375" style="91" customWidth="1"/>
    <col min="381" max="381" width="24.7109375" style="91" hidden="1" customWidth="1"/>
    <col min="382" max="382" width="11.7109375" style="91" customWidth="1"/>
    <col min="383" max="383" width="0.85546875" style="91" customWidth="1"/>
    <col min="384" max="393" width="15.7109375" style="91" hidden="1" customWidth="1"/>
    <col min="394" max="394" width="13.42578125" style="91" hidden="1" customWidth="1"/>
    <col min="395" max="395" width="2.85546875" style="91" hidden="1" customWidth="1"/>
    <col min="396" max="396" width="27.5703125" style="91" hidden="1" customWidth="1"/>
    <col min="397" max="399" width="20.7109375" style="91" hidden="1" customWidth="1"/>
    <col min="400" max="402" width="7.7109375" style="91" hidden="1" customWidth="1"/>
    <col min="403" max="405" width="8.7109375" style="108" hidden="1" customWidth="1"/>
    <col min="406" max="406" width="16.7109375" style="91" hidden="1" customWidth="1"/>
    <col min="407" max="407" width="13.85546875" style="91" hidden="1" customWidth="1"/>
    <col min="408" max="409" width="10.140625" style="91" hidden="1" customWidth="1"/>
    <col min="410" max="410" width="11.5703125" style="91" hidden="1" customWidth="1"/>
    <col min="411" max="414" width="3.140625" style="91" hidden="1" customWidth="1"/>
    <col min="415" max="415" width="22.7109375" style="91" customWidth="1"/>
    <col min="416" max="416" width="0.85546875" style="91" customWidth="1"/>
    <col min="417" max="417" width="16.7109375" style="91" customWidth="1"/>
    <col min="418" max="418" width="1" style="91" customWidth="1"/>
    <col min="419" max="419" width="11.7109375" style="91" customWidth="1"/>
    <col min="420" max="420" width="10.5703125" style="91" customWidth="1"/>
    <col min="421" max="421" width="10.7109375" style="95" hidden="1" customWidth="1"/>
    <col min="422" max="422" width="0.7109375" style="91" customWidth="1"/>
    <col min="423" max="423" width="11.7109375" style="91" hidden="1" customWidth="1"/>
    <col min="424" max="424" width="3.7109375" style="91" hidden="1" customWidth="1"/>
    <col min="425" max="425" width="24.7109375" style="91" hidden="1" customWidth="1"/>
    <col min="426" max="426" width="11.7109375" style="91" customWidth="1"/>
    <col min="427" max="427" width="0.7109375" style="91" customWidth="1"/>
    <col min="428" max="428" width="24.7109375" style="91" hidden="1" customWidth="1"/>
    <col min="429" max="429" width="11.7109375" style="91" customWidth="1"/>
    <col min="430" max="430" width="0.7109375" style="91" customWidth="1"/>
    <col min="431" max="431" width="11.7109375" style="91" customWidth="1"/>
    <col min="432" max="432" width="10.5703125" style="91" customWidth="1"/>
    <col min="433" max="434" width="10.5703125" style="95" hidden="1" customWidth="1"/>
    <col min="435" max="435" width="0.7109375" style="91" customWidth="1"/>
    <col min="436" max="436" width="11.7109375" style="91" hidden="1" customWidth="1"/>
    <col min="437" max="437" width="3.7109375" style="91" hidden="1" customWidth="1"/>
    <col min="438" max="438" width="24.7109375" style="91" hidden="1" customWidth="1"/>
    <col min="439" max="439" width="11.7109375" style="91" customWidth="1"/>
    <col min="440" max="440" width="0.7109375" style="91" customWidth="1"/>
    <col min="441" max="441" width="24.7109375" style="91" hidden="1" customWidth="1"/>
    <col min="442" max="442" width="11.7109375" style="91" customWidth="1"/>
    <col min="443" max="443" width="0.7109375" style="91" customWidth="1"/>
    <col min="444" max="444" width="11.7109375" style="91" customWidth="1"/>
    <col min="445" max="445" width="10.5703125" style="91" customWidth="1"/>
    <col min="446" max="446" width="10.5703125" style="95" hidden="1" customWidth="1"/>
    <col min="447" max="447" width="0.7109375" style="91" customWidth="1"/>
    <col min="448" max="448" width="11.7109375" style="91" hidden="1" customWidth="1"/>
    <col min="449" max="449" width="3.7109375" style="91" hidden="1" customWidth="1"/>
    <col min="450" max="450" width="24.7109375" style="91" hidden="1" customWidth="1"/>
    <col min="451" max="451" width="11.7109375" style="91" customWidth="1"/>
    <col min="452" max="452" width="0.7109375" style="91" customWidth="1"/>
    <col min="453" max="453" width="24.7109375" style="91" hidden="1" customWidth="1"/>
    <col min="454" max="454" width="11.7109375" style="91" customWidth="1"/>
    <col min="455" max="455" width="0.85546875" style="91" customWidth="1"/>
    <col min="456" max="461" width="15.7109375" style="91" hidden="1" customWidth="1"/>
    <col min="462" max="462" width="40" style="91" hidden="1" customWidth="1"/>
    <col min="463" max="465" width="8.7109375" style="108" hidden="1" customWidth="1"/>
    <col min="466" max="471" width="15.7109375" style="91" hidden="1" customWidth="1"/>
    <col min="472" max="472" width="13.42578125" style="91" hidden="1" customWidth="1"/>
    <col min="473" max="473" width="2.85546875" style="91" hidden="1" customWidth="1"/>
    <col min="474" max="474" width="27.5703125" style="91" hidden="1" customWidth="1"/>
    <col min="475" max="477" width="20.7109375" style="91" hidden="1" customWidth="1"/>
    <col min="478" max="478" width="13.85546875" style="91" hidden="1" customWidth="1"/>
    <col min="479" max="479" width="0.7109375" style="91" customWidth="1"/>
    <col min="480" max="480" width="16.7109375" style="91" customWidth="1"/>
    <col min="481" max="481" width="1" style="91" customWidth="1"/>
    <col min="482" max="482" width="11.7109375" style="91" customWidth="1"/>
    <col min="483" max="483" width="10.5703125" style="91" customWidth="1"/>
    <col min="484" max="484" width="10.5703125" style="91" hidden="1" customWidth="1"/>
    <col min="485" max="485" width="0.7109375" style="91" customWidth="1"/>
    <col min="486" max="486" width="11.7109375" style="91" hidden="1" customWidth="1"/>
    <col min="487" max="487" width="3.7109375" style="91" hidden="1" customWidth="1"/>
    <col min="488" max="488" width="24.7109375" style="91" hidden="1" customWidth="1"/>
    <col min="489" max="489" width="11.7109375" style="91" customWidth="1"/>
    <col min="490" max="490" width="0.7109375" style="91" customWidth="1"/>
    <col min="491" max="491" width="24.7109375" style="91" hidden="1" customWidth="1"/>
    <col min="492" max="492" width="11.7109375" style="91" customWidth="1"/>
    <col min="493" max="493" width="0.7109375" style="91" customWidth="1"/>
    <col min="494" max="494" width="11.7109375" style="91" customWidth="1"/>
    <col min="495" max="495" width="10.5703125" style="91" customWidth="1"/>
    <col min="496" max="496" width="10.5703125" style="91" hidden="1" customWidth="1"/>
    <col min="497" max="497" width="0.7109375" style="91" customWidth="1"/>
    <col min="498" max="498" width="11.7109375" style="91" hidden="1" customWidth="1"/>
    <col min="499" max="499" width="3.7109375" style="91" hidden="1" customWidth="1"/>
    <col min="500" max="500" width="24.7109375" style="91" hidden="1" customWidth="1"/>
    <col min="501" max="501" width="11.7109375" style="91" customWidth="1"/>
    <col min="502" max="502" width="0.7109375" style="91" customWidth="1"/>
    <col min="503" max="503" width="24.7109375" style="91" hidden="1" customWidth="1"/>
    <col min="504" max="504" width="11.7109375" style="91" customWidth="1"/>
    <col min="505" max="505" width="0.7109375" style="91" customWidth="1"/>
    <col min="506" max="506" width="11.7109375" style="91" customWidth="1"/>
    <col min="507" max="507" width="10.5703125" style="91" customWidth="1"/>
    <col min="508" max="508" width="10.5703125" style="91" hidden="1" customWidth="1"/>
    <col min="509" max="509" width="0.7109375" style="91" customWidth="1"/>
    <col min="510" max="510" width="11.7109375" style="91" hidden="1" customWidth="1"/>
    <col min="511" max="511" width="3.7109375" style="91" hidden="1" customWidth="1"/>
    <col min="512" max="512" width="24.7109375" style="91" hidden="1" customWidth="1"/>
    <col min="513" max="513" width="11.7109375" style="91" customWidth="1"/>
    <col min="514" max="514" width="0.7109375" style="91" customWidth="1"/>
    <col min="515" max="515" width="24.7109375" style="91" hidden="1" customWidth="1"/>
    <col min="516" max="516" width="11.7109375" style="91" customWidth="1"/>
    <col min="517" max="517" width="0.7109375" style="91" customWidth="1"/>
    <col min="518" max="518" width="11.7109375" style="91" customWidth="1"/>
    <col min="519" max="519" width="10.5703125" style="91" customWidth="1"/>
    <col min="520" max="520" width="10.5703125" style="91" hidden="1" customWidth="1"/>
    <col min="521" max="521" width="0.7109375" style="91" customWidth="1"/>
    <col min="522" max="522" width="11.7109375" style="91" hidden="1" customWidth="1"/>
    <col min="523" max="523" width="3.7109375" style="91" hidden="1" customWidth="1"/>
    <col min="524" max="524" width="24.7109375" style="91" hidden="1" customWidth="1"/>
    <col min="525" max="525" width="11.7109375" style="91" customWidth="1"/>
    <col min="526" max="526" width="0.7109375" style="91" customWidth="1"/>
    <col min="527" max="527" width="24.7109375" style="91" hidden="1" customWidth="1"/>
    <col min="528" max="528" width="11.7109375" style="91" customWidth="1"/>
    <col min="529" max="529" width="0.7109375" style="91" customWidth="1"/>
    <col min="530" max="530" width="11.7109375" style="91" customWidth="1"/>
    <col min="531" max="531" width="10.5703125" style="91" customWidth="1"/>
    <col min="532" max="533" width="10.5703125" style="95" hidden="1" customWidth="1"/>
    <col min="534" max="534" width="0.7109375" style="91" customWidth="1"/>
    <col min="535" max="535" width="11.7109375" style="91" hidden="1" customWidth="1"/>
    <col min="536" max="536" width="3.7109375" style="91" hidden="1" customWidth="1"/>
    <col min="537" max="537" width="24.7109375" style="91" hidden="1" customWidth="1"/>
    <col min="538" max="538" width="11.7109375" style="91" customWidth="1"/>
    <col min="539" max="539" width="0.7109375" style="91" customWidth="1"/>
    <col min="540" max="540" width="24.7109375" style="91" hidden="1" customWidth="1"/>
    <col min="541" max="541" width="11.7109375" style="91" customWidth="1"/>
    <col min="542" max="542" width="0.85546875" style="91" customWidth="1"/>
    <col min="543" max="581" width="8.7109375" style="91" hidden="1" customWidth="1"/>
    <col min="582" max="582" width="29.85546875" style="91" hidden="1" customWidth="1"/>
    <col min="583" max="583" width="15.7109375" style="91" hidden="1" customWidth="1"/>
    <col min="584" max="584" width="27.5703125" style="91" hidden="1" customWidth="1"/>
    <col min="585" max="587" width="15.7109375" style="91" hidden="1" customWidth="1"/>
    <col min="588" max="588" width="13.42578125" style="91" hidden="1" customWidth="1"/>
    <col min="589" max="589" width="2.85546875" style="91" hidden="1" customWidth="1"/>
    <col min="590" max="590" width="27.5703125" style="91" hidden="1" customWidth="1"/>
    <col min="591" max="591" width="20.7109375" style="91" hidden="1" customWidth="1"/>
    <col min="592" max="592" width="25" style="91" hidden="1" customWidth="1"/>
    <col min="593" max="593" width="20.7109375" style="91" hidden="1" customWidth="1"/>
    <col min="594" max="594" width="30.5703125" style="91" hidden="1" customWidth="1"/>
    <col min="595" max="599" width="15.7109375" style="91" hidden="1" customWidth="1"/>
    <col min="600" max="600" width="13.42578125" style="91" hidden="1" customWidth="1"/>
    <col min="601" max="601" width="2.85546875" style="91" hidden="1" customWidth="1"/>
    <col min="602" max="602" width="27.5703125" style="91" hidden="1" customWidth="1"/>
    <col min="603" max="605" width="20.7109375" style="91" hidden="1" customWidth="1"/>
    <col min="606" max="606" width="30.5703125" style="91" hidden="1" customWidth="1"/>
    <col min="607" max="607" width="15.7109375" style="91" hidden="1" customWidth="1"/>
    <col min="608" max="608" width="30.7109375" style="91" hidden="1" customWidth="1"/>
    <col min="609" max="611" width="15.7109375" style="91" hidden="1" customWidth="1"/>
    <col min="612" max="612" width="13.42578125" style="91" hidden="1" customWidth="1"/>
    <col min="613" max="613" width="2.85546875" style="91" hidden="1" customWidth="1"/>
    <col min="614" max="614" width="27.5703125" style="91" hidden="1" customWidth="1"/>
    <col min="615" max="615" width="20.7109375" style="91" hidden="1" customWidth="1"/>
    <col min="616" max="616" width="25" style="91" hidden="1" customWidth="1"/>
    <col min="617" max="617" width="20.7109375" style="91" hidden="1" customWidth="1"/>
    <col min="618" max="618" width="15.7109375" style="91" hidden="1" customWidth="1"/>
    <col min="619" max="619" width="13.42578125" style="91" hidden="1" customWidth="1"/>
    <col min="620" max="627" width="15.7109375" style="91" hidden="1" customWidth="1"/>
    <col min="628" max="630" width="4.7109375" style="91" hidden="1" customWidth="1"/>
    <col min="631" max="631" width="7.7109375" style="91" hidden="1" customWidth="1"/>
    <col min="632" max="634" width="8.7109375" style="108" hidden="1" customWidth="1"/>
    <col min="635" max="635" width="16.28515625" style="97" hidden="1" customWidth="1"/>
    <col min="636" max="636" width="13.85546875" style="91" hidden="1" customWidth="1"/>
    <col min="637" max="639" width="10.140625" style="97" hidden="1" customWidth="1"/>
    <col min="640" max="640" width="14.28515625" style="91" hidden="1" customWidth="1"/>
    <col min="641" max="644" width="3.140625" style="91" hidden="1" customWidth="1"/>
    <col min="645" max="645" width="22.7109375" style="91" customWidth="1"/>
    <col min="646" max="646" width="0.85546875" style="91" customWidth="1"/>
    <col min="647" max="647" width="16.7109375" style="91" customWidth="1"/>
    <col min="648" max="648" width="1" style="91" hidden="1" customWidth="1"/>
    <col min="649" max="653" width="7.7109375" style="91" hidden="1" customWidth="1"/>
    <col min="654" max="656" width="8.7109375" style="108" hidden="1" customWidth="1"/>
    <col min="657" max="657" width="16.7109375" style="91" hidden="1" customWidth="1"/>
    <col min="658" max="661" width="10.140625" style="91" hidden="1" customWidth="1"/>
    <col min="662" max="662" width="22" style="91" hidden="1" customWidth="1"/>
    <col min="663" max="670" width="3.140625" style="91" hidden="1" customWidth="1"/>
    <col min="671" max="671" width="1" style="91" customWidth="1"/>
    <col min="672" max="672" width="3.140625" style="91" customWidth="1"/>
    <col min="673" max="673" width="0.7109375" style="91" customWidth="1"/>
    <col min="674" max="674" width="3.28515625" style="91" customWidth="1"/>
    <col min="675" max="675" width="0.7109375" style="91" customWidth="1"/>
    <col min="676" max="676" width="3.28515625" style="91" customWidth="1"/>
    <col min="677" max="677" width="0.7109375" style="91" customWidth="1"/>
    <col min="678" max="678" width="3.28515625" style="91" customWidth="1"/>
    <col min="679" max="679" width="1" style="91" customWidth="1"/>
    <col min="680" max="680" width="22.7109375" style="91" customWidth="1"/>
    <col min="681" max="681" width="1" style="91" customWidth="1"/>
    <col min="682" max="682" width="16.7109375" style="91" customWidth="1" collapsed="1"/>
    <col min="683" max="683" width="2.7109375" style="91" customWidth="1"/>
    <col min="684" max="684" width="25.7109375" style="91" customWidth="1" collapsed="1"/>
    <col min="685" max="685" width="2.7109375" style="91" customWidth="1"/>
    <col min="686" max="686" width="24.7109375" style="91" hidden="1" customWidth="1"/>
    <col min="687" max="687" width="16" style="91" customWidth="1"/>
    <col min="688" max="688" width="2.7109375" style="91" customWidth="1"/>
    <col min="689" max="690" width="7.7109375" style="91" customWidth="1"/>
    <col min="691" max="692" width="7.7109375" style="91" hidden="1" customWidth="1"/>
    <col min="693" max="693" width="0.7109375" style="91" customWidth="1"/>
    <col min="694" max="695" width="7.7109375" style="91" customWidth="1"/>
    <col min="696" max="697" width="7.7109375" style="91" hidden="1" customWidth="1"/>
    <col min="698" max="698" width="0.7109375" style="91" customWidth="1"/>
    <col min="699" max="699" width="11.5703125" style="91" hidden="1" customWidth="1"/>
    <col min="700" max="700" width="30.140625" style="91" hidden="1" customWidth="1"/>
    <col min="701" max="701" width="28.5703125" style="91" hidden="1" customWidth="1"/>
    <col min="702" max="702" width="11.7109375" style="91" hidden="1" customWidth="1"/>
    <col min="703" max="703" width="11.7109375" style="91" customWidth="1"/>
    <col min="704" max="704" width="0.7109375" style="91" customWidth="1"/>
    <col min="705" max="705" width="24.7109375" style="91" hidden="1" customWidth="1"/>
    <col min="706" max="706" width="11.7109375" style="91" customWidth="1"/>
    <col min="707" max="707" width="1.140625" style="91" customWidth="1"/>
    <col min="708" max="708" width="11.7109375" style="91" customWidth="1"/>
    <col min="709" max="709" width="0.7109375" style="91" customWidth="1"/>
    <col min="710" max="710" width="11.7109375" style="91" customWidth="1"/>
    <col min="711" max="711" width="0.7109375" style="91" customWidth="1"/>
    <col min="712" max="712" width="11.7109375" style="91" customWidth="1"/>
    <col min="713" max="713" width="0.7109375" style="91" customWidth="1"/>
    <col min="714" max="714" width="11.7109375" style="91" customWidth="1"/>
    <col min="715" max="715" width="0.7109375" style="91" customWidth="1"/>
    <col min="716" max="716" width="11.7109375" style="91" customWidth="1"/>
    <col min="717" max="717" width="0.7109375" style="91" customWidth="1"/>
    <col min="718" max="718" width="11.7109375" style="91" customWidth="1"/>
    <col min="719" max="719" width="0.7109375" style="91" customWidth="1"/>
    <col min="720" max="720" width="11.7109375" style="91" customWidth="1"/>
    <col min="721" max="721" width="10.5703125" style="91" customWidth="1"/>
    <col min="722" max="723" width="10.5703125" style="95" hidden="1" customWidth="1"/>
    <col min="724" max="724" width="0.7109375" style="91" customWidth="1"/>
    <col min="725" max="725" width="11.7109375" style="91" hidden="1" customWidth="1"/>
    <col min="726" max="726" width="24.7109375" style="91" hidden="1" customWidth="1"/>
    <col min="727" max="727" width="11.7109375" style="91" customWidth="1"/>
    <col min="728" max="728" width="0.7109375" style="91" customWidth="1"/>
    <col min="729" max="729" width="24.7109375" style="91" hidden="1" customWidth="1"/>
    <col min="730" max="730" width="11.7109375" style="91" customWidth="1"/>
    <col min="731" max="731" width="0.7109375" style="91" customWidth="1"/>
    <col min="732" max="732" width="11.7109375" style="91" customWidth="1"/>
    <col min="733" max="733" width="10.5703125" style="91" customWidth="1"/>
    <col min="734" max="735" width="10.5703125" style="95" hidden="1" customWidth="1"/>
    <col min="736" max="736" width="0.7109375" style="91" customWidth="1"/>
    <col min="737" max="737" width="11.7109375" style="91" hidden="1" customWidth="1"/>
    <col min="738" max="738" width="24.7109375" style="91" hidden="1" customWidth="1"/>
    <col min="739" max="739" width="11.7109375" style="91" customWidth="1"/>
    <col min="740" max="740" width="0.7109375" style="91" customWidth="1"/>
    <col min="741" max="741" width="24.7109375" style="91" hidden="1" customWidth="1"/>
    <col min="742" max="742" width="11.7109375" style="91" customWidth="1"/>
    <col min="743" max="743" width="0.7109375" style="91" customWidth="1"/>
    <col min="744" max="744" width="11.7109375" style="91" customWidth="1"/>
    <col min="745" max="745" width="0.7109375" style="91" customWidth="1"/>
    <col min="746" max="746" width="11.7109375" style="91" customWidth="1"/>
    <col min="747" max="747" width="0.7109375" style="91" customWidth="1"/>
    <col min="748" max="748" width="11.7109375" style="91" customWidth="1"/>
    <col min="749" max="749" width="0.7109375" style="91" customWidth="1"/>
    <col min="750" max="750" width="11.7109375" style="91" customWidth="1"/>
    <col min="751" max="751" width="0.7109375" style="91" customWidth="1"/>
    <col min="752" max="752" width="11.7109375" style="91" customWidth="1"/>
    <col min="753" max="753" width="0.7109375" style="91" customWidth="1"/>
    <col min="754" max="754" width="11.7109375" style="91" customWidth="1"/>
    <col min="755" max="755" width="0.7109375" style="91" customWidth="1"/>
    <col min="756" max="756" width="11.7109375" style="91" customWidth="1"/>
    <col min="757" max="757" width="10.5703125" style="91" customWidth="1"/>
    <col min="758" max="759" width="10.5703125" style="95" hidden="1" customWidth="1"/>
    <col min="760" max="760" width="0.7109375" style="91" customWidth="1"/>
    <col min="761" max="761" width="11.7109375" style="91" hidden="1" customWidth="1"/>
    <col min="762" max="762" width="3.7109375" style="91" hidden="1" customWidth="1"/>
    <col min="763" max="763" width="24.7109375" style="91" hidden="1" customWidth="1"/>
    <col min="764" max="764" width="11.7109375" style="91" customWidth="1"/>
    <col min="765" max="765" width="0.7109375" style="91" customWidth="1"/>
    <col min="766" max="766" width="24.7109375" style="91" hidden="1" customWidth="1"/>
    <col min="767" max="767" width="11.7109375" style="91" customWidth="1"/>
    <col min="768" max="768" width="6.7109375" style="91" customWidth="1"/>
    <col min="769" max="775" width="11.5703125" style="91" hidden="1" customWidth="1"/>
    <col min="776" max="776" width="11.7109375" style="91" hidden="1" customWidth="1"/>
    <col min="777" max="777" width="24.7109375" style="91" hidden="1" customWidth="1"/>
    <col min="778" max="779" width="11.5703125" style="91" hidden="1" customWidth="1"/>
    <col min="780" max="780" width="24.7109375" style="91" hidden="1" customWidth="1"/>
    <col min="781" max="796" width="11.5703125" style="91" hidden="1" customWidth="1"/>
    <col min="797" max="797" width="11.7109375" style="91" hidden="1" customWidth="1"/>
    <col min="798" max="798" width="3.7109375" style="91" hidden="1" customWidth="1"/>
    <col min="799" max="799" width="24.7109375" style="91" hidden="1" customWidth="1"/>
    <col min="800" max="801" width="11.5703125" style="91" hidden="1" customWidth="1"/>
    <col min="802" max="802" width="24.7109375" style="91" hidden="1" customWidth="1"/>
    <col min="803" max="847" width="11.5703125" style="91" hidden="1" customWidth="1"/>
    <col min="848" max="848" width="11.7109375" style="91" hidden="1" customWidth="1"/>
    <col min="849" max="849" width="24.7109375" style="91" hidden="1" customWidth="1"/>
    <col min="850" max="851" width="11.5703125" style="91" hidden="1" customWidth="1"/>
    <col min="852" max="852" width="24.7109375" style="91" hidden="1" customWidth="1"/>
    <col min="853" max="868" width="11.5703125" style="91" hidden="1" customWidth="1"/>
    <col min="869" max="869" width="11.7109375" style="91" hidden="1" customWidth="1"/>
    <col min="870" max="870" width="3.7109375" style="91" hidden="1" customWidth="1"/>
    <col min="871" max="871" width="24.7109375" style="91" hidden="1" customWidth="1"/>
    <col min="872" max="873" width="11.5703125" style="91" hidden="1" customWidth="1"/>
    <col min="874" max="874" width="24.7109375" style="91" hidden="1" customWidth="1"/>
    <col min="875" max="16384" width="11.5703125" style="91" hidden="1"/>
  </cols>
  <sheetData>
    <row r="1" spans="1:768" s="92" customFormat="1" hidden="1">
      <c r="A1" s="91" t="str">
        <f>Stammdaten!$B$4</f>
        <v>StdJahr[StdJahrText]</v>
      </c>
      <c r="B1" s="91"/>
      <c r="C1" s="91" t="str">
        <f>Stammdaten!$E$17</f>
        <v>Schulgemeinden[Schulgemeinde]</v>
      </c>
      <c r="D1" s="91"/>
      <c r="E1" s="91" t="str">
        <f>Stammdaten!$D$4</f>
        <v>StdGeschlecht[StdGeschlecht]</v>
      </c>
      <c r="F1" s="91"/>
      <c r="G1" s="92">
        <v>1</v>
      </c>
      <c r="K1" s="91" t="str" cm="1">
        <f t="array" aca="1" ref="K1" ca="1">INDEX(INDIRECT($E$4),G$3)</f>
        <v>SechzigmLaufResultat[@[Eingabe]]</v>
      </c>
      <c r="W1" s="91" t="str" cm="1">
        <f t="array" aca="1" ref="W1" ca="1">INDEX(INDIRECT($E$4),S$3)</f>
        <v>AchtzigmLaufResultat[@[Eingabe]]</v>
      </c>
      <c r="AI1" s="91" t="str" cm="1">
        <f t="array" aca="1" ref="AI1" ca="1">INDEX(INDIRECT($E$4),AE$3)</f>
        <v>ZwölfMinLaufHalleResultat[@[Eingabe]]</v>
      </c>
      <c r="AU1" s="91" t="str" cm="1">
        <f t="array" aca="1" ref="AU1" ca="1">INDEX(INDIRECT($E$4),AQ$3)</f>
        <v>ZwölfMinLaufimFreienResultat[@[Eingabe]]</v>
      </c>
      <c r="BG1" s="91" t="str" cm="1">
        <f t="array" aca="1" ref="BG1" ca="1">INDEX(INDIRECT($E$4),BC$3)</f>
        <v>HochsprungResultat[@[Eingabe]]</v>
      </c>
      <c r="BS1" s="91" t="str" cm="1">
        <f t="array" aca="1" ref="BS1" ca="1">INDEX(INDIRECT($E$4),BO$3)</f>
        <v>WeitsprungResultat[@[Eingabe]]</v>
      </c>
      <c r="CE1" s="91" t="str" cm="1">
        <f t="array" aca="1" ref="CE1" ca="1">INDEX(INDIRECT($E$4),CA$3)</f>
        <v>BallwurfResultat[@[Eingabe]]</v>
      </c>
      <c r="CQ1" s="91" t="str" cm="1">
        <f t="array" aca="1" ref="CQ1" ca="1">INDEX(INDIRECT($E$4),CM$3)</f>
        <v>KugelstossenResultat[@[Eingabe]]</v>
      </c>
      <c r="DC1" s="91" t="str" cm="1">
        <f t="array" aca="1" ref="DC1" ca="1">INDEX(INDIRECT($E$4),CY$3)</f>
        <v>SpeerwurfResultat[@[Eingabe]]</v>
      </c>
      <c r="DQ1" s="93"/>
      <c r="DR1" s="93"/>
      <c r="DS1" s="92" t="str">
        <f>Stammdaten!$BV$4</f>
        <v>StdGruppe[AnzGeforderteDiszGruppe]</v>
      </c>
      <c r="DV1" s="91"/>
      <c r="DW1" s="91"/>
      <c r="EL1" s="93"/>
      <c r="EM1" s="93"/>
      <c r="EN1" s="92" t="str">
        <f>Stammdaten!$BV$4</f>
        <v>StdGruppe[AnzGeforderteDiszGruppe]</v>
      </c>
      <c r="EQ1" s="91"/>
      <c r="ER1" s="91"/>
      <c r="FG1" s="93"/>
      <c r="FH1" s="93"/>
      <c r="FI1" s="92" t="str">
        <f>Stammdaten!$BV$4</f>
        <v>StdGruppe[AnzGeforderteDiszGruppe]</v>
      </c>
      <c r="FL1" s="91"/>
      <c r="FM1" s="91"/>
      <c r="GD1" s="93"/>
      <c r="GE1" s="93"/>
      <c r="GF1" s="92" t="str">
        <f>Stammdaten!$BV$4</f>
        <v>StdGruppe[AnzGeforderteDiszGruppe]</v>
      </c>
      <c r="GI1" s="91"/>
      <c r="GJ1" s="91"/>
      <c r="GX1" s="93"/>
      <c r="GY1" s="93"/>
      <c r="GZ1" s="92" t="str">
        <f>Stammdaten!$BQ$4</f>
        <v>StdBS[AnzGeforderteDiszBS]</v>
      </c>
      <c r="HA1" s="92" t="str">
        <f>Stammdaten!$BS$4</f>
        <v>StdBS[RundungDurchschnitt]</v>
      </c>
      <c r="HB1" s="92" t="str">
        <f>Diplom_Werte!$H$3</f>
        <v>AuswDipl1[Position]</v>
      </c>
      <c r="HP1" s="92">
        <v>2</v>
      </c>
      <c r="HR1" s="94"/>
      <c r="HS1" s="94"/>
      <c r="HT1" s="94"/>
      <c r="HU1" s="94"/>
      <c r="HV1" s="94"/>
      <c r="HW1" s="94"/>
      <c r="IA1" s="94"/>
      <c r="IB1" s="94"/>
      <c r="IC1" s="94"/>
      <c r="ID1" s="94"/>
      <c r="IE1" s="94"/>
      <c r="IF1" s="94"/>
      <c r="IJ1" s="94"/>
      <c r="IK1" s="94"/>
      <c r="IL1" s="94"/>
      <c r="IM1" s="94"/>
      <c r="IN1" s="94"/>
      <c r="IO1" s="94"/>
      <c r="IS1" s="94"/>
      <c r="IT1" s="94"/>
      <c r="IU1" s="94"/>
      <c r="IV1" s="94"/>
      <c r="IW1" s="94"/>
      <c r="IX1" s="94"/>
      <c r="JB1" s="94"/>
      <c r="JC1" s="94"/>
      <c r="JD1" s="94"/>
      <c r="JE1" s="94"/>
      <c r="JF1" s="94"/>
      <c r="JG1" s="94"/>
      <c r="JK1" s="94"/>
      <c r="JL1" s="94"/>
      <c r="JM1" s="94"/>
      <c r="JN1" s="94"/>
      <c r="JO1" s="94"/>
      <c r="JP1" s="94"/>
      <c r="JR1" s="92" t="str">
        <f>Stammdaten!$X$4</f>
        <v>StdDisziplinen[StdTabResRes]</v>
      </c>
      <c r="JS1" s="92" t="str">
        <f>Stammdaten!$X$4</f>
        <v>StdDisziplinen[StdTabResRes]</v>
      </c>
      <c r="JT1" s="92" t="str">
        <f>Stammdaten!$X$4</f>
        <v>StdDisziplinen[StdTabResRes]</v>
      </c>
      <c r="JU1" s="92" t="str">
        <f>Stammdaten!$X$4</f>
        <v>StdDisziplinen[StdTabResRes]</v>
      </c>
      <c r="JV1" s="92" t="str">
        <f>Stammdaten!$X$4</f>
        <v>StdDisziplinen[StdTabResRes]</v>
      </c>
      <c r="JW1" s="92" t="str">
        <f>Stammdaten!$X$4</f>
        <v>StdDisziplinen[StdTabResRes]</v>
      </c>
      <c r="KP1" s="92" t="str">
        <f>Stammdaten!$W$4</f>
        <v>StdDisziplinen[StdTabResEin]</v>
      </c>
      <c r="KQ1" s="92" t="str">
        <f>Stammdaten!$W$4</f>
        <v>StdDisziplinen[StdTabResEin]</v>
      </c>
      <c r="KR1" s="92" t="str">
        <f>Stammdaten!$W$4</f>
        <v>StdDisziplinen[StdTabResEin]</v>
      </c>
      <c r="KS1" s="92" t="str">
        <f>Stammdaten!$W$4</f>
        <v>StdDisziplinen[StdTabResEin]</v>
      </c>
      <c r="KT1" s="92" t="str">
        <f>Stammdaten!$W$4</f>
        <v>StdDisziplinen[StdTabResEin]</v>
      </c>
      <c r="KU1" s="92" t="str">
        <f>Stammdaten!$W$4</f>
        <v>StdDisziplinen[StdTabResEin]</v>
      </c>
      <c r="KV1" s="92" t="str">
        <f>Stammdaten!$X$4</f>
        <v>StdDisziplinen[StdTabResRes]</v>
      </c>
      <c r="KW1" s="92" t="str">
        <f>Stammdaten!$X$4</f>
        <v>StdDisziplinen[StdTabResRes]</v>
      </c>
      <c r="KX1" s="92" t="str">
        <f>Stammdaten!$X$4</f>
        <v>StdDisziplinen[StdTabResRes]</v>
      </c>
      <c r="KY1" s="92" t="str">
        <f>Stammdaten!$X$4</f>
        <v>StdDisziplinen[StdTabResRes]</v>
      </c>
      <c r="KZ1" s="92" t="str">
        <f>Stammdaten!$X$4</f>
        <v>StdDisziplinen[StdTabResRes]</v>
      </c>
      <c r="LA1" s="92" t="str">
        <f>Stammdaten!$X$4</f>
        <v>StdDisziplinen[StdTabResRes]</v>
      </c>
      <c r="LJ1" s="91"/>
      <c r="LK1" s="91"/>
      <c r="LV1" s="91"/>
      <c r="LW1" s="91"/>
      <c r="MH1" s="91"/>
      <c r="MI1" s="91"/>
      <c r="MS1" s="93"/>
      <c r="MT1" s="93"/>
      <c r="MU1" s="93"/>
      <c r="MV1" s="92" t="str">
        <f>Stammdaten!$BV$4</f>
        <v>StdGruppe[AnzGeforderteDiszGruppe]</v>
      </c>
      <c r="MY1" s="91"/>
      <c r="NI1" s="94"/>
      <c r="NJ1" s="94"/>
      <c r="NL1" s="91" t="str" cm="1">
        <f t="array" aca="1" ref="NL1" ca="1">INDEX(INDIRECT($E$4),NG$3)</f>
        <v>ParkourResultat[@[Eingabe]]</v>
      </c>
      <c r="NZ1" s="91"/>
      <c r="OA1" s="91"/>
      <c r="OM1" s="93"/>
      <c r="ON1" s="93"/>
      <c r="OO1" s="92" t="str">
        <f>Stammdaten!$BQ$4</f>
        <v>StdBS[AnzGeforderteDiszBS]</v>
      </c>
      <c r="OP1" s="92" t="str">
        <f>Stammdaten!$BS$4</f>
        <v>StdBS[RundungDurchschnitt]</v>
      </c>
      <c r="OQ1" s="92" t="str">
        <f>Diplom_Werte!$M$3</f>
        <v>AuswDipl2[Position]</v>
      </c>
      <c r="PC1" s="92">
        <v>3</v>
      </c>
      <c r="PE1" s="94"/>
      <c r="PG1" s="91" t="str" cm="1">
        <f t="array" aca="1" ref="PG1" ca="1">INDEX(INDIRECT($E$4),PC$3)</f>
        <v>TanzenResultat[@[Eingabe]]</v>
      </c>
      <c r="PQ1" s="94"/>
      <c r="PR1" s="94"/>
      <c r="PT1" s="91" t="str" cm="1">
        <f t="array" aca="1" ref="PT1" ca="1">INDEX(INDIRECT($E$4),PO$3)</f>
        <v>RopeSkippingResultat[@[Eingabe]]</v>
      </c>
      <c r="QD1" s="94"/>
      <c r="QF1" s="91" t="str" cm="1">
        <f t="array" aca="1" ref="QF1" ca="1">INDEX(INDIRECT($E$4),QB$3)</f>
        <v>AerobicResultat[@[Eingabe]]</v>
      </c>
      <c r="QU1" s="93"/>
      <c r="QV1" s="93"/>
      <c r="QW1" s="92" t="str">
        <f>Stammdaten!$BV$4</f>
        <v>StdGruppe[AnzGeforderteDiszGruppe]</v>
      </c>
      <c r="QZ1" s="91"/>
      <c r="RA1" s="91"/>
      <c r="RJ1" s="92" t="str">
        <f>Diplom_Werte!$R$3</f>
        <v>AuswDipl3[Position]</v>
      </c>
      <c r="RN1" s="92">
        <v>4</v>
      </c>
      <c r="RR1" s="91" t="str" cm="1">
        <f t="array" aca="1" ref="RR1" ca="1">INDEX(INDIRECT($E$4),RN$3)</f>
        <v>BasketballResultat[@[Eingabe]]</v>
      </c>
      <c r="SD1" s="91" t="str" cm="1">
        <f t="array" aca="1" ref="SD1" ca="1">INDEX(INDIRECT($E$4),RZ$3)</f>
        <v>FussballResultat[@[Eingabe]]</v>
      </c>
      <c r="SP1" s="91" t="str" cm="1">
        <f t="array" aca="1" ref="SP1" ca="1">INDEX(INDIRECT($E$4),SL$3)</f>
        <v>HandballResultat[@[Eingabe]]</v>
      </c>
      <c r="TB1" s="91" t="str" cm="1">
        <f t="array" aca="1" ref="TB1" ca="1">INDEX(INDIRECT($E$4),SX$3)</f>
        <v>UnihockeyResultat[@[Eingabe]]</v>
      </c>
      <c r="TL1" s="94"/>
      <c r="TM1" s="94"/>
      <c r="TO1" s="91" t="str" cm="1">
        <f t="array" aca="1" ref="TO1" ca="1">INDEX(INDIRECT($E$4),TJ$3)</f>
        <v>VolleyballResultat[@[Eingabe]]</v>
      </c>
      <c r="TW1" s="92" t="str">
        <f>Stammdaten!$AD$4</f>
        <v>StdDisziplinen[TabÜberschriftDurchschnitt]</v>
      </c>
      <c r="TX1" s="92" t="str">
        <f>Stammdaten!$AD$4</f>
        <v>StdDisziplinen[TabÜberschriftDurchschnitt]</v>
      </c>
      <c r="TY1" s="92" t="str">
        <f>Stammdaten!$AD$4</f>
        <v>StdDisziplinen[TabÜberschriftDurchschnitt]</v>
      </c>
      <c r="TZ1" s="92" t="str">
        <f>Stammdaten!$AD$4</f>
        <v>StdDisziplinen[TabÜberschriftDurchschnitt]</v>
      </c>
      <c r="UA1" s="92" t="str">
        <f>Stammdaten!$AD$4</f>
        <v>StdDisziplinen[TabÜberschriftDurchschnitt]</v>
      </c>
      <c r="UT1" s="92" t="str">
        <f>Stammdaten!$W$4</f>
        <v>StdDisziplinen[StdTabResEin]</v>
      </c>
      <c r="UU1" s="92" t="str">
        <f>Stammdaten!$W$4</f>
        <v>StdDisziplinen[StdTabResEin]</v>
      </c>
      <c r="UV1" s="92" t="str">
        <f>Stammdaten!$W$4</f>
        <v>StdDisziplinen[StdTabResEin]</v>
      </c>
      <c r="UW1" s="92" t="str">
        <f>Stammdaten!$W$4</f>
        <v>StdDisziplinen[StdTabResEin]</v>
      </c>
      <c r="UX1" s="92" t="str">
        <f>Stammdaten!$W$4</f>
        <v>StdDisziplinen[StdTabResEin]</v>
      </c>
      <c r="UY1" s="92" t="str">
        <f>Stammdaten!$X$4</f>
        <v>StdDisziplinen[StdTabResRes]</v>
      </c>
      <c r="UZ1" s="92" t="str">
        <f>Stammdaten!$X$4</f>
        <v>StdDisziplinen[StdTabResRes]</v>
      </c>
      <c r="VA1" s="92" t="str">
        <f>Stammdaten!$X$4</f>
        <v>StdDisziplinen[StdTabResRes]</v>
      </c>
      <c r="VB1" s="92" t="str">
        <f>Stammdaten!$X$4</f>
        <v>StdDisziplinen[StdTabResRes]</v>
      </c>
      <c r="VC1" s="92" t="str">
        <f>Stammdaten!$X$4</f>
        <v>StdDisziplinen[StdTabResRes]</v>
      </c>
      <c r="VL1" s="91"/>
      <c r="VM1" s="91"/>
      <c r="VX1" s="91"/>
      <c r="VY1" s="91"/>
      <c r="WJ1" s="91"/>
      <c r="WK1" s="91"/>
      <c r="XH1" s="93"/>
      <c r="XI1" s="93"/>
      <c r="XJ1" s="92" t="str">
        <f>Stammdaten!$BQ$4</f>
        <v>StdBS[AnzGeforderteDiszBS]</v>
      </c>
      <c r="XK1" s="92" t="str">
        <f>Stammdaten!$BS$4</f>
        <v>StdBS[RundungDurchschnitt]</v>
      </c>
      <c r="XL1" s="92" t="str">
        <f>Diplom_Werte!$W$3</f>
        <v>AuswDipl4[Position]</v>
      </c>
      <c r="YD1" s="93"/>
      <c r="YE1" s="93"/>
      <c r="YF1" s="91" t="str">
        <f>Stammdaten!$BQ$4</f>
        <v>StdBS[AnzGeforderteDiszBS]</v>
      </c>
      <c r="YG1" s="91"/>
      <c r="ZH1" s="92">
        <v>5</v>
      </c>
      <c r="ZJ1" s="92" t="str">
        <f>Stammdaten!$BZ$5</f>
        <v>Disziplin</v>
      </c>
      <c r="ZM1" s="92">
        <v>6</v>
      </c>
      <c r="ZW1" s="91" t="str" cm="1">
        <f t="array" aca="1" ref="ZW1" ca="1">INDEX(INDIRECT($E$4),ZM$3)</f>
        <v>SchwimmenResultatMin[@[Min]]</v>
      </c>
      <c r="ZX1" s="92" t="str">
        <f ca="1">REPLACE($ZW$1,FIND("@",$ZW$1,1)-4,3,"Sek")</f>
        <v>SchwimmenResultatSek[@[Min]]</v>
      </c>
      <c r="AAF1" s="92">
        <v>1</v>
      </c>
      <c r="AAT1" s="94"/>
      <c r="AAU1" s="94"/>
      <c r="AAW1" s="91" t="str" cm="1">
        <f t="array" aca="1" ref="AAW1" ca="1">INDEX(INDIRECT($E$4),AAR$3)</f>
        <v>BeweglichkeitResultat[@[Eingabe]]</v>
      </c>
      <c r="ABF1" s="94"/>
      <c r="ABG1" s="94"/>
      <c r="ABI1" s="91" t="str" cm="1">
        <f t="array" aca="1" ref="ABI1" ca="1">INDEX(INDIRECT($E$4),ABD$3)</f>
        <v>RumpfkraftResultat[@[Eingabe]]</v>
      </c>
      <c r="ACD1" s="94"/>
      <c r="ACE1" s="94"/>
      <c r="ACG1" s="91" t="str" cm="1">
        <f t="array" aca="1" ref="ACG1" ca="1">INDEX(INDIRECT($E$4),ACB$3)</f>
        <v>KonditionsparcoursResultat[@[Eingabe]]</v>
      </c>
    </row>
    <row r="2" spans="1:768" s="92" customFormat="1" hidden="1">
      <c r="A2" s="94" t="str">
        <f>Stammdaten!$BZ$2</f>
        <v>D</v>
      </c>
      <c r="B2" s="92" t="str">
        <f>Stammdaten!$BC$4</f>
        <v>StdDisziplinen[BedRes]</v>
      </c>
      <c r="C2" s="92" t="str">
        <f>Stammdaten!$AO$4</f>
        <v>StdDisziplinen[Rundung_Stellen]</v>
      </c>
      <c r="D2" s="91"/>
      <c r="E2" s="92" t="str">
        <f>Stammdaten!$AP$4</f>
        <v>StdDisziplinen[Rundung_Aufrunden]</v>
      </c>
      <c r="F2" s="91"/>
      <c r="G2" s="92">
        <v>1</v>
      </c>
      <c r="K2" s="91" t="str" cm="1">
        <f t="array" aca="1" ref="K2" ca="1">INDEX(INDIRECT($E$5),G$3)</f>
        <v>SechzigmLaufResultat[@[Resultat]]</v>
      </c>
      <c r="W2" s="91" t="str" cm="1">
        <f t="array" aca="1" ref="W2" ca="1">INDEX(INDIRECT($E$5),S$3)</f>
        <v>AchtzigmLaufResultat[@[Resultat]]</v>
      </c>
      <c r="AE2" s="92">
        <v>2</v>
      </c>
      <c r="AI2" s="91" t="str" cm="1">
        <f t="array" aca="1" ref="AI2" ca="1">INDEX(INDIRECT($E$5),AE$3)</f>
        <v>ZwölfMinLaufHalleResultat[@[Resultat]]</v>
      </c>
      <c r="AU2" s="91" t="str" cm="1">
        <f t="array" aca="1" ref="AU2" ca="1">INDEX(INDIRECT($E$5),AQ$3)</f>
        <v>ZwölfMinLaufimFreienResultat[@[Resultat]]</v>
      </c>
      <c r="BC2" s="92">
        <v>3</v>
      </c>
      <c r="BG2" s="91" t="str" cm="1">
        <f t="array" aca="1" ref="BG2" ca="1">INDEX(INDIRECT($E$5),BC$3)</f>
        <v>HochsprungResultat[@[Resultat]]</v>
      </c>
      <c r="BS2" s="91" t="str" cm="1">
        <f t="array" aca="1" ref="BS2" ca="1">INDEX(INDIRECT($E$5),BO$3)</f>
        <v>WeitsprungResultat[@[Resultat]]</v>
      </c>
      <c r="CA2" s="92">
        <v>4</v>
      </c>
      <c r="CE2" s="91" t="str" cm="1">
        <f t="array" aca="1" ref="CE2" ca="1">INDEX(INDIRECT($E$5),CA$3)</f>
        <v>BallwurfResultat[@[Resultat]]</v>
      </c>
      <c r="CQ2" s="91" t="str" cm="1">
        <f t="array" aca="1" ref="CQ2" ca="1">INDEX(INDIRECT($E$5),CM$3)</f>
        <v>KugelstossenResultat[@[Resultat]]</v>
      </c>
      <c r="DC2" s="91" t="str" cm="1">
        <f t="array" aca="1" ref="DC2" ca="1">INDEX(INDIRECT($E$5),CY$3)</f>
        <v>SpeerwurfResultat[@[Resultat]]</v>
      </c>
      <c r="DK2" s="92">
        <f>G$2</f>
        <v>1</v>
      </c>
      <c r="DQ2" s="93"/>
      <c r="DR2" s="93"/>
      <c r="DS2" s="93"/>
      <c r="EF2" s="92">
        <f>AE$2</f>
        <v>2</v>
      </c>
      <c r="EL2" s="93"/>
      <c r="EM2" s="93"/>
      <c r="EN2" s="93"/>
      <c r="FA2" s="92">
        <f>BC$2</f>
        <v>3</v>
      </c>
      <c r="FG2" s="93"/>
      <c r="FH2" s="93"/>
      <c r="FI2" s="93"/>
      <c r="FV2" s="92">
        <f>CA$2</f>
        <v>4</v>
      </c>
      <c r="GD2" s="93"/>
      <c r="GE2" s="93"/>
      <c r="GF2" s="93"/>
      <c r="GX2" s="93"/>
      <c r="GY2" s="93"/>
      <c r="GZ2" s="93"/>
      <c r="HB2" s="92" t="str">
        <f>Diplom_Werte!$F$3</f>
        <v>AuswDipl1[BS_11]</v>
      </c>
      <c r="HP2" s="92">
        <v>5</v>
      </c>
      <c r="HR2" s="94"/>
      <c r="HS2" s="94"/>
      <c r="HT2" s="94"/>
      <c r="HU2" s="94"/>
      <c r="HV2" s="94"/>
      <c r="HW2" s="94"/>
      <c r="IA2" s="94"/>
      <c r="IB2" s="94"/>
      <c r="IC2" s="94"/>
      <c r="ID2" s="94"/>
      <c r="IE2" s="94"/>
      <c r="IF2" s="94"/>
      <c r="IJ2" s="94"/>
      <c r="IK2" s="94"/>
      <c r="IL2" s="94"/>
      <c r="IM2" s="94"/>
      <c r="IN2" s="94"/>
      <c r="IO2" s="94"/>
      <c r="IS2" s="94"/>
      <c r="IT2" s="94"/>
      <c r="IU2" s="94"/>
      <c r="IV2" s="94"/>
      <c r="IW2" s="94"/>
      <c r="IX2" s="94"/>
      <c r="JB2" s="94"/>
      <c r="JC2" s="94"/>
      <c r="JD2" s="94"/>
      <c r="JE2" s="94"/>
      <c r="JF2" s="94"/>
      <c r="JG2" s="94"/>
      <c r="JK2" s="94"/>
      <c r="JL2" s="94"/>
      <c r="JM2" s="94"/>
      <c r="JN2" s="94"/>
      <c r="JO2" s="94"/>
      <c r="JP2" s="94"/>
      <c r="JR2" s="92" t="str">
        <f>Stammdaten!$R$4</f>
        <v>StdDisziplinen[StdDisziplin]</v>
      </c>
      <c r="JS2" s="92" t="str">
        <f>Stammdaten!$R$4</f>
        <v>StdDisziplinen[StdDisziplin]</v>
      </c>
      <c r="JT2" s="92" t="str">
        <f>Stammdaten!$R$4</f>
        <v>StdDisziplinen[StdDisziplin]</v>
      </c>
      <c r="JU2" s="92" t="str">
        <f>Stammdaten!$R$4</f>
        <v>StdDisziplinen[StdDisziplin]</v>
      </c>
      <c r="JV2" s="92" t="str">
        <f>Stammdaten!$R$4</f>
        <v>StdDisziplinen[StdDisziplin]</v>
      </c>
      <c r="JW2" s="92" t="str">
        <f>Stammdaten!$R$4</f>
        <v>StdDisziplinen[StdDisziplin]</v>
      </c>
      <c r="KP2" s="92">
        <f>$HP$3</f>
        <v>10</v>
      </c>
      <c r="KQ2" s="92">
        <f>$HY$3</f>
        <v>11</v>
      </c>
      <c r="KR2" s="92">
        <f>$IH$3</f>
        <v>12</v>
      </c>
      <c r="KS2" s="92">
        <f>$IQ$3</f>
        <v>13</v>
      </c>
      <c r="KT2" s="92">
        <f>$IZ$3</f>
        <v>14</v>
      </c>
      <c r="KU2" s="92">
        <f>$JI$3</f>
        <v>15</v>
      </c>
      <c r="KV2" s="92">
        <f>$HP$3</f>
        <v>10</v>
      </c>
      <c r="KW2" s="92">
        <f>$HY$3</f>
        <v>11</v>
      </c>
      <c r="KX2" s="92">
        <f>$IH$3</f>
        <v>12</v>
      </c>
      <c r="KY2" s="92">
        <f>$IQ$3</f>
        <v>13</v>
      </c>
      <c r="KZ2" s="92">
        <f>$IZ$3</f>
        <v>14</v>
      </c>
      <c r="LA2" s="92">
        <f>$JI$3</f>
        <v>15</v>
      </c>
      <c r="LB2" s="91"/>
      <c r="LC2" s="91"/>
      <c r="LD2" s="91"/>
      <c r="LE2" s="91"/>
      <c r="LF2" s="91"/>
      <c r="LG2" s="91"/>
      <c r="MS2" s="93"/>
      <c r="MT2" s="93"/>
      <c r="MU2" s="93"/>
      <c r="MV2" s="93"/>
      <c r="NI2" s="94"/>
      <c r="NJ2" s="94"/>
      <c r="NL2" s="91" t="str" cm="1">
        <f t="array" aca="1" ref="NL2" ca="1">INDEX(INDIRECT($E$5),NG$3)</f>
        <v>ParkourResultat[@[Resultat]]</v>
      </c>
      <c r="NT2" s="92">
        <f>$HP$1</f>
        <v>2</v>
      </c>
      <c r="NU2" s="91"/>
      <c r="NV2" s="91"/>
      <c r="OM2" s="93"/>
      <c r="ON2" s="93"/>
      <c r="OO2" s="93"/>
      <c r="OQ2" s="92" t="str">
        <f>Diplom_Werte!$K$3</f>
        <v>AuswDipl2[BS_21]</v>
      </c>
      <c r="PE2" s="94"/>
      <c r="PG2" s="91" t="str" cm="1">
        <f t="array" aca="1" ref="PG2" ca="1">INDEX(INDIRECT($E$5),PC$3)</f>
        <v>TanzenResultat[@[Resultat]]</v>
      </c>
      <c r="PQ2" s="94"/>
      <c r="PR2" s="94"/>
      <c r="PT2" s="91" t="str" cm="1">
        <f t="array" aca="1" ref="PT2" ca="1">INDEX(INDIRECT($E$5),PO$3)</f>
        <v>RopeSkippingResultat[@[Resultat]]</v>
      </c>
      <c r="QD2" s="94"/>
      <c r="QF2" s="91" t="str" cm="1">
        <f t="array" aca="1" ref="QF2" ca="1">INDEX(INDIRECT($E$5),QB$3)</f>
        <v>AerobicResultat[@[Resultat]]</v>
      </c>
      <c r="QN2" s="92">
        <f>$PC$1</f>
        <v>3</v>
      </c>
      <c r="QU2" s="93"/>
      <c r="QV2" s="93"/>
      <c r="QW2" s="93"/>
      <c r="RJ2" s="92" t="str">
        <f>Diplom_Werte!$P$3</f>
        <v>AuswDipl3[BS_31]</v>
      </c>
      <c r="RR2" s="91" t="str" cm="1">
        <f t="array" aca="1" ref="RR2" ca="1">INDEX(INDIRECT($E$5),RN$3)</f>
        <v>BasketballResultat[@[Resultat]]</v>
      </c>
      <c r="SD2" s="91" t="str" cm="1">
        <f t="array" aca="1" ref="SD2" ca="1">INDEX(INDIRECT($E$5),RZ$3)</f>
        <v>FussballResultat[@[Resultat]]</v>
      </c>
      <c r="SP2" s="91" t="str" cm="1">
        <f t="array" aca="1" ref="SP2" ca="1">INDEX(INDIRECT($E$5),SL$3)</f>
        <v>HandballResultat[@[Resultat]]</v>
      </c>
      <c r="TB2" s="91" t="str" cm="1">
        <f t="array" aca="1" ref="TB2" ca="1">INDEX(INDIRECT($E$5),SX$3)</f>
        <v>UnihockeyResultat[@[Resultat]]</v>
      </c>
      <c r="TL2" s="94"/>
      <c r="TM2" s="94"/>
      <c r="TO2" s="91" t="str" cm="1">
        <f t="array" aca="1" ref="TO2" ca="1">INDEX(INDIRECT($E$5),TJ$3)</f>
        <v>VolleyballResultat[@[Resultat]]</v>
      </c>
      <c r="TW2" s="92" t="str">
        <f>Stammdaten!$R$4</f>
        <v>StdDisziplinen[StdDisziplin]</v>
      </c>
      <c r="TX2" s="92" t="str">
        <f>Stammdaten!$R$4</f>
        <v>StdDisziplinen[StdDisziplin]</v>
      </c>
      <c r="TY2" s="92" t="str">
        <f>Stammdaten!$R$4</f>
        <v>StdDisziplinen[StdDisziplin]</v>
      </c>
      <c r="TZ2" s="92" t="str">
        <f>Stammdaten!$R$4</f>
        <v>StdDisziplinen[StdDisziplin]</v>
      </c>
      <c r="UA2" s="92" t="str">
        <f>Stammdaten!$R$4</f>
        <v>StdDisziplinen[StdDisziplin]</v>
      </c>
      <c r="UT2" s="92">
        <f>$RN$3</f>
        <v>20</v>
      </c>
      <c r="UU2" s="92">
        <f>$RZ$3</f>
        <v>21</v>
      </c>
      <c r="UV2" s="92">
        <f>$SL$3</f>
        <v>22</v>
      </c>
      <c r="UW2" s="92">
        <f>$SX$3</f>
        <v>23</v>
      </c>
      <c r="UX2" s="92">
        <f>$TJ$3</f>
        <v>24</v>
      </c>
      <c r="UY2" s="92">
        <f>$RN$3</f>
        <v>20</v>
      </c>
      <c r="UZ2" s="92">
        <f>$RZ$3</f>
        <v>21</v>
      </c>
      <c r="VA2" s="92">
        <f>$SL$3</f>
        <v>22</v>
      </c>
      <c r="VB2" s="92">
        <f>$SX$3</f>
        <v>23</v>
      </c>
      <c r="VC2" s="92">
        <f>$TJ$3</f>
        <v>24</v>
      </c>
      <c r="VD2" s="91"/>
      <c r="VE2" s="91"/>
      <c r="VF2" s="91"/>
      <c r="VG2" s="91"/>
      <c r="VH2" s="91"/>
      <c r="VI2" s="91"/>
      <c r="WT2" s="92">
        <f>$RN$1</f>
        <v>4</v>
      </c>
      <c r="WX2" s="91"/>
      <c r="WY2" s="91"/>
      <c r="WZ2" s="91"/>
      <c r="XA2" s="91"/>
      <c r="XB2" s="91"/>
      <c r="XH2" s="93"/>
      <c r="XI2" s="93"/>
      <c r="XJ2" s="93"/>
      <c r="XL2" s="92" t="str">
        <f>Diplom_Werte!$U$3</f>
        <v>AuswDipl4[BS_41]</v>
      </c>
      <c r="YD2" s="93"/>
      <c r="YE2" s="93"/>
      <c r="YF2" s="93"/>
      <c r="ZJ2" s="91"/>
      <c r="ZW2" s="91" t="str" cm="1">
        <f t="array" aca="1" ref="ZW2" ca="1">INDEX(INDIRECT($E$5),ZM$3)</f>
        <v>SchwimmenResultatMin[@[Resultat]]</v>
      </c>
      <c r="ZX2" s="92" t="str">
        <f ca="1">REPLACE($ZW$2,FIND("@",$ZW$2,1)-4,3,"Sek")</f>
        <v>SchwimmenResultatSek[@[Resultat]]</v>
      </c>
      <c r="AAA2" s="91"/>
      <c r="AAF2" s="92">
        <v>3</v>
      </c>
      <c r="AAR2" s="92">
        <v>27</v>
      </c>
      <c r="AAT2" s="94"/>
      <c r="AAU2" s="94"/>
      <c r="AAW2" s="91" t="str" cm="1">
        <f t="array" aca="1" ref="AAW2" ca="1">INDEX(INDIRECT($E$5),AAR$3)</f>
        <v>BeweglichkeitResultat[@[Resultat]]</v>
      </c>
      <c r="ABD2" s="92">
        <v>28</v>
      </c>
      <c r="ABF2" s="94"/>
      <c r="ABG2" s="94"/>
      <c r="ABI2" s="91" t="str" cm="1">
        <f t="array" aca="1" ref="ABI2" ca="1">INDEX(INDIRECT($E$5),ABD$3)</f>
        <v>RumpfkraftResultat[@[Resultat]]</v>
      </c>
      <c r="ABP2" s="92">
        <v>1</v>
      </c>
      <c r="ACD2" s="94"/>
      <c r="ACE2" s="94"/>
      <c r="ACG2" s="91" t="str" cm="1">
        <f t="array" aca="1" ref="ACG2" ca="1">INDEX(INDIRECT($E$5),ACB$3)</f>
        <v>KonditionsparcoursResultat[@[Resultat]]</v>
      </c>
    </row>
    <row r="3" spans="1:768" s="92" customFormat="1" hidden="1">
      <c r="A3" s="92" t="str">
        <f>Stammdaten!$BZ$3</f>
        <v>Dispensiert</v>
      </c>
      <c r="B3" s="91" t="str">
        <f>Stammdaten!$AR$4</f>
        <v>StdDisziplinen[StufeMax]</v>
      </c>
      <c r="C3" s="91" t="str">
        <f>Stammdaten!$AM$4</f>
        <v>StdDisziplinen[Maximalwert_Text]</v>
      </c>
      <c r="D3" s="91"/>
      <c r="E3" s="91" t="str">
        <f>Stammdaten!$AK$4</f>
        <v>StdDisziplinen[Maximalwert_OS1]</v>
      </c>
      <c r="F3" s="91"/>
      <c r="G3" s="92">
        <v>1</v>
      </c>
      <c r="K3" s="91" t="str" cm="1">
        <f t="array" aca="1" ref="K3" ca="1">INDEX(INDIRECT(Stammdaten!$Z$4),G$3)</f>
        <v>SechzigmLaufGerundet[@[Rundung]]</v>
      </c>
      <c r="Q3" s="92" t="str" cm="1">
        <f t="array" aca="1" ref="Q3" ca="1">INDEX(INDIRECT($B$3),G$3)</f>
        <v>_Stufe_Sech</v>
      </c>
      <c r="S3" s="92">
        <v>2</v>
      </c>
      <c r="W3" s="91" t="str" cm="1">
        <f t="array" aca="1" ref="W3" ca="1">INDEX(INDIRECT(Stammdaten!$Z$4),S$3)</f>
        <v>AchtzigmLaufGerundet[@[Rundung]]</v>
      </c>
      <c r="AC3" s="92" t="str" cm="1">
        <f t="array" aca="1" ref="AC3" ca="1">INDEX(INDIRECT($B$3),S$3)</f>
        <v>_Stufe_Acht</v>
      </c>
      <c r="AE3" s="92">
        <v>3</v>
      </c>
      <c r="AI3" s="91" t="str" cm="1">
        <f t="array" aca="1" ref="AI3" ca="1">INDEX(INDIRECT(Stammdaten!$Z$4),AE$3)</f>
        <v>ZwölfMinLaufHalleGerundet[@[Rundung]]</v>
      </c>
      <c r="AO3" s="92" t="str" cm="1">
        <f t="array" aca="1" ref="AO3" ca="1">INDEX(INDIRECT($B$3),AE$3)</f>
        <v>_Stufe_ZwölH</v>
      </c>
      <c r="AQ3" s="92">
        <v>4</v>
      </c>
      <c r="AU3" s="91" t="str" cm="1">
        <f t="array" aca="1" ref="AU3" ca="1">INDEX(INDIRECT(Stammdaten!$Z$4),AQ$3)</f>
        <v>ZwölfMinLaufimFreienGerundet[@[Rundung]]</v>
      </c>
      <c r="BA3" s="92" t="str" cm="1">
        <f t="array" aca="1" ref="BA3" ca="1">INDEX(INDIRECT($B$3),AQ$3)</f>
        <v>_Stufe_ZwölF</v>
      </c>
      <c r="BC3" s="92">
        <v>5</v>
      </c>
      <c r="BG3" s="91" t="str" cm="1">
        <f t="array" aca="1" ref="BG3" ca="1">INDEX(INDIRECT(Stammdaten!$Z$4),BC$3)</f>
        <v>HochsprungGerundet[@[Rundung]]</v>
      </c>
      <c r="BM3" s="92" t="str" cm="1">
        <f t="array" aca="1" ref="BM3" ca="1">INDEX(INDIRECT($B$3),BC$3)</f>
        <v>_Stufe_Hoch</v>
      </c>
      <c r="BO3" s="92">
        <v>6</v>
      </c>
      <c r="BS3" s="91" t="str" cm="1">
        <f t="array" aca="1" ref="BS3" ca="1">INDEX(INDIRECT(Stammdaten!$Z$4),BO$3)</f>
        <v>WeitsprungGerundet[@[Rundung]]</v>
      </c>
      <c r="BY3" s="92" t="str" cm="1">
        <f t="array" aca="1" ref="BY3" ca="1">INDEX(INDIRECT($B$3),BO$3)</f>
        <v>_Stufe_Weit</v>
      </c>
      <c r="CA3" s="92">
        <v>7</v>
      </c>
      <c r="CE3" s="91" t="str" cm="1">
        <f t="array" aca="1" ref="CE3" ca="1">INDEX(INDIRECT(Stammdaten!$Z$4),CA$3)</f>
        <v>BallwurfGerundet[@[Rundung]]</v>
      </c>
      <c r="CJ3" s="91"/>
      <c r="CK3" s="92" t="str" cm="1">
        <f t="array" aca="1" ref="CK3" ca="1">INDEX(INDIRECT($B$3),CA$3)</f>
        <v>_Stufe_Ball</v>
      </c>
      <c r="CM3" s="92">
        <v>8</v>
      </c>
      <c r="CQ3" s="91" t="str" cm="1">
        <f t="array" aca="1" ref="CQ3" ca="1">INDEX(INDIRECT(Stammdaten!$Z$4),CM$3)</f>
        <v>KugelstossenGerundet[@[Rundung]]</v>
      </c>
      <c r="CW3" s="92" t="str" cm="1">
        <f t="array" aca="1" ref="CW3" ca="1">INDEX(INDIRECT($B$3),CM$3)</f>
        <v>_Stufe_Kuge</v>
      </c>
      <c r="CY3" s="92">
        <v>9</v>
      </c>
      <c r="DC3" s="91" t="str" cm="1">
        <f t="array" aca="1" ref="DC3" ca="1">INDEX(INDIRECT(Stammdaten!$Z$4),CY$3)</f>
        <v>SpeerwurfGerundet[@[Rundung]]</v>
      </c>
      <c r="DI3" s="92" t="str" cm="1">
        <f t="array" aca="1" ref="DI3" ca="1">INDEX(INDIRECT($B$3),CY$3)</f>
        <v>_Stufe_Spee</v>
      </c>
      <c r="DQ3" s="93"/>
      <c r="DR3" s="93"/>
      <c r="DS3" s="93"/>
      <c r="EL3" s="93"/>
      <c r="EM3" s="93"/>
      <c r="EN3" s="93"/>
      <c r="FG3" s="93"/>
      <c r="FH3" s="93"/>
      <c r="FI3" s="93"/>
      <c r="GD3" s="93"/>
      <c r="GE3" s="93"/>
      <c r="GF3" s="93"/>
      <c r="GX3" s="93"/>
      <c r="GY3" s="93"/>
      <c r="GZ3" s="93"/>
      <c r="HP3" s="92">
        <v>10</v>
      </c>
      <c r="HR3" s="94"/>
      <c r="HS3" s="94"/>
      <c r="HT3" s="94"/>
      <c r="HU3" s="94"/>
      <c r="HV3" s="94"/>
      <c r="HW3" s="94" t="str" cm="1">
        <f t="array" aca="1" ref="HW3" ca="1">INDEX(INDIRECT($B$3),HP$3)</f>
        <v>_Stufe_Reck</v>
      </c>
      <c r="HY3" s="92">
        <v>11</v>
      </c>
      <c r="IA3" s="94"/>
      <c r="IB3" s="94"/>
      <c r="IC3" s="94"/>
      <c r="ID3" s="94"/>
      <c r="IE3" s="94"/>
      <c r="IF3" s="94" t="str" cm="1">
        <f t="array" aca="1" ref="IF3" ca="1">INDEX(INDIRECT($B$3),HY$3)</f>
        <v>_Stufe_Bode</v>
      </c>
      <c r="IH3" s="92">
        <v>12</v>
      </c>
      <c r="IJ3" s="94"/>
      <c r="IK3" s="94"/>
      <c r="IL3" s="94"/>
      <c r="IM3" s="94"/>
      <c r="IN3" s="94"/>
      <c r="IO3" s="94" t="str" cm="1">
        <f t="array" aca="1" ref="IO3" ca="1">INDEX(INDIRECT($B$3),IH$3)</f>
        <v>_Stufe_Stuf</v>
      </c>
      <c r="IQ3" s="92">
        <v>13</v>
      </c>
      <c r="IS3" s="94"/>
      <c r="IT3" s="94"/>
      <c r="IU3" s="94"/>
      <c r="IV3" s="94"/>
      <c r="IW3" s="94"/>
      <c r="IX3" s="94" t="str" cm="1">
        <f t="array" aca="1" ref="IX3" ca="1">INDEX(INDIRECT($B$3),IQ$3)</f>
        <v>_Stufe_Para</v>
      </c>
      <c r="IZ3" s="92">
        <v>14</v>
      </c>
      <c r="JB3" s="94"/>
      <c r="JC3" s="94"/>
      <c r="JD3" s="94"/>
      <c r="JE3" s="94"/>
      <c r="JF3" s="94"/>
      <c r="JG3" s="94" t="str" cm="1">
        <f t="array" aca="1" ref="JG3" ca="1">INDEX(INDIRECT($B$3),IZ$3)</f>
        <v>_Stufe_Scha</v>
      </c>
      <c r="JI3" s="92">
        <v>15</v>
      </c>
      <c r="JK3" s="94"/>
      <c r="JL3" s="94"/>
      <c r="JM3" s="94"/>
      <c r="JN3" s="94"/>
      <c r="JO3" s="94"/>
      <c r="JP3" s="94" t="str" cm="1">
        <f t="array" aca="1" ref="JP3" ca="1">INDEX(INDIRECT($B$3),JI$3)</f>
        <v>_Stufe_Spru</v>
      </c>
      <c r="JR3" s="92" t="str" cm="1">
        <f t="array" aca="1" ref="JR3" ca="1">INDEX(INDIRECT(JR$1),JR$4)</f>
        <v>ReckResultat[@[Resultat]]</v>
      </c>
      <c r="JS3" s="92" t="str" cm="1">
        <f t="array" aca="1" ref="JS3" ca="1">INDEX(INDIRECT(JS$1),JS$4)</f>
        <v>BodenResultat[@[Resultat]]</v>
      </c>
      <c r="JT3" s="92" t="str" cm="1">
        <f t="array" aca="1" ref="JT3" ca="1">INDEX(INDIRECT(JT$1),JT$4)</f>
        <v>StufenbarrenResultat[@[Resultat]]</v>
      </c>
      <c r="JU3" s="92" t="str" cm="1">
        <f t="array" aca="1" ref="JU3" ca="1">INDEX(INDIRECT(JU$1),JU$4)</f>
        <v>ParallelbarrenResultat[@[Resultat]]</v>
      </c>
      <c r="JV3" s="92" t="str" cm="1">
        <f t="array" aca="1" ref="JV3" ca="1">INDEX(INDIRECT(JV$1),JV$4)</f>
        <v>SchaukelringeResultat[@[Resultat]]</v>
      </c>
      <c r="JW3" s="92" t="str" cm="1">
        <f t="array" aca="1" ref="JW3" ca="1">INDEX(INDIRECT(JW$1),JW$4)</f>
        <v>SprungResultat[@[Resultat]]</v>
      </c>
      <c r="KP3" s="92" t="str" cm="1">
        <f t="array" aca="1" ref="KP3" ca="1">INDEX(INDIRECT(KP$1),KP$2)</f>
        <v>ReckResultat[@[Eingabe]]</v>
      </c>
      <c r="KQ3" s="92" t="str" cm="1">
        <f t="array" aca="1" ref="KQ3" ca="1">INDEX(INDIRECT(KQ$1),KQ$2)</f>
        <v>BodenResultat[@[Eingabe]]</v>
      </c>
      <c r="KR3" s="92" t="str" cm="1">
        <f t="array" aca="1" ref="KR3" ca="1">INDEX(INDIRECT(KR$1),KR$2)</f>
        <v>StufenbarrenResultat[@[Eingabe]]</v>
      </c>
      <c r="KS3" s="92" t="str" cm="1">
        <f t="array" aca="1" ref="KS3" ca="1">INDEX(INDIRECT(KS$1),KS$2)</f>
        <v>ParallelbarrenResultat[@[Eingabe]]</v>
      </c>
      <c r="KT3" s="92" t="str" cm="1">
        <f t="array" aca="1" ref="KT3" ca="1">INDEX(INDIRECT(KT$1),KT$2)</f>
        <v>SchaukelringeResultat[@[Eingabe]]</v>
      </c>
      <c r="KU3" s="92" t="str" cm="1">
        <f t="array" aca="1" ref="KU3" ca="1">INDEX(INDIRECT(KU$1),KU$2)</f>
        <v>SprungResultat[@[Eingabe]]</v>
      </c>
      <c r="KV3" s="92" t="str" cm="1">
        <f t="array" aca="1" ref="KV3" ca="1">INDEX(INDIRECT(KV$1),KV$2)</f>
        <v>ReckResultat[@[Resultat]]</v>
      </c>
      <c r="KW3" s="92" t="str" cm="1">
        <f t="array" aca="1" ref="KW3" ca="1">INDEX(INDIRECT(KW$1),KW$2)</f>
        <v>BodenResultat[@[Resultat]]</v>
      </c>
      <c r="KX3" s="92" t="str" cm="1">
        <f t="array" aca="1" ref="KX3" ca="1">INDEX(INDIRECT(KX$1),KX$2)</f>
        <v>StufenbarrenResultat[@[Resultat]]</v>
      </c>
      <c r="KY3" s="92" t="str" cm="1">
        <f t="array" aca="1" ref="KY3" ca="1">INDEX(INDIRECT(KY$1),KY$2)</f>
        <v>ParallelbarrenResultat[@[Resultat]]</v>
      </c>
      <c r="KZ3" s="92" t="str" cm="1">
        <f t="array" aca="1" ref="KZ3" ca="1">INDEX(INDIRECT(KZ$1),KZ$2)</f>
        <v>SchaukelringeResultat[@[Resultat]]</v>
      </c>
      <c r="LA3" s="92" t="str" cm="1">
        <f t="array" aca="1" ref="LA3" ca="1">INDEX(INDIRECT(LA$1),LA$2)</f>
        <v>SprungResultat[@[Resultat]]</v>
      </c>
      <c r="MS3" s="93"/>
      <c r="MT3" s="93"/>
      <c r="MU3" s="93"/>
      <c r="MV3" s="93"/>
      <c r="MW3" s="92">
        <f>Stammdaten!$L$41</f>
        <v>36</v>
      </c>
      <c r="MY3" s="91" t="str" cm="1">
        <f t="array" aca="1" ref="MY3" ca="1">INDEX(INDIRECT(Stammdaten!$Z$4),MW$3)</f>
        <v>GeräteturnenGerundet[@[Rundung]]</v>
      </c>
      <c r="NG3" s="92">
        <v>16</v>
      </c>
      <c r="NI3" s="94"/>
      <c r="NJ3" s="94"/>
      <c r="NL3" s="91" t="str" cm="1">
        <f t="array" aca="1" ref="NL3" ca="1">INDEX(INDIRECT(Stammdaten!$Z$4),NG$3)</f>
        <v>ParkourGerundet[@[Rundung]]</v>
      </c>
      <c r="NR3" s="92" t="str" cm="1">
        <f t="array" aca="1" ref="NR3" ca="1">INDEX(INDIRECT($B$3),NG$3)</f>
        <v>_Stufe_Park</v>
      </c>
      <c r="OM3" s="93"/>
      <c r="ON3" s="93"/>
      <c r="OO3" s="93"/>
      <c r="PC3" s="92">
        <v>17</v>
      </c>
      <c r="PE3" s="94"/>
      <c r="PG3" s="91" t="str" cm="1">
        <f t="array" aca="1" ref="PG3" ca="1">INDEX(INDIRECT(Stammdaten!$Z$4),PC$3)</f>
        <v>TanzenGerundet[@[Rundung]]</v>
      </c>
      <c r="PM3" s="92" t="str" cm="1">
        <f t="array" aca="1" ref="PM3" ca="1">INDEX(INDIRECT($B$3),PC$3)</f>
        <v>_Stufe_Tanz</v>
      </c>
      <c r="PO3" s="92">
        <v>18</v>
      </c>
      <c r="PQ3" s="94"/>
      <c r="PR3" s="94"/>
      <c r="PT3" s="91" t="str" cm="1">
        <f t="array" aca="1" ref="PT3" ca="1">INDEX(INDIRECT(Stammdaten!$Z$4),PO$3)</f>
        <v>RopeSkippingGerundet[@[Rundung]]</v>
      </c>
      <c r="PZ3" s="92" t="str" cm="1">
        <f t="array" aca="1" ref="PZ3" ca="1">INDEX(INDIRECT($B$3),PO$3)</f>
        <v>_Stufe_Rope</v>
      </c>
      <c r="QB3" s="92">
        <v>19</v>
      </c>
      <c r="QD3" s="94"/>
      <c r="QF3" s="91" t="str" cm="1">
        <f t="array" aca="1" ref="QF3" ca="1">INDEX(INDIRECT(Stammdaten!$Z$4),QB$3)</f>
        <v>AerobicGerundet[@[Rundung]]</v>
      </c>
      <c r="QL3" s="92" t="str" cm="1">
        <f t="array" aca="1" ref="QL3" ca="1">INDEX(INDIRECT($B$3),QB$3)</f>
        <v>_Stufe_Aero</v>
      </c>
      <c r="QU3" s="93"/>
      <c r="QV3" s="93"/>
      <c r="QW3" s="93"/>
      <c r="RN3" s="92">
        <v>20</v>
      </c>
      <c r="RR3" s="91" t="str" cm="1">
        <f t="array" aca="1" ref="RR3" ca="1">INDEX(INDIRECT(Stammdaten!$Z$4),RN$3)</f>
        <v>BasketballGerundet[@[Rundung]]</v>
      </c>
      <c r="RX3" s="92" t="str" cm="1">
        <f t="array" aca="1" ref="RX3" ca="1">INDEX(INDIRECT($B$3),RN$3)</f>
        <v>_Stufe_Bask</v>
      </c>
      <c r="RZ3" s="92">
        <v>21</v>
      </c>
      <c r="SD3" s="91" t="str" cm="1">
        <f t="array" aca="1" ref="SD3" ca="1">INDEX(INDIRECT(Stammdaten!$Z$4),RZ$3)</f>
        <v>FussballGerundet[@[Rundung]]</v>
      </c>
      <c r="SJ3" s="92" t="str" cm="1">
        <f t="array" aca="1" ref="SJ3" ca="1">INDEX(INDIRECT($B$3),RZ$3)</f>
        <v>_Stufe_Fuss</v>
      </c>
      <c r="SL3" s="92">
        <v>22</v>
      </c>
      <c r="SP3" s="91" t="str" cm="1">
        <f t="array" aca="1" ref="SP3" ca="1">INDEX(INDIRECT(Stammdaten!$Z$4),SL$3)</f>
        <v>HandballGerundet[@[Rundung]]</v>
      </c>
      <c r="SV3" s="92" t="str" cm="1">
        <f t="array" aca="1" ref="SV3" ca="1">INDEX(INDIRECT($B$3),SL$3)</f>
        <v>_Stufe_Hand</v>
      </c>
      <c r="SX3" s="92">
        <v>23</v>
      </c>
      <c r="TB3" s="91" t="str" cm="1">
        <f t="array" aca="1" ref="TB3" ca="1">INDEX(INDIRECT(Stammdaten!$Z$4),SX$3)</f>
        <v>UnihockeyGerundet[@[Rundung]]</v>
      </c>
      <c r="TH3" s="92" t="str" cm="1">
        <f t="array" aca="1" ref="TH3" ca="1">INDEX(INDIRECT($B$3),SX$3)</f>
        <v>_Stufe_Unih</v>
      </c>
      <c r="TJ3" s="92">
        <v>24</v>
      </c>
      <c r="TL3" s="94"/>
      <c r="TM3" s="94"/>
      <c r="TO3" s="91" t="str" cm="1">
        <f t="array" aca="1" ref="TO3" ca="1">INDEX(INDIRECT(Stammdaten!$Z$4),TJ$3)</f>
        <v>VolleyballGerundet[@[Rundung]]</v>
      </c>
      <c r="TU3" s="92" t="str" cm="1">
        <f t="array" aca="1" ref="TU3" ca="1">INDEX(INDIRECT($B$3),TJ$3)</f>
        <v>_Stufe_Voll</v>
      </c>
      <c r="TW3" s="92" t="str" cm="1">
        <f t="array" aca="1" ref="TW3" ca="1">INDEX(INDIRECT(TW$1),TW$4)</f>
        <v>BasketballNote[@[Note]]</v>
      </c>
      <c r="TX3" s="92" t="str" cm="1">
        <f t="array" aca="1" ref="TX3" ca="1">INDEX(INDIRECT(TX$1),TX$4)</f>
        <v>FussballNote[@[Note]]</v>
      </c>
      <c r="TY3" s="92" t="str" cm="1">
        <f t="array" aca="1" ref="TY3" ca="1">INDEX(INDIRECT(TY$1),TY$4)</f>
        <v>HandballNote[@[Note]]</v>
      </c>
      <c r="TZ3" s="92" t="str" cm="1">
        <f t="array" aca="1" ref="TZ3" ca="1">INDEX(INDIRECT(TZ$1),TZ$4)</f>
        <v>UnihockeyNote[@[Note]]</v>
      </c>
      <c r="UA3" s="92" t="str" cm="1">
        <f t="array" aca="1" ref="UA3" ca="1">INDEX(INDIRECT(UA$1),UA$4)</f>
        <v>VolleyballNote[@[Note]]</v>
      </c>
      <c r="UT3" s="92" t="str" cm="1">
        <f t="array" aca="1" ref="UT3" ca="1">INDEX(INDIRECT(UT$1),UT$2)</f>
        <v>BasketballResultat[@[Eingabe]]</v>
      </c>
      <c r="UU3" s="92" t="str" cm="1">
        <f t="array" aca="1" ref="UU3" ca="1">INDEX(INDIRECT(UU$1),UU$2)</f>
        <v>FussballResultat[@[Eingabe]]</v>
      </c>
      <c r="UV3" s="92" t="str" cm="1">
        <f t="array" aca="1" ref="UV3" ca="1">INDEX(INDIRECT(UV$1),UV$2)</f>
        <v>HandballResultat[@[Eingabe]]</v>
      </c>
      <c r="UW3" s="92" t="str" cm="1">
        <f t="array" aca="1" ref="UW3" ca="1">INDEX(INDIRECT(UW$1),UW$2)</f>
        <v>UnihockeyResultat[@[Eingabe]]</v>
      </c>
      <c r="UX3" s="92" t="str" cm="1">
        <f t="array" aca="1" ref="UX3" ca="1">INDEX(INDIRECT(UX$1),UX$2)</f>
        <v>VolleyballResultat[@[Eingabe]]</v>
      </c>
      <c r="UY3" s="92" t="str" cm="1">
        <f t="array" aca="1" ref="UY3" ca="1">INDEX(INDIRECT(UY$1),UY$2)</f>
        <v>BasketballResultat[@[Resultat]]</v>
      </c>
      <c r="UZ3" s="92" t="str" cm="1">
        <f t="array" aca="1" ref="UZ3" ca="1">INDEX(INDIRECT(UZ$1),UZ$2)</f>
        <v>FussballResultat[@[Resultat]]</v>
      </c>
      <c r="VA3" s="92" t="str" cm="1">
        <f t="array" aca="1" ref="VA3" ca="1">INDEX(INDIRECT(VA$1),VA$2)</f>
        <v>HandballResultat[@[Resultat]]</v>
      </c>
      <c r="VB3" s="92" t="str" cm="1">
        <f t="array" aca="1" ref="VB3" ca="1">INDEX(INDIRECT(VB$1),VB$2)</f>
        <v>UnihockeyResultat[@[Resultat]]</v>
      </c>
      <c r="VC3" s="92" t="str" cm="1">
        <f t="array" aca="1" ref="VC3" ca="1">INDEX(INDIRECT(VC$1),VC$2)</f>
        <v>VolleyballResultat[@[Resultat]]</v>
      </c>
      <c r="XH3" s="93"/>
      <c r="XI3" s="93"/>
      <c r="XJ3" s="93"/>
      <c r="YC3" s="91"/>
      <c r="YD3" s="93"/>
      <c r="YE3" s="93"/>
      <c r="YF3" s="93"/>
      <c r="ZH3" s="92">
        <v>25</v>
      </c>
      <c r="ZM3" s="92">
        <v>26</v>
      </c>
      <c r="ZW3" s="91" t="str" cm="1">
        <f t="array" aca="1" ref="ZW3" ca="1">INDEX(INDIRECT(Stammdaten!$Z$4),ZM$3)</f>
        <v>SchwimmenUmgerechnet[@[Umrechnung]]</v>
      </c>
      <c r="AAA3" s="91"/>
      <c r="AAF3" s="92">
        <v>3</v>
      </c>
      <c r="AAL3" s="92">
        <v>4</v>
      </c>
      <c r="AAR3" s="92">
        <f>AAR2</f>
        <v>27</v>
      </c>
      <c r="AAT3" s="94"/>
      <c r="AAU3" s="94"/>
      <c r="AAW3" s="91" t="str" cm="1">
        <f t="array" aca="1" ref="AAW3" ca="1">INDEX(INDIRECT(Stammdaten!$Z$4),AAR$3)</f>
        <v>BeweglichkeitGerundet[@[Rundung]]</v>
      </c>
      <c r="ABB3" s="92" t="str" cm="1">
        <f t="array" aca="1" ref="ABB3" ca="1">INDEX(INDIRECT($B$3),AAR$3)</f>
        <v>_Stufe_Bewe</v>
      </c>
      <c r="ABD3" s="92">
        <v>28</v>
      </c>
      <c r="ABF3" s="94"/>
      <c r="ABG3" s="94"/>
      <c r="ABI3" s="91" t="str" cm="1">
        <f t="array" aca="1" ref="ABI3" ca="1">INDEX(INDIRECT(Stammdaten!$Z$4),ABD$3)</f>
        <v>RumpfkraftGerundet[@[Rundung]]</v>
      </c>
      <c r="ABP3" s="92">
        <v>1</v>
      </c>
      <c r="ABV3" s="92">
        <v>2</v>
      </c>
      <c r="ACB3" s="92">
        <v>29</v>
      </c>
      <c r="ACD3" s="94"/>
      <c r="ACE3" s="94"/>
      <c r="ACG3" s="91" t="str" cm="1">
        <f t="array" aca="1" ref="ACG3" ca="1">INDEX(INDIRECT(Stammdaten!$Z$4),ACB$3)</f>
        <v>KonditionsparcoursGerundet[@[Rundung]]</v>
      </c>
      <c r="ACM3" s="92" t="str" cm="1">
        <f t="array" aca="1" ref="ACM3" ca="1">INDEX(INDIRECT($B$3),ACB$3)</f>
        <v>_Stufe_Kond</v>
      </c>
      <c r="ACN3" s="93">
        <f>ACB3+1</f>
        <v>30</v>
      </c>
    </row>
    <row r="4" spans="1:768" s="92" customFormat="1" hidden="1">
      <c r="A4" s="91"/>
      <c r="B4" s="91" t="str">
        <f>Stammdaten!$R$4</f>
        <v>StdDisziplinen[StdDisziplin]</v>
      </c>
      <c r="C4" s="91" t="str">
        <f>Stammdaten!$AD$4</f>
        <v>StdDisziplinen[TabÜberschriftDurchschnitt]</v>
      </c>
      <c r="D4" s="91"/>
      <c r="E4" s="91" t="str">
        <f>Stammdaten!$W$4</f>
        <v>StdDisziplinen[StdTabResEin]</v>
      </c>
      <c r="F4" s="91"/>
      <c r="K4" s="92" t="str" cm="1">
        <f t="array" aca="1" ref="K4" ca="1">INDEX(INDIRECT(Stammdaten!$AA$4),G$3)</f>
        <v>SechzigmLauf_X[Resultat]</v>
      </c>
      <c r="Q4" s="92" t="str" cm="1">
        <f t="array" aca="1" ref="Q4" ca="1">LEFT(INDIRECT(Q$3),1)</f>
        <v>2</v>
      </c>
      <c r="W4" s="92" t="str" cm="1">
        <f t="array" aca="1" ref="W4" ca="1">INDEX(INDIRECT(Stammdaten!$AA$4),S$3)</f>
        <v>AchtzigmLauf_X[Resultat]</v>
      </c>
      <c r="AC4" s="92" t="str" cm="1">
        <f t="array" aca="1" ref="AC4" ca="1">LEFT(INDIRECT(AC$3),1)</f>
        <v>2</v>
      </c>
      <c r="AI4" s="92" t="str" cm="1">
        <f t="array" aca="1" ref="AI4" ca="1">INDEX(INDIRECT(Stammdaten!$AA$4),AE$3)</f>
        <v>ZwölfMinLaufHalle_X[Resultat]</v>
      </c>
      <c r="AO4" s="92" t="str" cm="1">
        <f t="array" aca="1" ref="AO4" ca="1">LEFT(INDIRECT(AO$3),1)</f>
        <v>2</v>
      </c>
      <c r="AU4" s="92" t="str" cm="1">
        <f t="array" aca="1" ref="AU4" ca="1">INDEX(INDIRECT(Stammdaten!$AA$4),AQ$3)</f>
        <v>ZwölfMinLaufimFreien_X[Resultat]</v>
      </c>
      <c r="BA4" s="92" t="str" cm="1">
        <f t="array" aca="1" ref="BA4" ca="1">LEFT(INDIRECT(BA$3),1)</f>
        <v>2</v>
      </c>
      <c r="BG4" s="92" t="str" cm="1">
        <f t="array" aca="1" ref="BG4" ca="1">INDEX(INDIRECT(Stammdaten!$AA$4),BC$3)</f>
        <v>Hochsprung_X[Resultat]</v>
      </c>
      <c r="BM4" s="92" t="str" cm="1">
        <f t="array" aca="1" ref="BM4" ca="1">LEFT(INDIRECT(BM$3),1)</f>
        <v>2</v>
      </c>
      <c r="BS4" s="92" t="str" cm="1">
        <f t="array" aca="1" ref="BS4" ca="1">INDEX(INDIRECT(Stammdaten!$AA$4),BO$3)</f>
        <v>Weitsprung_X[Resultat]</v>
      </c>
      <c r="BY4" s="92" t="str" cm="1">
        <f t="array" aca="1" ref="BY4" ca="1">LEFT(INDIRECT(BY$3),1)</f>
        <v>2</v>
      </c>
      <c r="CE4" s="92" t="str" cm="1">
        <f t="array" aca="1" ref="CE4" ca="1">INDEX(INDIRECT(Stammdaten!$AA$4),CA$3)</f>
        <v>Ballwurf_X[Resultat]</v>
      </c>
      <c r="CK4" s="92" t="str" cm="1">
        <f t="array" aca="1" ref="CK4" ca="1">LEFT(INDIRECT(CK$3),1)</f>
        <v>2</v>
      </c>
      <c r="CQ4" s="92" t="str" cm="1">
        <f t="array" aca="1" ref="CQ4" ca="1">INDEX(INDIRECT(Stammdaten!$AA$4),CM$3)</f>
        <v>Kugelstossen_X[Resultat]</v>
      </c>
      <c r="CW4" s="92" t="str" cm="1">
        <f t="array" aca="1" ref="CW4" ca="1">LEFT(INDIRECT(CW$3),1)</f>
        <v>2</v>
      </c>
      <c r="DC4" s="92" t="str" cm="1">
        <f t="array" aca="1" ref="DC4" ca="1">INDEX(INDIRECT(Stammdaten!$AA$4),CY$3)</f>
        <v>Speerwurf_X[Resultat]</v>
      </c>
      <c r="DI4" s="92" t="str" cm="1">
        <f t="array" aca="1" ref="DI4" ca="1">LEFT(INDIRECT(DI$3),1)</f>
        <v>2</v>
      </c>
      <c r="DK4" s="92">
        <f>G$3</f>
        <v>1</v>
      </c>
      <c r="DL4" s="92">
        <f>S$3</f>
        <v>2</v>
      </c>
      <c r="DM4" s="92">
        <f>DK$4</f>
        <v>1</v>
      </c>
      <c r="DN4" s="92">
        <f>DL$4</f>
        <v>2</v>
      </c>
      <c r="DO4" s="92" t="str">
        <f>DK$17&amp;Stammdaten!$BZ$4</f>
        <v>Sprintdisziplinen nicht durchgeführt</v>
      </c>
      <c r="DQ4" s="93"/>
      <c r="DR4" s="93"/>
      <c r="DS4" s="93"/>
      <c r="DU4" s="92" t="str">
        <f>$B$4</f>
        <v>StdDisziplinen[StdDisziplin]</v>
      </c>
      <c r="DV4" s="92" t="str">
        <f>$B$4</f>
        <v>StdDisziplinen[StdDisziplin]</v>
      </c>
      <c r="DW4" s="92" t="str">
        <f>$B$4</f>
        <v>StdDisziplinen[StdDisziplin]</v>
      </c>
      <c r="DZ4" s="92" t="str">
        <f>$B$4</f>
        <v>StdDisziplinen[StdDisziplin]</v>
      </c>
      <c r="EB4" s="92" t="str">
        <f>$B$4</f>
        <v>StdDisziplinen[StdDisziplin]</v>
      </c>
      <c r="EF4" s="92">
        <f>AE$3</f>
        <v>3</v>
      </c>
      <c r="EG4" s="92">
        <f>AQ$3</f>
        <v>4</v>
      </c>
      <c r="EH4" s="92">
        <f>EF$4</f>
        <v>3</v>
      </c>
      <c r="EI4" s="92">
        <f>EG$4</f>
        <v>4</v>
      </c>
      <c r="EJ4" s="92" t="str">
        <f>EF$17&amp;Stammdaten!$BZ$4</f>
        <v>Ausdauerdisziplinen nicht durchgeführt</v>
      </c>
      <c r="EL4" s="93"/>
      <c r="EM4" s="93"/>
      <c r="EN4" s="93"/>
      <c r="EP4" s="92" t="str">
        <f>$B$4</f>
        <v>StdDisziplinen[StdDisziplin]</v>
      </c>
      <c r="EQ4" s="92" t="str">
        <f>$B$4</f>
        <v>StdDisziplinen[StdDisziplin]</v>
      </c>
      <c r="ER4" s="92" t="str">
        <f>$B$4</f>
        <v>StdDisziplinen[StdDisziplin]</v>
      </c>
      <c r="EU4" s="92" t="str">
        <f>$B$4</f>
        <v>StdDisziplinen[StdDisziplin]</v>
      </c>
      <c r="EW4" s="92" t="str">
        <f>$B$4</f>
        <v>StdDisziplinen[StdDisziplin]</v>
      </c>
      <c r="FA4" s="92">
        <f>BC$3</f>
        <v>5</v>
      </c>
      <c r="FB4" s="92">
        <f>BO$3</f>
        <v>6</v>
      </c>
      <c r="FC4" s="92">
        <f>FA$4</f>
        <v>5</v>
      </c>
      <c r="FD4" s="92">
        <f>FB$4</f>
        <v>6</v>
      </c>
      <c r="FE4" s="92" t="str">
        <f>FA$17&amp;Stammdaten!$BZ$4</f>
        <v>Sprungdisziplinen nicht durchgeführt</v>
      </c>
      <c r="FG4" s="93"/>
      <c r="FH4" s="93"/>
      <c r="FI4" s="93"/>
      <c r="FK4" s="92" t="str">
        <f>$B$4</f>
        <v>StdDisziplinen[StdDisziplin]</v>
      </c>
      <c r="FL4" s="92" t="str">
        <f>$B$4</f>
        <v>StdDisziplinen[StdDisziplin]</v>
      </c>
      <c r="FM4" s="92" t="str">
        <f>$B$4</f>
        <v>StdDisziplinen[StdDisziplin]</v>
      </c>
      <c r="FP4" s="92" t="str">
        <f>$B$4</f>
        <v>StdDisziplinen[StdDisziplin]</v>
      </c>
      <c r="FR4" s="92" t="str">
        <f>$B$4</f>
        <v>StdDisziplinen[StdDisziplin]</v>
      </c>
      <c r="FV4" s="92">
        <f>CA$3</f>
        <v>7</v>
      </c>
      <c r="FW4" s="92">
        <f>CM$3</f>
        <v>8</v>
      </c>
      <c r="FX4" s="92">
        <f>CY$3</f>
        <v>9</v>
      </c>
      <c r="FY4" s="92">
        <f>FV$4</f>
        <v>7</v>
      </c>
      <c r="FZ4" s="92">
        <f>FW$4</f>
        <v>8</v>
      </c>
      <c r="GA4" s="92">
        <f>FX$4</f>
        <v>9</v>
      </c>
      <c r="GB4" s="92" t="str">
        <f>FV$17&amp;Stammdaten!$BZ$4</f>
        <v>Wurfdisziplinen nicht durchgeführt</v>
      </c>
      <c r="GD4" s="93"/>
      <c r="GE4" s="93"/>
      <c r="GF4" s="93"/>
      <c r="GH4" s="92" t="str">
        <f>$B$4</f>
        <v>StdDisziplinen[StdDisziplin]</v>
      </c>
      <c r="GI4" s="92" t="str">
        <f>$B$4</f>
        <v>StdDisziplinen[StdDisziplin]</v>
      </c>
      <c r="GJ4" s="92" t="str">
        <f>$B$4</f>
        <v>StdDisziplinen[StdDisziplin]</v>
      </c>
      <c r="GM4" s="92" t="str">
        <f>$B$4</f>
        <v>StdDisziplinen[StdDisziplin]</v>
      </c>
      <c r="GO4" s="92" t="str">
        <f>$B$4</f>
        <v>StdDisziplinen[StdDisziplin]</v>
      </c>
      <c r="GX4" s="93"/>
      <c r="GY4" s="93"/>
      <c r="GZ4" s="93"/>
      <c r="HL4" s="91"/>
      <c r="HM4" s="91"/>
      <c r="HN4" s="91"/>
      <c r="HP4" s="91"/>
      <c r="HQ4" s="91"/>
      <c r="HR4" s="94"/>
      <c r="HS4" s="94"/>
      <c r="HT4" s="94"/>
      <c r="HU4" s="94"/>
      <c r="HV4" s="94"/>
      <c r="HW4" s="92" t="str" cm="1">
        <f t="array" aca="1" ref="HW4" ca="1">LEFT(INDIRECT(HW$3),1)</f>
        <v>2</v>
      </c>
      <c r="HY4" s="91"/>
      <c r="HZ4" s="91"/>
      <c r="IA4" s="94"/>
      <c r="IB4" s="94"/>
      <c r="IC4" s="94"/>
      <c r="ID4" s="94"/>
      <c r="IE4" s="94"/>
      <c r="IF4" s="92" t="str" cm="1">
        <f t="array" aca="1" ref="IF4" ca="1">LEFT(INDIRECT(IF$3),1)</f>
        <v>2</v>
      </c>
      <c r="IH4" s="91"/>
      <c r="II4" s="91"/>
      <c r="IJ4" s="94"/>
      <c r="IK4" s="94"/>
      <c r="IL4" s="94"/>
      <c r="IM4" s="94"/>
      <c r="IN4" s="94"/>
      <c r="IO4" s="92" t="str" cm="1">
        <f t="array" aca="1" ref="IO4" ca="1">LEFT(INDIRECT(IO$3),1)</f>
        <v>2</v>
      </c>
      <c r="IQ4" s="91"/>
      <c r="IR4" s="91"/>
      <c r="IS4" s="94"/>
      <c r="IT4" s="94"/>
      <c r="IU4" s="94"/>
      <c r="IV4" s="94"/>
      <c r="IW4" s="94"/>
      <c r="IX4" s="92" t="str" cm="1">
        <f t="array" aca="1" ref="IX4" ca="1">LEFT(INDIRECT(IX$3),1)</f>
        <v>2</v>
      </c>
      <c r="IZ4" s="91"/>
      <c r="JA4" s="91"/>
      <c r="JB4" s="94"/>
      <c r="JC4" s="94"/>
      <c r="JD4" s="94"/>
      <c r="JE4" s="94"/>
      <c r="JF4" s="94"/>
      <c r="JG4" s="92" t="str" cm="1">
        <f t="array" aca="1" ref="JG4" ca="1">LEFT(INDIRECT(JG$3),1)</f>
        <v>2</v>
      </c>
      <c r="JI4" s="91"/>
      <c r="JJ4" s="91"/>
      <c r="JK4" s="94"/>
      <c r="JL4" s="94"/>
      <c r="JM4" s="94"/>
      <c r="JN4" s="94"/>
      <c r="JO4" s="94"/>
      <c r="JP4" s="92" t="str" cm="1">
        <f t="array" aca="1" ref="JP4" ca="1">LEFT(INDIRECT(JP$3),1)</f>
        <v>2</v>
      </c>
      <c r="JR4" s="92">
        <f>$HP$3</f>
        <v>10</v>
      </c>
      <c r="JS4" s="92">
        <f>$HY$3</f>
        <v>11</v>
      </c>
      <c r="JT4" s="92">
        <f>$IH$3</f>
        <v>12</v>
      </c>
      <c r="JU4" s="92">
        <f>$IQ$3</f>
        <v>13</v>
      </c>
      <c r="JV4" s="92">
        <f>$IZ$3</f>
        <v>14</v>
      </c>
      <c r="JW4" s="92">
        <f>$JI$3</f>
        <v>15</v>
      </c>
      <c r="KP4" s="92" t="str">
        <f>Stammdaten!$R$4</f>
        <v>StdDisziplinen[StdDisziplin]</v>
      </c>
      <c r="KQ4" s="92" t="str">
        <f>Stammdaten!$R$4</f>
        <v>StdDisziplinen[StdDisziplin]</v>
      </c>
      <c r="KR4" s="92" t="str">
        <f>Stammdaten!$R$4</f>
        <v>StdDisziplinen[StdDisziplin]</v>
      </c>
      <c r="KS4" s="92" t="str">
        <f>Stammdaten!$R$4</f>
        <v>StdDisziplinen[StdDisziplin]</v>
      </c>
      <c r="KT4" s="92" t="str">
        <f>Stammdaten!$R$4</f>
        <v>StdDisziplinen[StdDisziplin]</v>
      </c>
      <c r="KU4" s="92" t="str">
        <f>Stammdaten!$R$4</f>
        <v>StdDisziplinen[StdDisziplin]</v>
      </c>
      <c r="KV4" s="92" t="str">
        <f>Stammdaten!$R$4</f>
        <v>StdDisziplinen[StdDisziplin]</v>
      </c>
      <c r="KW4" s="92" t="str">
        <f>Stammdaten!$R$4</f>
        <v>StdDisziplinen[StdDisziplin]</v>
      </c>
      <c r="KX4" s="92" t="str">
        <f>Stammdaten!$R$4</f>
        <v>StdDisziplinen[StdDisziplin]</v>
      </c>
      <c r="KY4" s="92" t="str">
        <f>Stammdaten!$R$4</f>
        <v>StdDisziplinen[StdDisziplin]</v>
      </c>
      <c r="KZ4" s="92" t="str">
        <f>Stammdaten!$R$4</f>
        <v>StdDisziplinen[StdDisziplin]</v>
      </c>
      <c r="LA4" s="92" t="str">
        <f>Stammdaten!$R$4</f>
        <v>StdDisziplinen[StdDisziplin]</v>
      </c>
      <c r="LI4" s="92" t="str">
        <f>$B$4</f>
        <v>StdDisziplinen[StdDisziplin]</v>
      </c>
      <c r="LJ4" s="92" t="str">
        <f>$B$4</f>
        <v>StdDisziplinen[StdDisziplin]</v>
      </c>
      <c r="LK4" s="92" t="str">
        <f>$B$4</f>
        <v>StdDisziplinen[StdDisziplin]</v>
      </c>
      <c r="LN4" s="92" t="str">
        <f>$B$4</f>
        <v>StdDisziplinen[StdDisziplin]</v>
      </c>
      <c r="LP4" s="92" t="str">
        <f>$B$4</f>
        <v>StdDisziplinen[StdDisziplin]</v>
      </c>
      <c r="LU4" s="92" t="str">
        <f>$B$4</f>
        <v>StdDisziplinen[StdDisziplin]</v>
      </c>
      <c r="LV4" s="92" t="str">
        <f>$B$4</f>
        <v>StdDisziplinen[StdDisziplin]</v>
      </c>
      <c r="LW4" s="92" t="str">
        <f>$B$4</f>
        <v>StdDisziplinen[StdDisziplin]</v>
      </c>
      <c r="LZ4" s="92" t="str">
        <f>$B$4</f>
        <v>StdDisziplinen[StdDisziplin]</v>
      </c>
      <c r="MB4" s="92" t="str">
        <f>$B$4</f>
        <v>StdDisziplinen[StdDisziplin]</v>
      </c>
      <c r="MG4" s="92" t="str">
        <f>$B$4</f>
        <v>StdDisziplinen[StdDisziplin]</v>
      </c>
      <c r="MH4" s="92" t="str">
        <f>$B$4</f>
        <v>StdDisziplinen[StdDisziplin]</v>
      </c>
      <c r="MI4" s="92" t="str">
        <f>$B$4</f>
        <v>StdDisziplinen[StdDisziplin]</v>
      </c>
      <c r="ML4" s="92" t="str">
        <f>$B$4</f>
        <v>StdDisziplinen[StdDisziplin]</v>
      </c>
      <c r="MN4" s="92" t="str">
        <f>$B$4</f>
        <v>StdDisziplinen[StdDisziplin]</v>
      </c>
      <c r="MS4" s="93"/>
      <c r="MT4" s="93"/>
      <c r="MU4" s="93"/>
      <c r="MV4" s="93"/>
      <c r="MY4" s="92" t="str" cm="1">
        <f t="array" aca="1" ref="MY4" ca="1">INDEX(INDIRECT(Stammdaten!$AA$4),MW$3)</f>
        <v>Geräteturnen_X[Resultat]</v>
      </c>
      <c r="NG4" s="91"/>
      <c r="NH4" s="91"/>
      <c r="NI4" s="95"/>
      <c r="NJ4" s="95"/>
      <c r="NL4" s="92" t="str" cm="1">
        <f t="array" aca="1" ref="NL4" ca="1">INDEX(INDIRECT(Stammdaten!$AA$4),NG$3)</f>
        <v>Parkour_X[Resultat]</v>
      </c>
      <c r="NR4" s="92" t="str" cm="1">
        <f t="array" aca="1" ref="NR4" ca="1">LEFT(INDIRECT(NR$3),1)</f>
        <v>2</v>
      </c>
      <c r="NT4" s="92">
        <f>MW$3</f>
        <v>36</v>
      </c>
      <c r="NU4" s="92">
        <f>NG$3</f>
        <v>16</v>
      </c>
      <c r="NV4" s="92">
        <f>NT$4</f>
        <v>36</v>
      </c>
      <c r="NW4" s="92">
        <f>NU$4</f>
        <v>16</v>
      </c>
      <c r="NX4" s="92" t="str">
        <f ca="1">$NX$17&amp;Stammdaten!$BZ$4</f>
        <v>Parkour nicht durchgeführt</v>
      </c>
      <c r="NY4" s="92" t="str">
        <f>$B$4</f>
        <v>StdDisziplinen[StdDisziplin]</v>
      </c>
      <c r="NZ4" s="92" t="str">
        <f>$B$4</f>
        <v>StdDisziplinen[StdDisziplin]</v>
      </c>
      <c r="OA4" s="92" t="str">
        <f>$B$4</f>
        <v>StdDisziplinen[StdDisziplin]</v>
      </c>
      <c r="OD4" s="92" t="str">
        <f>$B$4</f>
        <v>StdDisziplinen[StdDisziplin]</v>
      </c>
      <c r="OF4" s="92" t="str">
        <f>$B$4</f>
        <v>StdDisziplinen[StdDisziplin]</v>
      </c>
      <c r="OM4" s="93"/>
      <c r="ON4" s="93"/>
      <c r="OO4" s="93"/>
      <c r="OY4" s="91"/>
      <c r="PA4" s="91"/>
      <c r="PC4" s="91"/>
      <c r="PD4" s="91"/>
      <c r="PE4" s="95"/>
      <c r="PG4" s="92" t="str" cm="1">
        <f t="array" aca="1" ref="PG4" ca="1">INDEX(INDIRECT(Stammdaten!$AA$4),PC$3)</f>
        <v>Tanzen_X[Resultat]</v>
      </c>
      <c r="PM4" s="92" t="str" cm="1">
        <f t="array" aca="1" ref="PM4" ca="1">LEFT(INDIRECT(PM$3),1)</f>
        <v>2</v>
      </c>
      <c r="PO4" s="91"/>
      <c r="PP4" s="91"/>
      <c r="PQ4" s="95"/>
      <c r="PR4" s="95"/>
      <c r="PT4" s="92" t="str" cm="1">
        <f t="array" aca="1" ref="PT4" ca="1">INDEX(INDIRECT(Stammdaten!$AA$4),PO$3)</f>
        <v>RopeSkipping_X[Resultat]</v>
      </c>
      <c r="PZ4" s="92" t="str" cm="1">
        <f t="array" aca="1" ref="PZ4" ca="1">LEFT(INDIRECT(PZ$3),1)</f>
        <v>2</v>
      </c>
      <c r="QB4" s="91"/>
      <c r="QC4" s="91"/>
      <c r="QD4" s="95"/>
      <c r="QF4" s="92" t="str" cm="1">
        <f t="array" aca="1" ref="QF4" ca="1">INDEX(INDIRECT(Stammdaten!$AA$4),QB$3)</f>
        <v>Aerobic_X[Resultat]</v>
      </c>
      <c r="QL4" s="92" t="str" cm="1">
        <f t="array" aca="1" ref="QL4" ca="1">LEFT(INDIRECT(QL$3),1)</f>
        <v>2</v>
      </c>
      <c r="QN4" s="92">
        <f>PC$3</f>
        <v>17</v>
      </c>
      <c r="QO4" s="92">
        <f>PO$3</f>
        <v>18</v>
      </c>
      <c r="QP4" s="92">
        <f>QB$3</f>
        <v>19</v>
      </c>
      <c r="QQ4" s="92">
        <f>QN$4</f>
        <v>17</v>
      </c>
      <c r="QR4" s="92">
        <f>QO$4</f>
        <v>18</v>
      </c>
      <c r="QS4" s="92">
        <f>QP$4</f>
        <v>19</v>
      </c>
      <c r="QT4" s="92" t="str">
        <f ca="1">QN$17&amp;Stammdaten!$BZ$4</f>
        <v>Darstellen und Tanzen nicht durchgeführt</v>
      </c>
      <c r="QU4" s="93"/>
      <c r="QV4" s="93"/>
      <c r="QW4" s="93"/>
      <c r="QY4" s="92" t="str">
        <f>$B$4</f>
        <v>StdDisziplinen[StdDisziplin]</v>
      </c>
      <c r="QZ4" s="92" t="str">
        <f>$B$4</f>
        <v>StdDisziplinen[StdDisziplin]</v>
      </c>
      <c r="RA4" s="92" t="str">
        <f>$B$4</f>
        <v>StdDisziplinen[StdDisziplin]</v>
      </c>
      <c r="RD4" s="92" t="str">
        <f>$B$4</f>
        <v>StdDisziplinen[StdDisziplin]</v>
      </c>
      <c r="RF4" s="92" t="str">
        <f>$B$4</f>
        <v>StdDisziplinen[StdDisziplin]</v>
      </c>
      <c r="RL4" s="91"/>
      <c r="RR4" s="92" t="str" cm="1">
        <f t="array" aca="1" ref="RR4" ca="1">INDEX(INDIRECT(Stammdaten!$AA$4),RN$3)</f>
        <v>Basketball_X[Resultat]</v>
      </c>
      <c r="RX4" s="92" t="str" cm="1">
        <f t="array" aca="1" ref="RX4" ca="1">LEFT(INDIRECT(RX$3),1)</f>
        <v>2</v>
      </c>
      <c r="SD4" s="92" t="str" cm="1">
        <f t="array" aca="1" ref="SD4" ca="1">INDEX(INDIRECT(Stammdaten!$AA$4),RZ$3)</f>
        <v>Fussball_X[Resultat]</v>
      </c>
      <c r="SJ4" s="92" t="str" cm="1">
        <f t="array" aca="1" ref="SJ4" ca="1">LEFT(INDIRECT(SJ$3),1)</f>
        <v>2</v>
      </c>
      <c r="SP4" s="92" t="str" cm="1">
        <f t="array" aca="1" ref="SP4" ca="1">INDEX(INDIRECT(Stammdaten!$AA$4),SL$3)</f>
        <v>Handball_X[Resultat]</v>
      </c>
      <c r="SV4" s="92" t="str" cm="1">
        <f t="array" aca="1" ref="SV4" ca="1">LEFT(INDIRECT(SV$3),1)</f>
        <v>2</v>
      </c>
      <c r="TB4" s="92" t="str" cm="1">
        <f t="array" aca="1" ref="TB4" ca="1">INDEX(INDIRECT(Stammdaten!$AA$4),SX$3)</f>
        <v>Unihockey_X[Resultat]</v>
      </c>
      <c r="TH4" s="92" t="str" cm="1">
        <f t="array" aca="1" ref="TH4" ca="1">LEFT(INDIRECT(TH$3),1)</f>
        <v>2</v>
      </c>
      <c r="TJ4" s="91"/>
      <c r="TK4" s="91"/>
      <c r="TL4" s="94"/>
      <c r="TM4" s="94"/>
      <c r="TO4" s="92" t="str" cm="1">
        <f t="array" aca="1" ref="TO4" ca="1">INDEX(INDIRECT(Stammdaten!$AA$4),TJ$3)</f>
        <v>Volleyball_X[Resultat]</v>
      </c>
      <c r="TU4" s="92" t="str" cm="1">
        <f t="array" aca="1" ref="TU4" ca="1">LEFT(INDIRECT(TU$3),1)</f>
        <v>2</v>
      </c>
      <c r="TW4" s="92">
        <f>$RN$3</f>
        <v>20</v>
      </c>
      <c r="TX4" s="92">
        <f>$RZ$3</f>
        <v>21</v>
      </c>
      <c r="TY4" s="92">
        <f>$SL$3</f>
        <v>22</v>
      </c>
      <c r="TZ4" s="92">
        <f>$SX$3</f>
        <v>23</v>
      </c>
      <c r="UA4" s="92">
        <f>$TJ$3</f>
        <v>24</v>
      </c>
      <c r="UT4" s="92" t="str">
        <f>Stammdaten!$R$4</f>
        <v>StdDisziplinen[StdDisziplin]</v>
      </c>
      <c r="UU4" s="92" t="str">
        <f>Stammdaten!$R$4</f>
        <v>StdDisziplinen[StdDisziplin]</v>
      </c>
      <c r="UV4" s="92" t="str">
        <f>Stammdaten!$R$4</f>
        <v>StdDisziplinen[StdDisziplin]</v>
      </c>
      <c r="UW4" s="92" t="str">
        <f>Stammdaten!$R$4</f>
        <v>StdDisziplinen[StdDisziplin]</v>
      </c>
      <c r="UX4" s="92" t="str">
        <f>Stammdaten!$R$4</f>
        <v>StdDisziplinen[StdDisziplin]</v>
      </c>
      <c r="UY4" s="92" t="str">
        <f>Stammdaten!$R$4</f>
        <v>StdDisziplinen[StdDisziplin]</v>
      </c>
      <c r="UZ4" s="92" t="str">
        <f>Stammdaten!$R$4</f>
        <v>StdDisziplinen[StdDisziplin]</v>
      </c>
      <c r="VA4" s="92" t="str">
        <f>Stammdaten!$R$4</f>
        <v>StdDisziplinen[StdDisziplin]</v>
      </c>
      <c r="VB4" s="92" t="str">
        <f>Stammdaten!$R$4</f>
        <v>StdDisziplinen[StdDisziplin]</v>
      </c>
      <c r="VC4" s="92" t="str">
        <f>Stammdaten!$R$4</f>
        <v>StdDisziplinen[StdDisziplin]</v>
      </c>
      <c r="VK4" s="92" t="str">
        <f>$B$4</f>
        <v>StdDisziplinen[StdDisziplin]</v>
      </c>
      <c r="VL4" s="92" t="str">
        <f>$B$4</f>
        <v>StdDisziplinen[StdDisziplin]</v>
      </c>
      <c r="VM4" s="92" t="str">
        <f>$B$4</f>
        <v>StdDisziplinen[StdDisziplin]</v>
      </c>
      <c r="VP4" s="92" t="str">
        <f>$B$4</f>
        <v>StdDisziplinen[StdDisziplin]</v>
      </c>
      <c r="VR4" s="92" t="str">
        <f>$B$4</f>
        <v>StdDisziplinen[StdDisziplin]</v>
      </c>
      <c r="VW4" s="92" t="str">
        <f>$B$4</f>
        <v>StdDisziplinen[StdDisziplin]</v>
      </c>
      <c r="VX4" s="92" t="str">
        <f>$B$4</f>
        <v>StdDisziplinen[StdDisziplin]</v>
      </c>
      <c r="VY4" s="92" t="str">
        <f>$B$4</f>
        <v>StdDisziplinen[StdDisziplin]</v>
      </c>
      <c r="WB4" s="92" t="str">
        <f>$B$4</f>
        <v>StdDisziplinen[StdDisziplin]</v>
      </c>
      <c r="WD4" s="92" t="str">
        <f>$B$4</f>
        <v>StdDisziplinen[StdDisziplin]</v>
      </c>
      <c r="WI4" s="92" t="str">
        <f>$B$4</f>
        <v>StdDisziplinen[StdDisziplin]</v>
      </c>
      <c r="WJ4" s="92" t="str">
        <f>$B$4</f>
        <v>StdDisziplinen[StdDisziplin]</v>
      </c>
      <c r="WK4" s="92" t="str">
        <f>$B$4</f>
        <v>StdDisziplinen[StdDisziplin]</v>
      </c>
      <c r="WN4" s="92" t="str">
        <f>$B$4</f>
        <v>StdDisziplinen[StdDisziplin]</v>
      </c>
      <c r="WP4" s="92" t="str">
        <f>$B$4</f>
        <v>StdDisziplinen[StdDisziplin]</v>
      </c>
      <c r="WT4" s="92">
        <f>RN$3</f>
        <v>20</v>
      </c>
      <c r="WU4" s="92">
        <f>RZ$3</f>
        <v>21</v>
      </c>
      <c r="WV4" s="92">
        <f>SL$3</f>
        <v>22</v>
      </c>
      <c r="WW4" s="92">
        <f>SX$3</f>
        <v>23</v>
      </c>
      <c r="WX4" s="92">
        <f>TJ$3</f>
        <v>24</v>
      </c>
      <c r="WY4" s="92">
        <f>WT$4</f>
        <v>20</v>
      </c>
      <c r="WZ4" s="92">
        <f>WU$4</f>
        <v>21</v>
      </c>
      <c r="XA4" s="92">
        <f>WV$4</f>
        <v>22</v>
      </c>
      <c r="XB4" s="92">
        <f>WW$4</f>
        <v>23</v>
      </c>
      <c r="XC4" s="92">
        <f>WX$4</f>
        <v>24</v>
      </c>
      <c r="XH4" s="93"/>
      <c r="XI4" s="93"/>
      <c r="XJ4" s="93"/>
      <c r="XU4" s="91"/>
      <c r="XV4" s="91"/>
      <c r="XW4" s="91"/>
      <c r="YD4" s="93"/>
      <c r="YE4" s="93"/>
      <c r="YF4" s="93"/>
      <c r="ZJ4" s="92" t="str">
        <f>$ZH$27</f>
        <v>Disziplin</v>
      </c>
      <c r="ZM4" s="91"/>
      <c r="ZN4" s="91"/>
      <c r="ZO4" s="91"/>
      <c r="ZP4" s="91"/>
      <c r="ZW4" s="92" t="str" cm="1">
        <f t="array" aca="1" ref="ZW4" ca="1">INDEX(INDIRECT(Stammdaten!$AA$4),ZM$3)</f>
        <v>Schwimmen_X[Resultat]</v>
      </c>
      <c r="AAT4" s="94"/>
      <c r="AAU4" s="94"/>
      <c r="AAW4" s="92" t="str" cm="1">
        <f t="array" aca="1" ref="AAW4" ca="1">INDEX(INDIRECT(Stammdaten!$AA$4),AAR$3)</f>
        <v>Beweglichkeit_X[Resultat]</v>
      </c>
      <c r="ABB4" s="92" t="str" cm="1">
        <f t="array" aca="1" ref="ABB4" ca="1">LEFT(INDIRECT(ABB$3),1)</f>
        <v>2</v>
      </c>
      <c r="ABF4" s="94"/>
      <c r="ABG4" s="94"/>
      <c r="ABI4" s="92" t="str" cm="1">
        <f t="array" aca="1" ref="ABI4" ca="1">INDEX(INDIRECT(Stammdaten!$AA$4),ABD$3)</f>
        <v>Rumpfkraft_X[Resultat]</v>
      </c>
      <c r="ACD4" s="94"/>
      <c r="ACE4" s="94"/>
      <c r="ACG4" s="92" t="str" cm="1">
        <f t="array" aca="1" ref="ACG4" ca="1">INDEX(INDIRECT(Stammdaten!$AA$4),ACB$3)</f>
        <v>Konditionsparcours_X[Resultat]</v>
      </c>
      <c r="ACM4" s="92" t="str" cm="1">
        <f t="array" aca="1" ref="ACM4" ca="1">LEFT(INDIRECT(ACM$3),1)</f>
        <v>2</v>
      </c>
    </row>
    <row r="5" spans="1:768" s="92" customFormat="1" hidden="1">
      <c r="B5" s="91" t="str">
        <f>Stammdaten!$AZ$4</f>
        <v>StdDisziplinen[R-A_Code]</v>
      </c>
      <c r="C5" s="91" t="str">
        <f>Stammdaten!$AH$4</f>
        <v>StdDisziplinen[Bewertung2]</v>
      </c>
      <c r="D5" s="91"/>
      <c r="E5" s="92" t="str">
        <f>Stammdaten!$X$4</f>
        <v>StdDisziplinen[StdTabResRes]</v>
      </c>
      <c r="F5" s="91"/>
      <c r="K5" s="92" t="str" cm="1">
        <f t="array" aca="1" ref="K5" ca="1">INDEX(INDIRECT($E$6),G$3)</f>
        <v>SechzigmLaufSkalawert[@[Skala-Wert]]</v>
      </c>
      <c r="W5" s="92" t="str" cm="1">
        <f t="array" aca="1" ref="W5" ca="1">INDEX(INDIRECT($E$6),S$3)</f>
        <v>AchtzigmLaufSkalawert[@[Skala-Wert]]</v>
      </c>
      <c r="AI5" s="92" t="str" cm="1">
        <f t="array" aca="1" ref="AI5" ca="1">INDEX(INDIRECT($E$6),AE$3)</f>
        <v>ZwölfMinLaufHalleSkalawert[@[Skala-Wert]]</v>
      </c>
      <c r="AU5" s="92" t="str" cm="1">
        <f t="array" aca="1" ref="AU5" ca="1">INDEX(INDIRECT($E$6),AQ$3)</f>
        <v>ZwölfMinLaufimFreienSkalawert[@[Skala-Wert]]</v>
      </c>
      <c r="BG5" s="92" t="str" cm="1">
        <f t="array" aca="1" ref="BG5" ca="1">INDEX(INDIRECT($E$6),BC$3)</f>
        <v>HochsprungSkalawert[@[Skala-Wert]]</v>
      </c>
      <c r="BS5" s="92" t="str" cm="1">
        <f t="array" aca="1" ref="BS5" ca="1">INDEX(INDIRECT($E$6),BO$3)</f>
        <v>WeitsprungSkalawert[@[Skala-Wert]]</v>
      </c>
      <c r="CE5" s="92" t="str" cm="1">
        <f t="array" aca="1" ref="CE5" ca="1">INDEX(INDIRECT($E$6),CA$3)</f>
        <v>BallwurfSkalawert[@[Skala-Wert]]</v>
      </c>
      <c r="CQ5" s="92" t="str" cm="1">
        <f t="array" aca="1" ref="CQ5" ca="1">INDEX(INDIRECT($E$6),CM$3)</f>
        <v>KugelstossenSkalawert[@[Skala-Wert]]</v>
      </c>
      <c r="DC5" s="92" t="str" cm="1">
        <f t="array" aca="1" ref="DC5" ca="1">INDEX(INDIRECT($E$6),CY$3)</f>
        <v>SpeerwurfSkalawert[@[Skala-Wert]]</v>
      </c>
      <c r="DK5" s="92" t="str" cm="1">
        <f t="array" aca="1" ref="DK5" ca="1">INDEX(INDIRECT($E$6),DK$4)</f>
        <v>SechzigmLaufSkalawert[@[Skala-Wert]]</v>
      </c>
      <c r="DL5" s="92" t="str" cm="1">
        <f t="array" aca="1" ref="DL5" ca="1">INDEX(INDIRECT($E$6),DL$4)</f>
        <v>AchtzigmLaufSkalawert[@[Skala-Wert]]</v>
      </c>
      <c r="DM5" s="96" t="str" cm="1">
        <f t="array" aca="1" ref="DM5" ca="1">INDEX(INDIRECT($C$4),DK$4)</f>
        <v>SechzigmLaufNote[@[Note]]</v>
      </c>
      <c r="DN5" s="96" t="str" cm="1">
        <f t="array" aca="1" ref="DN5" ca="1">INDEX(INDIRECT($C$4),DL$4)</f>
        <v>AchtzigmLaufNote[@[Note]]</v>
      </c>
      <c r="DO5" s="92" t="str">
        <f>DK$17&amp;Stammdaten!$CB$3</f>
        <v>Sprintdisziplinen dispensiert</v>
      </c>
      <c r="DQ5" s="93"/>
      <c r="DR5" s="93"/>
      <c r="DS5" s="93"/>
      <c r="DU5" s="92" t="str">
        <f>$C$5</f>
        <v>StdDisziplinen[Bewertung2]</v>
      </c>
      <c r="DV5" s="92" t="str">
        <f>$C$6</f>
        <v>StdDisziplinen[StdTabGerRun]</v>
      </c>
      <c r="DW5" s="92" t="str">
        <f>$B$5</f>
        <v>StdDisziplinen[R-A_Code]</v>
      </c>
      <c r="DZ5" s="92" t="str">
        <f>Stammdaten!$AR$4</f>
        <v>StdDisziplinen[StufeMax]</v>
      </c>
      <c r="EB5" s="92" t="str">
        <f>Stammdaten!$AS$4</f>
        <v>StdDisziplinen[MaxTextSt1]</v>
      </c>
      <c r="EF5" s="92" t="str" cm="1">
        <f t="array" aca="1" ref="EF5" ca="1">INDEX(INDIRECT($E$6),EF$4)</f>
        <v>ZwölfMinLaufHalleSkalawert[@[Skala-Wert]]</v>
      </c>
      <c r="EG5" s="92" t="str" cm="1">
        <f t="array" aca="1" ref="EG5" ca="1">INDEX(INDIRECT($E$6),EG$4)</f>
        <v>ZwölfMinLaufimFreienSkalawert[@[Skala-Wert]]</v>
      </c>
      <c r="EH5" s="96" t="str" cm="1">
        <f t="array" aca="1" ref="EH5" ca="1">INDEX(INDIRECT($C$4),EF$4)</f>
        <v>ZwölfMinLaufHalleNote[@[Note]]</v>
      </c>
      <c r="EI5" s="96" t="str" cm="1">
        <f t="array" aca="1" ref="EI5" ca="1">INDEX(INDIRECT($C$4),EG$4)</f>
        <v>ZwölfMinLaufimFreienNote[@[Note]]</v>
      </c>
      <c r="EJ5" s="92" t="str">
        <f>EF$17&amp;Stammdaten!$CB$3</f>
        <v>Ausdauerdisziplinen dispensiert</v>
      </c>
      <c r="EL5" s="93"/>
      <c r="EM5" s="93"/>
      <c r="EN5" s="93"/>
      <c r="EP5" s="92" t="str">
        <f>$C$5</f>
        <v>StdDisziplinen[Bewertung2]</v>
      </c>
      <c r="EQ5" s="92" t="str">
        <f>$C$6</f>
        <v>StdDisziplinen[StdTabGerRun]</v>
      </c>
      <c r="ER5" s="92" t="str">
        <f>$B$5</f>
        <v>StdDisziplinen[R-A_Code]</v>
      </c>
      <c r="EU5" s="92" t="str">
        <f>Stammdaten!$AR$4</f>
        <v>StdDisziplinen[StufeMax]</v>
      </c>
      <c r="EW5" s="92" t="str">
        <f>Stammdaten!$AS$4</f>
        <v>StdDisziplinen[MaxTextSt1]</v>
      </c>
      <c r="FA5" s="92" t="str" cm="1">
        <f t="array" aca="1" ref="FA5" ca="1">INDEX(INDIRECT($E$6),FA$4)</f>
        <v>HochsprungSkalawert[@[Skala-Wert]]</v>
      </c>
      <c r="FB5" s="92" t="str" cm="1">
        <f t="array" aca="1" ref="FB5" ca="1">INDEX(INDIRECT($E$6),FB$4)</f>
        <v>WeitsprungSkalawert[@[Skala-Wert]]</v>
      </c>
      <c r="FC5" s="96" t="str" cm="1">
        <f t="array" aca="1" ref="FC5" ca="1">INDEX(INDIRECT($C$4),FA$4)</f>
        <v>HochsprungNote[@[Note]]</v>
      </c>
      <c r="FD5" s="96" t="str" cm="1">
        <f t="array" aca="1" ref="FD5" ca="1">INDEX(INDIRECT($C$4),FB$4)</f>
        <v>WeitsprungNote[@[Note]]</v>
      </c>
      <c r="FE5" s="92" t="str">
        <f>FA$17&amp;Stammdaten!$CB$3</f>
        <v>Sprungdisziplinen dispensiert</v>
      </c>
      <c r="FG5" s="93"/>
      <c r="FH5" s="93"/>
      <c r="FI5" s="93"/>
      <c r="FK5" s="92" t="str">
        <f>$C$5</f>
        <v>StdDisziplinen[Bewertung2]</v>
      </c>
      <c r="FL5" s="92" t="str">
        <f>$C$6</f>
        <v>StdDisziplinen[StdTabGerRun]</v>
      </c>
      <c r="FM5" s="92" t="str">
        <f>$B$5</f>
        <v>StdDisziplinen[R-A_Code]</v>
      </c>
      <c r="FP5" s="92" t="str">
        <f>Stammdaten!$AR$4</f>
        <v>StdDisziplinen[StufeMax]</v>
      </c>
      <c r="FR5" s="92" t="str">
        <f>Stammdaten!$AS$4</f>
        <v>StdDisziplinen[MaxTextSt1]</v>
      </c>
      <c r="FV5" s="92" t="str" cm="1">
        <f t="array" aca="1" ref="FV5" ca="1">INDEX(INDIRECT($E$6),FV$4)</f>
        <v>BallwurfSkalawert[@[Skala-Wert]]</v>
      </c>
      <c r="FW5" s="92" t="str" cm="1">
        <f t="array" aca="1" ref="FW5" ca="1">INDEX(INDIRECT($E$6),FW$4)</f>
        <v>KugelstossenSkalawert[@[Skala-Wert]]</v>
      </c>
      <c r="FX5" s="92" t="str" cm="1">
        <f t="array" aca="1" ref="FX5" ca="1">INDEX(INDIRECT($E$6),FX$4)</f>
        <v>SpeerwurfSkalawert[@[Skala-Wert]]</v>
      </c>
      <c r="FY5" s="96" t="str" cm="1">
        <f t="array" aca="1" ref="FY5" ca="1">INDEX(INDIRECT($C$4),FV$4)</f>
        <v>BallwurfNote[@[Note]]</v>
      </c>
      <c r="FZ5" s="96" t="str" cm="1">
        <f t="array" aca="1" ref="FZ5" ca="1">INDEX(INDIRECT($C$4),FW$4)</f>
        <v>KugelstossenNote[@[Note]]</v>
      </c>
      <c r="GA5" s="96" t="str" cm="1">
        <f t="array" aca="1" ref="GA5" ca="1">INDEX(INDIRECT($C$4),FX$4)</f>
        <v>SpeerwurfNote[@[Note]]</v>
      </c>
      <c r="GB5" s="92" t="str">
        <f>FV$17&amp;Stammdaten!$CB$3</f>
        <v>Wurfdisziplinen dispensiert</v>
      </c>
      <c r="GD5" s="93"/>
      <c r="GE5" s="93"/>
      <c r="GF5" s="93"/>
      <c r="GH5" s="92" t="str">
        <f>$C$5</f>
        <v>StdDisziplinen[Bewertung2]</v>
      </c>
      <c r="GI5" s="92" t="str">
        <f>$C$6</f>
        <v>StdDisziplinen[StdTabGerRun]</v>
      </c>
      <c r="GJ5" s="92" t="str">
        <f>$B$5</f>
        <v>StdDisziplinen[R-A_Code]</v>
      </c>
      <c r="GM5" s="92" t="str">
        <f>Stammdaten!$AR$4</f>
        <v>StdDisziplinen[StufeMax]</v>
      </c>
      <c r="GO5" s="92" t="str">
        <f>Stammdaten!$AS$4</f>
        <v>StdDisziplinen[MaxTextSt1]</v>
      </c>
      <c r="GX5" s="93"/>
      <c r="GY5" s="93"/>
      <c r="GZ5" s="93"/>
      <c r="HR5" s="94"/>
      <c r="HS5" s="94"/>
      <c r="HT5" s="94"/>
      <c r="HU5" s="94"/>
      <c r="HV5" s="94"/>
      <c r="HW5" s="94" t="str">
        <f ca="1">LEFT($E$3,LEN($E$3)-2)&amp;HW$4&amp;"]"</f>
        <v>StdDisziplinen[Maximalwert_OS2]</v>
      </c>
      <c r="IA5" s="94"/>
      <c r="IB5" s="94"/>
      <c r="IC5" s="94"/>
      <c r="ID5" s="94"/>
      <c r="IE5" s="94"/>
      <c r="IF5" s="94" t="str">
        <f ca="1">LEFT($E$3,LEN($E$3)-2)&amp;IF$4&amp;"]"</f>
        <v>StdDisziplinen[Maximalwert_OS2]</v>
      </c>
      <c r="IJ5" s="94"/>
      <c r="IK5" s="94"/>
      <c r="IL5" s="94"/>
      <c r="IM5" s="94"/>
      <c r="IN5" s="94"/>
      <c r="IO5" s="94" t="str">
        <f ca="1">LEFT($E$3,LEN($E$3)-2)&amp;IO$4&amp;"]"</f>
        <v>StdDisziplinen[Maximalwert_OS2]</v>
      </c>
      <c r="IS5" s="94"/>
      <c r="IT5" s="94"/>
      <c r="IU5" s="94"/>
      <c r="IV5" s="94"/>
      <c r="IW5" s="94"/>
      <c r="IX5" s="94" t="str">
        <f ca="1">LEFT($E$3,LEN($E$3)-2)&amp;IX$4&amp;"]"</f>
        <v>StdDisziplinen[Maximalwert_OS2]</v>
      </c>
      <c r="JB5" s="94"/>
      <c r="JC5" s="94"/>
      <c r="JD5" s="94"/>
      <c r="JE5" s="94"/>
      <c r="JF5" s="94"/>
      <c r="JG5" s="94" t="str">
        <f ca="1">LEFT($E$3,LEN($E$3)-2)&amp;JG$4&amp;"]"</f>
        <v>StdDisziplinen[Maximalwert_OS2]</v>
      </c>
      <c r="JK5" s="94"/>
      <c r="JL5" s="94"/>
      <c r="JM5" s="94"/>
      <c r="JN5" s="94"/>
      <c r="JO5" s="94"/>
      <c r="JP5" s="94" t="str">
        <f ca="1">LEFT($E$3,LEN($E$3)-2)&amp;JP$4&amp;"]"</f>
        <v>StdDisziplinen[Maximalwert_OS2]</v>
      </c>
      <c r="JR5" s="92" t="str" cm="1">
        <f t="array" aca="1" ref="JR5" ca="1">INDEX(INDIRECT(JR$2),JR$4)</f>
        <v>Reck</v>
      </c>
      <c r="JS5" s="92" t="str" cm="1">
        <f t="array" aca="1" ref="JS5" ca="1">INDEX(INDIRECT(JS$2),JS$4)</f>
        <v>Boden</v>
      </c>
      <c r="JT5" s="92" t="str" cm="1">
        <f t="array" aca="1" ref="JT5" ca="1">INDEX(INDIRECT(JT$2),JT$4)</f>
        <v>Stufenbarren</v>
      </c>
      <c r="JU5" s="92" t="str" cm="1">
        <f t="array" aca="1" ref="JU5" ca="1">INDEX(INDIRECT(JU$2),JU$4)</f>
        <v>Parallelbarren</v>
      </c>
      <c r="JV5" s="92" t="str" cm="1">
        <f t="array" aca="1" ref="JV5" ca="1">INDEX(INDIRECT(JV$2),JV$4)</f>
        <v>Schaukelringe</v>
      </c>
      <c r="JW5" s="92" t="str" cm="1">
        <f t="array" aca="1" ref="JW5" ca="1">INDEX(INDIRECT(JW$2),JW$4)</f>
        <v>Sprung</v>
      </c>
      <c r="KP5" s="92" t="str" cm="1">
        <f t="array" aca="1" ref="KP5" ca="1">INDEX(INDIRECT(KP$4),KP$2)</f>
        <v>Reck</v>
      </c>
      <c r="KQ5" s="92" t="str" cm="1">
        <f t="array" aca="1" ref="KQ5" ca="1">INDEX(INDIRECT(KQ$4),KQ$2)</f>
        <v>Boden</v>
      </c>
      <c r="KR5" s="92" t="str" cm="1">
        <f t="array" aca="1" ref="KR5" ca="1">INDEX(INDIRECT(KR$4),KR$2)</f>
        <v>Stufenbarren</v>
      </c>
      <c r="KS5" s="92" t="str" cm="1">
        <f t="array" aca="1" ref="KS5" ca="1">INDEX(INDIRECT(KS$4),KS$2)</f>
        <v>Parallelbarren</v>
      </c>
      <c r="KT5" s="92" t="str" cm="1">
        <f t="array" aca="1" ref="KT5" ca="1">INDEX(INDIRECT(KT$4),KT$2)</f>
        <v>Schaukelringe</v>
      </c>
      <c r="KU5" s="92" t="str" cm="1">
        <f t="array" aca="1" ref="KU5" ca="1">INDEX(INDIRECT(KU$4),KU$2)</f>
        <v>Sprung</v>
      </c>
      <c r="KV5" s="92" t="str" cm="1">
        <f t="array" aca="1" ref="KV5" ca="1">INDEX(INDIRECT(KV$4),KV$2)</f>
        <v>Reck</v>
      </c>
      <c r="KW5" s="92" t="str" cm="1">
        <f t="array" aca="1" ref="KW5" ca="1">INDEX(INDIRECT(KW$4),KW$2)</f>
        <v>Boden</v>
      </c>
      <c r="KX5" s="92" t="str" cm="1">
        <f t="array" aca="1" ref="KX5" ca="1">INDEX(INDIRECT(KX$4),KX$2)</f>
        <v>Stufenbarren</v>
      </c>
      <c r="KY5" s="92" t="str" cm="1">
        <f t="array" aca="1" ref="KY5" ca="1">INDEX(INDIRECT(KY$4),KY$2)</f>
        <v>Parallelbarren</v>
      </c>
      <c r="KZ5" s="92" t="str" cm="1">
        <f t="array" aca="1" ref="KZ5" ca="1">INDEX(INDIRECT(KZ$4),KZ$2)</f>
        <v>Schaukelringe</v>
      </c>
      <c r="LA5" s="92" t="str" cm="1">
        <f t="array" aca="1" ref="LA5" ca="1">INDEX(INDIRECT(LA$4),LA$2)</f>
        <v>Sprung</v>
      </c>
      <c r="LI5" s="92" t="str">
        <f>$C$5</f>
        <v>StdDisziplinen[Bewertung2]</v>
      </c>
      <c r="LJ5" s="92" t="str">
        <f>$E$5</f>
        <v>StdDisziplinen[StdTabResRes]</v>
      </c>
      <c r="LK5" s="92" t="str">
        <f>$B$5</f>
        <v>StdDisziplinen[R-A_Code]</v>
      </c>
      <c r="LN5" s="92" t="str">
        <f>Stammdaten!$AR$4</f>
        <v>StdDisziplinen[StufeMax]</v>
      </c>
      <c r="LP5" s="92" t="str">
        <f>Stammdaten!$AS$4</f>
        <v>StdDisziplinen[MaxTextSt1]</v>
      </c>
      <c r="LU5" s="92" t="str">
        <f>$C$5</f>
        <v>StdDisziplinen[Bewertung2]</v>
      </c>
      <c r="LV5" s="92" t="str">
        <f>$E$5</f>
        <v>StdDisziplinen[StdTabResRes]</v>
      </c>
      <c r="LW5" s="92" t="str">
        <f>$B$5</f>
        <v>StdDisziplinen[R-A_Code]</v>
      </c>
      <c r="LZ5" s="92" t="str">
        <f>Stammdaten!$AR$4</f>
        <v>StdDisziplinen[StufeMax]</v>
      </c>
      <c r="MB5" s="92" t="str">
        <f>Stammdaten!$AS$4</f>
        <v>StdDisziplinen[MaxTextSt1]</v>
      </c>
      <c r="MG5" s="92" t="str">
        <f>$C$5</f>
        <v>StdDisziplinen[Bewertung2]</v>
      </c>
      <c r="MH5" s="92" t="str">
        <f>$E$5</f>
        <v>StdDisziplinen[StdTabResRes]</v>
      </c>
      <c r="MI5" s="92" t="str">
        <f>$B$5</f>
        <v>StdDisziplinen[R-A_Code]</v>
      </c>
      <c r="ML5" s="92" t="str">
        <f>Stammdaten!$AR$4</f>
        <v>StdDisziplinen[StufeMax]</v>
      </c>
      <c r="MN5" s="92" t="str">
        <f>Stammdaten!$AS$4</f>
        <v>StdDisziplinen[MaxTextSt1]</v>
      </c>
      <c r="MS5" s="93"/>
      <c r="MT5" s="93"/>
      <c r="MU5" s="93"/>
      <c r="MV5" s="93"/>
      <c r="MY5" s="92" t="str" cm="1">
        <f t="array" aca="1" ref="MY5" ca="1">INDEX(INDIRECT($E$6),MW$3)</f>
        <v>GeräteturnenSkalawert[@[Skala-Wert]]</v>
      </c>
      <c r="NI5" s="94"/>
      <c r="NJ5" s="94"/>
      <c r="NL5" s="92" t="str" cm="1">
        <f t="array" aca="1" ref="NL5" ca="1">INDEX(INDIRECT($E$6),NG$3)</f>
        <v>ParkourSkalawert[@[Skala-Wert]]</v>
      </c>
      <c r="NR5" s="92" t="str">
        <f ca="1">LEFT($E$3,LEN($E$3)-2)&amp;NR$4&amp;"]"</f>
        <v>StdDisziplinen[Maximalwert_OS2]</v>
      </c>
      <c r="NT5" s="92" t="str" cm="1">
        <f t="array" aca="1" ref="NT5" ca="1">INDEX(INDIRECT($E$6),NT$4)</f>
        <v>GeräteturnenSkalawert[@[Skala-Wert]]</v>
      </c>
      <c r="NU5" s="92" t="str" cm="1">
        <f t="array" aca="1" ref="NU5" ca="1">INDEX(INDIRECT($E$6),NU$4)</f>
        <v>ParkourSkalawert[@[Skala-Wert]]</v>
      </c>
      <c r="NV5" s="96" t="str" cm="1">
        <f t="array" aca="1" ref="NV5" ca="1">INDEX(INDIRECT($C$4),NT$4)</f>
        <v>GeräteturnenNote[@[Note]]</v>
      </c>
      <c r="NW5" s="96" t="str" cm="1">
        <f t="array" aca="1" ref="NW5" ca="1">INDEX(INDIRECT($C$4),NU$4)</f>
        <v>ParkourNote[@[Note]]</v>
      </c>
      <c r="NX5" s="92" t="str">
        <f ca="1">$NX$17&amp;Stammdaten!$CB$3</f>
        <v>Parkour dispensiert</v>
      </c>
      <c r="NY5" s="92" t="str">
        <f>$C$5</f>
        <v>StdDisziplinen[Bewertung2]</v>
      </c>
      <c r="NZ5" s="92" t="str">
        <f>$C$6</f>
        <v>StdDisziplinen[StdTabGerRun]</v>
      </c>
      <c r="OA5" s="92" t="str">
        <f>$ER$5</f>
        <v>StdDisziplinen[R-A_Code]</v>
      </c>
      <c r="OD5" s="92" t="str">
        <f>Stammdaten!$AR$4</f>
        <v>StdDisziplinen[StufeMax]</v>
      </c>
      <c r="OF5" s="92" t="str">
        <f>Stammdaten!$AS$4</f>
        <v>StdDisziplinen[MaxTextSt1]</v>
      </c>
      <c r="OM5" s="93"/>
      <c r="ON5" s="93"/>
      <c r="OO5" s="93"/>
      <c r="PE5" s="94"/>
      <c r="PG5" s="92" t="str" cm="1">
        <f t="array" aca="1" ref="PG5" ca="1">INDEX(INDIRECT($E$6),PC$3)</f>
        <v>TanzenSkalawert[@[Skala-Wert]]</v>
      </c>
      <c r="PM5" s="92" t="str">
        <f ca="1">LEFT($E$3,LEN($E$3)-2)&amp;PM$4&amp;"]"</f>
        <v>StdDisziplinen[Maximalwert_OS2]</v>
      </c>
      <c r="PQ5" s="94"/>
      <c r="PR5" s="94"/>
      <c r="PT5" s="92" t="str" cm="1">
        <f t="array" aca="1" ref="PT5" ca="1">INDEX(INDIRECT($E$6),PO$3)</f>
        <v>RopeSkippingSkalawert[@[Skala-Wert]]</v>
      </c>
      <c r="PZ5" s="92" t="str">
        <f ca="1">LEFT($E$3,LEN($E$3)-2)&amp;PZ$4&amp;"]"</f>
        <v>StdDisziplinen[Maximalwert_OS2]</v>
      </c>
      <c r="QD5" s="94"/>
      <c r="QF5" s="92" t="str" cm="1">
        <f t="array" aca="1" ref="QF5" ca="1">INDEX(INDIRECT($E$6),QB$3)</f>
        <v>AerobicSkalawert[@[Skala-Wert]]</v>
      </c>
      <c r="QL5" s="92" t="str">
        <f ca="1">LEFT($E$3,LEN($E$3)-2)&amp;QL$4&amp;"]"</f>
        <v>StdDisziplinen[Maximalwert_OS2]</v>
      </c>
      <c r="QN5" s="92" t="str" cm="1">
        <f t="array" aca="1" ref="QN5" ca="1">INDEX(INDIRECT($E$6),QN$4)</f>
        <v>TanzenSkalawert[@[Skala-Wert]]</v>
      </c>
      <c r="QO5" s="92" t="str" cm="1">
        <f t="array" aca="1" ref="QO5" ca="1">INDEX(INDIRECT($E$6),QO$4)</f>
        <v>RopeSkippingSkalawert[@[Skala-Wert]]</v>
      </c>
      <c r="QP5" s="92" t="str" cm="1">
        <f t="array" aca="1" ref="QP5" ca="1">INDEX(INDIRECT($E$6),QP$4)</f>
        <v>AerobicSkalawert[@[Skala-Wert]]</v>
      </c>
      <c r="QQ5" s="96" t="str" cm="1">
        <f t="array" aca="1" ref="QQ5" ca="1">INDEX(INDIRECT($C$4),QN$4)</f>
        <v>TanzenNote[@[Note]]</v>
      </c>
      <c r="QR5" s="96" t="str" cm="1">
        <f t="array" aca="1" ref="QR5" ca="1">INDEX(INDIRECT($C$4),QO$4)</f>
        <v>RopeSkippingNote[@[Note]]</v>
      </c>
      <c r="QS5" s="96" t="str" cm="1">
        <f t="array" aca="1" ref="QS5" ca="1">INDEX(INDIRECT($C$4),QP$4)</f>
        <v>AerobicNote[@[Note]]</v>
      </c>
      <c r="QT5" s="92" t="str">
        <f ca="1">QN$17&amp;Stammdaten!$CB$3</f>
        <v>Darstellen und Tanzen dispensiert</v>
      </c>
      <c r="QU5" s="93"/>
      <c r="QV5" s="93"/>
      <c r="QW5" s="93"/>
      <c r="QY5" s="92" t="str">
        <f>$C$5</f>
        <v>StdDisziplinen[Bewertung2]</v>
      </c>
      <c r="QZ5" s="92" t="str">
        <f>$C$6</f>
        <v>StdDisziplinen[StdTabGerRun]</v>
      </c>
      <c r="RA5" s="92" t="str">
        <f>$B$5</f>
        <v>StdDisziplinen[R-A_Code]</v>
      </c>
      <c r="RD5" s="92" t="str">
        <f>Stammdaten!$AR$4</f>
        <v>StdDisziplinen[StufeMax]</v>
      </c>
      <c r="RF5" s="92" t="str">
        <f>Stammdaten!$AS$4</f>
        <v>StdDisziplinen[MaxTextSt1]</v>
      </c>
      <c r="RR5" s="92" t="str" cm="1">
        <f t="array" aca="1" ref="RR5" ca="1">INDEX(INDIRECT($E$6),RN$3)</f>
        <v>BasketballSkalawert[@[Skala-Wert]]</v>
      </c>
      <c r="SD5" s="92" t="str" cm="1">
        <f t="array" aca="1" ref="SD5" ca="1">INDEX(INDIRECT($E$6),RZ$3)</f>
        <v>FussballSkalawert[@[Skala-Wert]]</v>
      </c>
      <c r="SP5" s="92" t="str" cm="1">
        <f t="array" aca="1" ref="SP5" ca="1">INDEX(INDIRECT($E$6),SL$3)</f>
        <v>HandballSkalawert[@[Skala-Wert]]</v>
      </c>
      <c r="TB5" s="92" t="str" cm="1">
        <f t="array" aca="1" ref="TB5" ca="1">INDEX(INDIRECT($E$6),SX$3)</f>
        <v>UnihockeySkalawert[@[Skala-Wert]]</v>
      </c>
      <c r="TL5" s="94"/>
      <c r="TM5" s="94"/>
      <c r="TO5" s="92" t="str" cm="1">
        <f t="array" aca="1" ref="TO5" ca="1">INDEX(INDIRECT($E$6),TJ$3)</f>
        <v>VolleyballSkalawert[@[Skala-Wert]]</v>
      </c>
      <c r="TU5" s="92" t="str">
        <f ca="1">LEFT($E$3,LEN($E$3)-2)&amp;TU$4&amp;"]"</f>
        <v>StdDisziplinen[Maximalwert_OS2]</v>
      </c>
      <c r="TW5" s="92" t="str" cm="1">
        <f t="array" aca="1" ref="TW5" ca="1">INDEX(INDIRECT(TW$2),TW$4)</f>
        <v>Basketball</v>
      </c>
      <c r="TX5" s="92" t="str" cm="1">
        <f t="array" aca="1" ref="TX5" ca="1">INDEX(INDIRECT(TX$2),TX$4)</f>
        <v>Fussball</v>
      </c>
      <c r="TY5" s="92" t="str" cm="1">
        <f t="array" aca="1" ref="TY5" ca="1">INDEX(INDIRECT(TY$2),TY$4)</f>
        <v>Handball</v>
      </c>
      <c r="TZ5" s="92" t="str" cm="1">
        <f t="array" aca="1" ref="TZ5" ca="1">INDEX(INDIRECT(TZ$2),TZ$4)</f>
        <v>Unihockey</v>
      </c>
      <c r="UA5" s="92" t="str" cm="1">
        <f t="array" aca="1" ref="UA5" ca="1">INDEX(INDIRECT(UA$2),UA$4)</f>
        <v>Volleyball</v>
      </c>
      <c r="UT5" s="92" t="str" cm="1">
        <f t="array" aca="1" ref="UT5" ca="1">INDEX(INDIRECT(UT$4),UT$2)</f>
        <v>Basketball</v>
      </c>
      <c r="UU5" s="92" t="str" cm="1">
        <f t="array" aca="1" ref="UU5" ca="1">INDEX(INDIRECT(UU$4),UU$2)</f>
        <v>Fussball</v>
      </c>
      <c r="UV5" s="92" t="str" cm="1">
        <f t="array" aca="1" ref="UV5" ca="1">INDEX(INDIRECT(UV$4),UV$2)</f>
        <v>Handball</v>
      </c>
      <c r="UW5" s="92" t="str" cm="1">
        <f t="array" aca="1" ref="UW5" ca="1">INDEX(INDIRECT(UW$4),UW$2)</f>
        <v>Unihockey</v>
      </c>
      <c r="UX5" s="92" t="str" cm="1">
        <f t="array" aca="1" ref="UX5" ca="1">INDEX(INDIRECT(UX$4),UX$2)</f>
        <v>Volleyball</v>
      </c>
      <c r="UY5" s="92" t="str" cm="1">
        <f t="array" aca="1" ref="UY5" ca="1">INDEX(INDIRECT(UY$4),UY$2)</f>
        <v>Basketball</v>
      </c>
      <c r="UZ5" s="92" t="str" cm="1">
        <f t="array" aca="1" ref="UZ5" ca="1">INDEX(INDIRECT(UZ$4),UZ$2)</f>
        <v>Fussball</v>
      </c>
      <c r="VA5" s="92" t="str" cm="1">
        <f t="array" aca="1" ref="VA5" ca="1">INDEX(INDIRECT(VA$4),VA$2)</f>
        <v>Handball</v>
      </c>
      <c r="VB5" s="92" t="str" cm="1">
        <f t="array" aca="1" ref="VB5" ca="1">INDEX(INDIRECT(VB$4),VB$2)</f>
        <v>Unihockey</v>
      </c>
      <c r="VC5" s="92" t="str" cm="1">
        <f t="array" aca="1" ref="VC5" ca="1">INDEX(INDIRECT(VC$4),VC$2)</f>
        <v>Volleyball</v>
      </c>
      <c r="VK5" s="92" t="str">
        <f>$C$5</f>
        <v>StdDisziplinen[Bewertung2]</v>
      </c>
      <c r="VL5" s="92" t="str">
        <f>$C$6</f>
        <v>StdDisziplinen[StdTabGerRun]</v>
      </c>
      <c r="VM5" s="92" t="str">
        <f>$B$5</f>
        <v>StdDisziplinen[R-A_Code]</v>
      </c>
      <c r="VP5" s="92" t="str">
        <f>Stammdaten!$AR$4</f>
        <v>StdDisziplinen[StufeMax]</v>
      </c>
      <c r="VR5" s="92" t="str">
        <f>Stammdaten!$AS$4</f>
        <v>StdDisziplinen[MaxTextSt1]</v>
      </c>
      <c r="VW5" s="92" t="str">
        <f>$C$5</f>
        <v>StdDisziplinen[Bewertung2]</v>
      </c>
      <c r="VX5" s="92" t="str">
        <f>$C$6</f>
        <v>StdDisziplinen[StdTabGerRun]</v>
      </c>
      <c r="VY5" s="92" t="str">
        <f>$B$5</f>
        <v>StdDisziplinen[R-A_Code]</v>
      </c>
      <c r="WB5" s="92" t="str">
        <f>Stammdaten!$AR$4</f>
        <v>StdDisziplinen[StufeMax]</v>
      </c>
      <c r="WD5" s="92" t="str">
        <f>Stammdaten!$AS$4</f>
        <v>StdDisziplinen[MaxTextSt1]</v>
      </c>
      <c r="WI5" s="92" t="str">
        <f>$C$5</f>
        <v>StdDisziplinen[Bewertung2]</v>
      </c>
      <c r="WJ5" s="92" t="str">
        <f>$C$6</f>
        <v>StdDisziplinen[StdTabGerRun]</v>
      </c>
      <c r="WK5" s="92" t="str">
        <f>$B$5</f>
        <v>StdDisziplinen[R-A_Code]</v>
      </c>
      <c r="WN5" s="92" t="str">
        <f>Stammdaten!$AR$4</f>
        <v>StdDisziplinen[StufeMax]</v>
      </c>
      <c r="WP5" s="92" t="str">
        <f>Stammdaten!$AS$4</f>
        <v>StdDisziplinen[MaxTextSt1]</v>
      </c>
      <c r="WT5" s="92" t="str" cm="1">
        <f t="array" aca="1" ref="WT5" ca="1">INDEX(INDIRECT($E$6),WT$4)</f>
        <v>BasketballSkalawert[@[Skala-Wert]]</v>
      </c>
      <c r="WU5" s="92" t="str" cm="1">
        <f t="array" aca="1" ref="WU5" ca="1">INDEX(INDIRECT($E$6),WU$4)</f>
        <v>FussballSkalawert[@[Skala-Wert]]</v>
      </c>
      <c r="WV5" s="92" t="str" cm="1">
        <f t="array" aca="1" ref="WV5" ca="1">INDEX(INDIRECT($E$6),WV$4)</f>
        <v>HandballSkalawert[@[Skala-Wert]]</v>
      </c>
      <c r="WW5" s="92" t="str" cm="1">
        <f t="array" aca="1" ref="WW5" ca="1">INDEX(INDIRECT($E$6),WW$4)</f>
        <v>UnihockeySkalawert[@[Skala-Wert]]</v>
      </c>
      <c r="WX5" s="92" t="str" cm="1">
        <f t="array" aca="1" ref="WX5" ca="1">INDEX(INDIRECT($E$6),WX$4)</f>
        <v>VolleyballSkalawert[@[Skala-Wert]]</v>
      </c>
      <c r="WY5" s="96" t="str" cm="1">
        <f t="array" aca="1" ref="WY5" ca="1">INDEX(INDIRECT($C$4),WY$4)</f>
        <v>BasketballNote[@[Note]]</v>
      </c>
      <c r="WZ5" s="96" t="str" cm="1">
        <f t="array" aca="1" ref="WZ5" ca="1">INDEX(INDIRECT($C$4),WZ$4)</f>
        <v>FussballNote[@[Note]]</v>
      </c>
      <c r="XA5" s="96" t="str" cm="1">
        <f t="array" aca="1" ref="XA5" ca="1">INDEX(INDIRECT($C$4),XA$4)</f>
        <v>HandballNote[@[Note]]</v>
      </c>
      <c r="XB5" s="96" t="str" cm="1">
        <f t="array" aca="1" ref="XB5" ca="1">INDEX(INDIRECT($C$4),XB$4)</f>
        <v>UnihockeyNote[@[Note]]</v>
      </c>
      <c r="XC5" s="96" t="str" cm="1">
        <f t="array" aca="1" ref="XC5" ca="1">INDEX(INDIRECT($C$4),XC$4)</f>
        <v>VolleyballNote[@[Note]]</v>
      </c>
      <c r="XH5" s="93"/>
      <c r="XI5" s="93"/>
      <c r="XJ5" s="93"/>
      <c r="YD5" s="93"/>
      <c r="YE5" s="93"/>
      <c r="YF5" s="93"/>
      <c r="ZW5" s="92" t="str" cm="1">
        <f t="array" aca="1" ref="ZW5" ca="1">INDEX(INDIRECT($E$6),ZM$3)</f>
        <v>SchwimmenSkalawert[@[Skala-Wert]]</v>
      </c>
      <c r="ZX5" s="92" t="str">
        <f ca="1">REPLACE($ZW$5,FIND("]",$ZW$5,1),0,"0")</f>
        <v>SchwimmenSkalawert[@[Skala-Wert0]]</v>
      </c>
      <c r="AAT5" s="94"/>
      <c r="AAU5" s="94"/>
      <c r="AAW5" s="92" t="str" cm="1">
        <f t="array" aca="1" ref="AAW5" ca="1">INDEX(INDIRECT($E$6),AAR$3)</f>
        <v>BeweglichkeitSkalawert[@[Skala-Wert]]</v>
      </c>
      <c r="ABB5" s="92" t="str">
        <f ca="1">LEFT($E$3,LEN($E$3)-2)&amp;ABB$4&amp;"]"</f>
        <v>StdDisziplinen[Maximalwert_OS2]</v>
      </c>
      <c r="ABF5" s="94"/>
      <c r="ABG5" s="94"/>
      <c r="ABI5" s="92" t="str" cm="1">
        <f t="array" aca="1" ref="ABI5" ca="1">INDEX(INDIRECT($E$6),ABD$3)</f>
        <v>RumpfkraftSkalawert[@[Skala-Wert]]</v>
      </c>
      <c r="ACD5" s="94"/>
      <c r="ACE5" s="94"/>
      <c r="ACG5" s="92" t="str" cm="1">
        <f t="array" aca="1" ref="ACG5" ca="1">INDEX(INDIRECT($E$6),ACB$3)</f>
        <v>KonditionsparcoursSkalawert[@[Skala-Wert]]</v>
      </c>
    </row>
    <row r="6" spans="1:768" s="92" customFormat="1" hidden="1">
      <c r="B6" s="91" t="str">
        <f>Stammdaten!$AN$4</f>
        <v>StdDisziplinen[Vergleichstyp]</v>
      </c>
      <c r="C6" s="91" t="str">
        <f>Stammdaten!$Z$4</f>
        <v>StdDisziplinen[StdTabGerRun]</v>
      </c>
      <c r="D6" s="91"/>
      <c r="E6" s="91" t="str">
        <f>Stammdaten!$AB$4</f>
        <v>StdDisziplinen[TabÜberschriftSkala]</v>
      </c>
      <c r="F6" s="91"/>
      <c r="K6" s="92" t="str" cm="1">
        <f t="array" aca="1" ref="K6" ca="1">INDEX(INDIRECT(Stammdaten!$AC$4),G$3)</f>
        <v>SechzigmLauf_X[Note]</v>
      </c>
      <c r="L6" s="92" cm="1">
        <f t="array" aca="1" ref="L6" ca="1">INDEX(INDIRECT(Stammdaten!$U$4),G$3)</f>
        <v>14</v>
      </c>
      <c r="W6" s="92" t="str" cm="1">
        <f t="array" aca="1" ref="W6" ca="1">INDEX(INDIRECT(Stammdaten!$AC$4),S$3)</f>
        <v>AchtzigmLauf_X[Note]</v>
      </c>
      <c r="X6" s="92" cm="1">
        <f t="array" aca="1" ref="X6" ca="1">INDEX(INDIRECT(Stammdaten!$U$4),S$3)</f>
        <v>14</v>
      </c>
      <c r="AI6" s="92" t="str" cm="1">
        <f t="array" aca="1" ref="AI6" ca="1">INDEX(INDIRECT(Stammdaten!$AC$4),AE$3)</f>
        <v>ZwölfMinLaufHalle_X[Note]</v>
      </c>
      <c r="AJ6" s="92" cm="1">
        <f t="array" aca="1" ref="AJ6" ca="1">INDEX(INDIRECT(Stammdaten!$U$4),AE$3)</f>
        <v>19</v>
      </c>
      <c r="AU6" s="92" t="str" cm="1">
        <f t="array" aca="1" ref="AU6" ca="1">INDEX(INDIRECT(Stammdaten!$AC$4),AQ$3)</f>
        <v>ZwölfMinLaufimFreien_X[Note]</v>
      </c>
      <c r="AV6" s="92" cm="1">
        <f t="array" aca="1" ref="AV6" ca="1">INDEX(INDIRECT(Stammdaten!$U$4),AQ$3)</f>
        <v>22</v>
      </c>
      <c r="BG6" s="92" t="str" cm="1">
        <f t="array" aca="1" ref="BG6" ca="1">INDEX(INDIRECT(Stammdaten!$AC$4),BC$3)</f>
        <v>Hochsprung_X[Note]</v>
      </c>
      <c r="BH6" s="92" cm="1">
        <f t="array" aca="1" ref="BH6" ca="1">INDEX(INDIRECT(Stammdaten!$U$4),BC$3)</f>
        <v>12</v>
      </c>
      <c r="BS6" s="92" t="str" cm="1">
        <f t="array" aca="1" ref="BS6" ca="1">INDEX(INDIRECT(Stammdaten!$AC$4),BO$3)</f>
        <v>Weitsprung_X[Note]</v>
      </c>
      <c r="BT6" s="92" cm="1">
        <f t="array" aca="1" ref="BT6" ca="1">INDEX(INDIRECT(Stammdaten!$U$4),BO$3)</f>
        <v>12</v>
      </c>
      <c r="CE6" s="92" t="str" cm="1">
        <f t="array" aca="1" ref="CE6" ca="1">INDEX(INDIRECT(Stammdaten!$AC$4),CA$3)</f>
        <v>Ballwurf_X[Note]</v>
      </c>
      <c r="CF6" s="92" cm="1">
        <f t="array" aca="1" ref="CF6" ca="1">INDEX(INDIRECT(Stammdaten!$U$4),CA$3)</f>
        <v>10</v>
      </c>
      <c r="CQ6" s="92" t="str" cm="1">
        <f t="array" aca="1" ref="CQ6" ca="1">INDEX(INDIRECT(Stammdaten!$AC$4),CM$3)</f>
        <v>Kugelstossen_X[Note]</v>
      </c>
      <c r="CR6" s="92" cm="1">
        <f t="array" aca="1" ref="CR6" ca="1">INDEX(INDIRECT(Stammdaten!$U$4),CM$3)</f>
        <v>14</v>
      </c>
      <c r="DC6" s="92" t="str" cm="1">
        <f t="array" aca="1" ref="DC6" ca="1">INDEX(INDIRECT(Stammdaten!$AC$4),CY$3)</f>
        <v>Speerwurf_X[Note]</v>
      </c>
      <c r="DD6" s="92" cm="1">
        <f t="array" aca="1" ref="DD6" ca="1">INDEX(INDIRECT(Stammdaten!$U$4),CY$3)</f>
        <v>11</v>
      </c>
      <c r="DM6" s="96"/>
      <c r="DN6" s="96"/>
      <c r="DQ6" s="93"/>
      <c r="DR6" s="93"/>
      <c r="DS6" s="93"/>
      <c r="DV6" s="92" t="str">
        <f>$E$4</f>
        <v>StdDisziplinen[StdTabResEin]</v>
      </c>
      <c r="EH6" s="96"/>
      <c r="EI6" s="96"/>
      <c r="EL6" s="93"/>
      <c r="EM6" s="93"/>
      <c r="EN6" s="93"/>
      <c r="EQ6" s="92" t="str">
        <f>$E$4</f>
        <v>StdDisziplinen[StdTabResEin]</v>
      </c>
      <c r="FC6" s="96"/>
      <c r="FD6" s="96"/>
      <c r="FG6" s="93"/>
      <c r="FH6" s="93"/>
      <c r="FI6" s="93"/>
      <c r="FL6" s="92" t="str">
        <f>$E$4</f>
        <v>StdDisziplinen[StdTabResEin]</v>
      </c>
      <c r="FY6" s="96"/>
      <c r="FZ6" s="96"/>
      <c r="GA6" s="96"/>
      <c r="GD6" s="93"/>
      <c r="GE6" s="93"/>
      <c r="GF6" s="93"/>
      <c r="GI6" s="92" t="str">
        <f>$E$4</f>
        <v>StdDisziplinen[StdTabResEin]</v>
      </c>
      <c r="GX6" s="93"/>
      <c r="GY6" s="93"/>
      <c r="GZ6" s="93"/>
      <c r="HR6" s="94"/>
      <c r="HS6" s="94"/>
      <c r="HT6" s="94"/>
      <c r="HU6" s="94"/>
      <c r="HV6" s="94"/>
      <c r="HW6" s="94"/>
      <c r="IA6" s="94"/>
      <c r="IB6" s="94"/>
      <c r="IC6" s="94"/>
      <c r="ID6" s="94"/>
      <c r="IE6" s="94"/>
      <c r="IF6" s="94"/>
      <c r="IJ6" s="94"/>
      <c r="IK6" s="94"/>
      <c r="IL6" s="94"/>
      <c r="IM6" s="94"/>
      <c r="IN6" s="94"/>
      <c r="IO6" s="94"/>
      <c r="IS6" s="94"/>
      <c r="IT6" s="94"/>
      <c r="IU6" s="94"/>
      <c r="IV6" s="94"/>
      <c r="IW6" s="94"/>
      <c r="IX6" s="94"/>
      <c r="JB6" s="94"/>
      <c r="JC6" s="94"/>
      <c r="JD6" s="94"/>
      <c r="JE6" s="94"/>
      <c r="JF6" s="94"/>
      <c r="JG6" s="94"/>
      <c r="JK6" s="94"/>
      <c r="JL6" s="94"/>
      <c r="JM6" s="94"/>
      <c r="JN6" s="94"/>
      <c r="JO6" s="94"/>
      <c r="JP6" s="94"/>
      <c r="LJ6" s="92" t="str">
        <f>$E$4</f>
        <v>StdDisziplinen[StdTabResEin]</v>
      </c>
      <c r="LV6" s="92" t="str">
        <f>$E$4</f>
        <v>StdDisziplinen[StdTabResEin]</v>
      </c>
      <c r="MH6" s="92" t="str">
        <f>$E$4</f>
        <v>StdDisziplinen[StdTabResEin]</v>
      </c>
      <c r="MS6" s="93"/>
      <c r="MT6" s="93"/>
      <c r="MU6" s="93"/>
      <c r="MV6" s="93"/>
      <c r="MY6" s="92" t="str" cm="1">
        <f t="array" aca="1" ref="MY6" ca="1">INDEX(INDIRECT(Stammdaten!$AC$4),MW$3)</f>
        <v>Geräteturnen_X[Note]</v>
      </c>
      <c r="MZ6" s="92" cm="1">
        <f t="array" aca="1" ref="MZ6" ca="1">INDEX(INDIRECT(Stammdaten!$U$4),MW$3)</f>
        <v>14</v>
      </c>
      <c r="NI6" s="94"/>
      <c r="NJ6" s="94"/>
      <c r="NL6" s="92" t="str" cm="1">
        <f t="array" aca="1" ref="NL6" ca="1">INDEX(INDIRECT(Stammdaten!$AC$4),NG$3)</f>
        <v>Parkour_X[Note]</v>
      </c>
      <c r="NM6" s="92" cm="1">
        <f t="array" aca="1" ref="NM6" ca="1">INDEX(INDIRECT(Stammdaten!$U$4),NG$3)</f>
        <v>9</v>
      </c>
      <c r="NV6" s="96"/>
      <c r="NW6" s="96"/>
      <c r="NZ6" s="92" t="str">
        <f>$E$4</f>
        <v>StdDisziplinen[StdTabResEin]</v>
      </c>
      <c r="OM6" s="93"/>
      <c r="ON6" s="93"/>
      <c r="OO6" s="93"/>
      <c r="PE6" s="94"/>
      <c r="PG6" s="92" t="str" cm="1">
        <f t="array" aca="1" ref="PG6" ca="1">INDEX(INDIRECT(Stammdaten!$AC$4),PC$3)</f>
        <v>Tanzen_X[Note]</v>
      </c>
      <c r="PH6" s="92" cm="1">
        <f t="array" aca="1" ref="PH6" ca="1">INDEX(INDIRECT(Stammdaten!$U$4),PC$3)</f>
        <v>8</v>
      </c>
      <c r="PQ6" s="94"/>
      <c r="PR6" s="94"/>
      <c r="PT6" s="92" t="str" cm="1">
        <f t="array" aca="1" ref="PT6" ca="1">INDEX(INDIRECT(Stammdaten!$AC$4),PO$3)</f>
        <v>RopeSkipping_X[Note]</v>
      </c>
      <c r="PU6" s="92" cm="1">
        <f t="array" aca="1" ref="PU6" ca="1">INDEX(INDIRECT(Stammdaten!$U$4),PO$3)</f>
        <v>14</v>
      </c>
      <c r="QD6" s="94"/>
      <c r="QF6" s="92" t="str" cm="1">
        <f t="array" aca="1" ref="QF6" ca="1">INDEX(INDIRECT(Stammdaten!$AC$4),QB$3)</f>
        <v>Aerobic_X[Note]</v>
      </c>
      <c r="QG6" s="92" cm="1">
        <f t="array" aca="1" ref="QG6" ca="1">INDEX(INDIRECT(Stammdaten!$U$4),QB$3)</f>
        <v>9</v>
      </c>
      <c r="QQ6" s="96"/>
      <c r="QR6" s="96"/>
      <c r="QS6" s="96"/>
      <c r="QU6" s="93"/>
      <c r="QV6" s="93"/>
      <c r="QW6" s="93"/>
      <c r="QZ6" s="92" t="str">
        <f>$E$4</f>
        <v>StdDisziplinen[StdTabResEin]</v>
      </c>
      <c r="RR6" s="92" t="str" cm="1">
        <f t="array" aca="1" ref="RR6" ca="1">INDEX(INDIRECT(Stammdaten!$AC$4),RN$3)</f>
        <v>Basketball_X[Note]</v>
      </c>
      <c r="RS6" s="92" cm="1">
        <f t="array" aca="1" ref="RS6" ca="1">INDEX(INDIRECT(Stammdaten!$U$4),RN$3)</f>
        <v>12</v>
      </c>
      <c r="SD6" s="92" t="str" cm="1">
        <f t="array" aca="1" ref="SD6" ca="1">INDEX(INDIRECT(Stammdaten!$AC$4),RZ$3)</f>
        <v>Fussball_X[Note]</v>
      </c>
      <c r="SE6" s="92" cm="1">
        <f t="array" aca="1" ref="SE6" ca="1">INDEX(INDIRECT(Stammdaten!$U$4),RZ$3)</f>
        <v>10</v>
      </c>
      <c r="SP6" s="92" t="str" cm="1">
        <f t="array" aca="1" ref="SP6" ca="1">INDEX(INDIRECT(Stammdaten!$AC$4),SL$3)</f>
        <v>Handball_X[Note]</v>
      </c>
      <c r="SQ6" s="92" cm="1">
        <f t="array" aca="1" ref="SQ6" ca="1">INDEX(INDIRECT(Stammdaten!$U$4),SL$3)</f>
        <v>10</v>
      </c>
      <c r="TB6" s="92" t="str" cm="1">
        <f t="array" aca="1" ref="TB6" ca="1">INDEX(INDIRECT(Stammdaten!$AC$4),SX$3)</f>
        <v>Unihockey_X[Note]</v>
      </c>
      <c r="TC6" s="92" cm="1">
        <f t="array" aca="1" ref="TC6" ca="1">INDEX(INDIRECT(Stammdaten!$U$4),SX$3)</f>
        <v>11</v>
      </c>
      <c r="TL6" s="94"/>
      <c r="TM6" s="94"/>
      <c r="TO6" s="92" t="str" cm="1">
        <f t="array" aca="1" ref="TO6" ca="1">INDEX(INDIRECT(Stammdaten!$AC$4),TJ$3)</f>
        <v>Volleyball_X[Note]</v>
      </c>
      <c r="TP6" s="92" cm="1">
        <f t="array" aca="1" ref="TP6" ca="1">INDEX(INDIRECT(Stammdaten!$U$4),TJ$3)</f>
        <v>12</v>
      </c>
      <c r="VL6" s="92" t="str">
        <f>$E$4</f>
        <v>StdDisziplinen[StdTabResEin]</v>
      </c>
      <c r="VX6" s="92" t="str">
        <f>$E$4</f>
        <v>StdDisziplinen[StdTabResEin]</v>
      </c>
      <c r="WJ6" s="92" t="str">
        <f>$E$4</f>
        <v>StdDisziplinen[StdTabResEin]</v>
      </c>
      <c r="WY6" s="96"/>
      <c r="WZ6" s="96"/>
      <c r="XA6" s="96"/>
      <c r="XB6" s="96"/>
      <c r="XC6" s="96"/>
      <c r="XH6" s="93"/>
      <c r="XI6" s="93"/>
      <c r="XJ6" s="93"/>
      <c r="YD6" s="93"/>
      <c r="YE6" s="93"/>
      <c r="YF6" s="93"/>
      <c r="ZW6" s="92" t="str" cm="1">
        <f t="array" aca="1" ref="ZW6" ca="1">INDEX(INDIRECT(Stammdaten!$AC$4),ZM$3)</f>
        <v>Schwimmen_X[Note]</v>
      </c>
      <c r="ZX6" s="92" cm="1">
        <f t="array" aca="1" ref="ZX6" ca="1">INDEX(INDIRECT(Stammdaten!$U$4),ZM$3)</f>
        <v>11</v>
      </c>
      <c r="AAT6" s="94"/>
      <c r="AAU6" s="94"/>
      <c r="AAW6" s="92" t="str" cm="1">
        <f t="array" aca="1" ref="AAW6" ca="1">INDEX(INDIRECT(Stammdaten!$AC$4),AAR$3)</f>
        <v>Beweglichkeit_X[Note]</v>
      </c>
      <c r="AAX6" s="92" cm="1">
        <f t="array" aca="1" ref="AAX6" ca="1">INDEX(INDIRECT(Stammdaten!$U$4),AAR$3)</f>
        <v>15</v>
      </c>
      <c r="ABF6" s="94"/>
      <c r="ABG6" s="94"/>
      <c r="ABI6" s="92" t="str" cm="1">
        <f t="array" aca="1" ref="ABI6" ca="1">INDEX(INDIRECT(Stammdaten!$AC$4),ABD$3)</f>
        <v>Rumpfkraft_X[Note]</v>
      </c>
      <c r="ABJ6" s="92" cm="1">
        <f t="array" aca="1" ref="ABJ6" ca="1">INDEX(INDIRECT(Stammdaten!$U$4),ABD$3)</f>
        <v>12</v>
      </c>
      <c r="ACD6" s="94"/>
      <c r="ACE6" s="94"/>
      <c r="ACG6" s="92" t="str" cm="1">
        <f t="array" aca="1" ref="ACG6" ca="1">INDEX(INDIRECT(Stammdaten!$AC$4),ACB$3)</f>
        <v>Konditionsparcours_X[Note]</v>
      </c>
      <c r="ACH6" s="92" cm="1">
        <f t="array" aca="1" ref="ACH6" ca="1">INDEX(INDIRECT(Stammdaten!$U$4),ACB$3)</f>
        <v>20</v>
      </c>
    </row>
    <row r="7" spans="1:768" s="92" customFormat="1" hidden="1">
      <c r="A7" s="92" t="str">
        <f>Stammdaten!$CB$28</f>
        <v>Bed. F.</v>
      </c>
      <c r="B7" s="92" t="s">
        <v>384</v>
      </c>
      <c r="D7" s="97"/>
      <c r="E7" s="97"/>
      <c r="F7" s="97"/>
      <c r="G7" s="97" t="str">
        <f>LEFT(G$27,3)</f>
        <v>Ein</v>
      </c>
      <c r="H7" s="97" t="str">
        <f t="shared" ref="H7:BS7" si="0">LEFT(H$27,3)</f>
        <v>Res</v>
      </c>
      <c r="I7" s="97" t="str">
        <f t="shared" si="0"/>
        <v>Bed</v>
      </c>
      <c r="J7" s="97" t="str">
        <f t="shared" si="0"/>
        <v/>
      </c>
      <c r="K7" s="97" t="str">
        <f t="shared" si="0"/>
        <v>Run</v>
      </c>
      <c r="L7" s="97" t="str">
        <f t="shared" si="0"/>
        <v/>
      </c>
      <c r="M7" s="97" t="str">
        <f t="shared" si="0"/>
        <v/>
      </c>
      <c r="N7" s="97" t="str">
        <f t="shared" si="0"/>
        <v>Ska</v>
      </c>
      <c r="O7" s="97" t="str">
        <f t="shared" si="0"/>
        <v/>
      </c>
      <c r="P7" s="97" t="str">
        <f t="shared" si="0"/>
        <v/>
      </c>
      <c r="Q7" s="97" t="str">
        <f t="shared" si="0"/>
        <v>Not</v>
      </c>
      <c r="R7" s="97" t="str">
        <f t="shared" si="0"/>
        <v/>
      </c>
      <c r="S7" s="97" t="str">
        <f t="shared" si="0"/>
        <v>Ein</v>
      </c>
      <c r="T7" s="97" t="str">
        <f t="shared" si="0"/>
        <v>Res</v>
      </c>
      <c r="U7" s="97" t="str">
        <f t="shared" si="0"/>
        <v>Bed</v>
      </c>
      <c r="V7" s="97" t="str">
        <f t="shared" si="0"/>
        <v/>
      </c>
      <c r="W7" s="97" t="str">
        <f t="shared" si="0"/>
        <v>Run</v>
      </c>
      <c r="X7" s="97" t="str">
        <f t="shared" si="0"/>
        <v/>
      </c>
      <c r="Y7" s="97" t="str">
        <f t="shared" si="0"/>
        <v/>
      </c>
      <c r="Z7" s="97" t="str">
        <f t="shared" si="0"/>
        <v>Ska</v>
      </c>
      <c r="AA7" s="97" t="str">
        <f t="shared" si="0"/>
        <v/>
      </c>
      <c r="AB7" s="97" t="str">
        <f t="shared" si="0"/>
        <v/>
      </c>
      <c r="AC7" s="97" t="str">
        <f t="shared" si="0"/>
        <v>Not</v>
      </c>
      <c r="AD7" s="97" t="str">
        <f t="shared" si="0"/>
        <v/>
      </c>
      <c r="AE7" s="97" t="str">
        <f t="shared" si="0"/>
        <v>Ein</v>
      </c>
      <c r="AF7" s="97" t="str">
        <f t="shared" si="0"/>
        <v>Res</v>
      </c>
      <c r="AG7" s="97" t="str">
        <f t="shared" si="0"/>
        <v>Bed</v>
      </c>
      <c r="AH7" s="97" t="str">
        <f t="shared" si="0"/>
        <v/>
      </c>
      <c r="AI7" s="97" t="str">
        <f t="shared" si="0"/>
        <v>Run</v>
      </c>
      <c r="AJ7" s="97" t="str">
        <f t="shared" si="0"/>
        <v/>
      </c>
      <c r="AK7" s="97" t="str">
        <f t="shared" si="0"/>
        <v/>
      </c>
      <c r="AL7" s="97" t="str">
        <f t="shared" si="0"/>
        <v>Ska</v>
      </c>
      <c r="AM7" s="97" t="str">
        <f t="shared" si="0"/>
        <v/>
      </c>
      <c r="AN7" s="97" t="str">
        <f t="shared" si="0"/>
        <v/>
      </c>
      <c r="AO7" s="97" t="str">
        <f t="shared" si="0"/>
        <v>Not</v>
      </c>
      <c r="AP7" s="97" t="str">
        <f t="shared" si="0"/>
        <v/>
      </c>
      <c r="AQ7" s="97" t="str">
        <f t="shared" si="0"/>
        <v>Ein</v>
      </c>
      <c r="AR7" s="97" t="str">
        <f t="shared" si="0"/>
        <v>Res</v>
      </c>
      <c r="AS7" s="97" t="str">
        <f t="shared" si="0"/>
        <v>Bed</v>
      </c>
      <c r="AT7" s="97" t="str">
        <f t="shared" si="0"/>
        <v/>
      </c>
      <c r="AU7" s="97" t="str">
        <f t="shared" si="0"/>
        <v>Run</v>
      </c>
      <c r="AV7" s="97" t="str">
        <f t="shared" si="0"/>
        <v/>
      </c>
      <c r="AW7" s="97" t="str">
        <f t="shared" si="0"/>
        <v/>
      </c>
      <c r="AX7" s="97" t="str">
        <f t="shared" si="0"/>
        <v>Ska</v>
      </c>
      <c r="AY7" s="97" t="str">
        <f t="shared" si="0"/>
        <v/>
      </c>
      <c r="AZ7" s="97" t="str">
        <f t="shared" si="0"/>
        <v/>
      </c>
      <c r="BA7" s="97" t="str">
        <f t="shared" si="0"/>
        <v>Not</v>
      </c>
      <c r="BB7" s="97" t="str">
        <f t="shared" si="0"/>
        <v/>
      </c>
      <c r="BC7" s="97" t="str">
        <f t="shared" si="0"/>
        <v>Ein</v>
      </c>
      <c r="BD7" s="97" t="str">
        <f t="shared" si="0"/>
        <v>Res</v>
      </c>
      <c r="BE7" s="97" t="str">
        <f t="shared" si="0"/>
        <v>Bed</v>
      </c>
      <c r="BF7" s="97" t="str">
        <f t="shared" si="0"/>
        <v/>
      </c>
      <c r="BG7" s="97" t="str">
        <f t="shared" si="0"/>
        <v>Run</v>
      </c>
      <c r="BH7" s="97" t="str">
        <f t="shared" si="0"/>
        <v/>
      </c>
      <c r="BI7" s="97" t="str">
        <f t="shared" si="0"/>
        <v/>
      </c>
      <c r="BJ7" s="97" t="str">
        <f t="shared" si="0"/>
        <v>Ska</v>
      </c>
      <c r="BK7" s="97" t="str">
        <f t="shared" si="0"/>
        <v/>
      </c>
      <c r="BL7" s="97" t="str">
        <f t="shared" si="0"/>
        <v/>
      </c>
      <c r="BM7" s="97" t="str">
        <f t="shared" si="0"/>
        <v>Not</v>
      </c>
      <c r="BN7" s="97" t="str">
        <f t="shared" si="0"/>
        <v/>
      </c>
      <c r="BO7" s="97" t="str">
        <f t="shared" si="0"/>
        <v>Ein</v>
      </c>
      <c r="BP7" s="97" t="str">
        <f t="shared" si="0"/>
        <v>Res</v>
      </c>
      <c r="BQ7" s="97" t="str">
        <f t="shared" si="0"/>
        <v>Bed</v>
      </c>
      <c r="BR7" s="97" t="str">
        <f t="shared" si="0"/>
        <v/>
      </c>
      <c r="BS7" s="97" t="str">
        <f t="shared" si="0"/>
        <v>Run</v>
      </c>
      <c r="BT7" s="97" t="str">
        <f t="shared" ref="BT7:EE7" si="1">LEFT(BT$27,3)</f>
        <v/>
      </c>
      <c r="BU7" s="97" t="str">
        <f t="shared" si="1"/>
        <v/>
      </c>
      <c r="BV7" s="97" t="str">
        <f t="shared" si="1"/>
        <v>Ska</v>
      </c>
      <c r="BW7" s="97" t="str">
        <f t="shared" si="1"/>
        <v/>
      </c>
      <c r="BX7" s="97" t="str">
        <f t="shared" si="1"/>
        <v/>
      </c>
      <c r="BY7" s="97" t="str">
        <f t="shared" si="1"/>
        <v>Not</v>
      </c>
      <c r="BZ7" s="97" t="str">
        <f t="shared" si="1"/>
        <v/>
      </c>
      <c r="CA7" s="97" t="str">
        <f t="shared" si="1"/>
        <v>Ein</v>
      </c>
      <c r="CB7" s="97" t="str">
        <f t="shared" si="1"/>
        <v>Res</v>
      </c>
      <c r="CC7" s="97" t="str">
        <f t="shared" si="1"/>
        <v>Bed</v>
      </c>
      <c r="CD7" s="97" t="str">
        <f t="shared" si="1"/>
        <v/>
      </c>
      <c r="CE7" s="97" t="str">
        <f t="shared" si="1"/>
        <v>Run</v>
      </c>
      <c r="CF7" s="97" t="str">
        <f t="shared" si="1"/>
        <v/>
      </c>
      <c r="CG7" s="97" t="str">
        <f t="shared" si="1"/>
        <v/>
      </c>
      <c r="CH7" s="97" t="str">
        <f t="shared" si="1"/>
        <v>Ska</v>
      </c>
      <c r="CI7" s="97" t="str">
        <f t="shared" si="1"/>
        <v/>
      </c>
      <c r="CJ7" s="97" t="str">
        <f t="shared" si="1"/>
        <v/>
      </c>
      <c r="CK7" s="97" t="str">
        <f t="shared" si="1"/>
        <v>Not</v>
      </c>
      <c r="CL7" s="97" t="str">
        <f t="shared" si="1"/>
        <v/>
      </c>
      <c r="CM7" s="97" t="str">
        <f t="shared" si="1"/>
        <v>Ein</v>
      </c>
      <c r="CN7" s="97" t="str">
        <f t="shared" si="1"/>
        <v>Res</v>
      </c>
      <c r="CO7" s="97" t="str">
        <f t="shared" si="1"/>
        <v>Bed</v>
      </c>
      <c r="CP7" s="97" t="str">
        <f t="shared" si="1"/>
        <v/>
      </c>
      <c r="CQ7" s="97" t="str">
        <f t="shared" si="1"/>
        <v>Run</v>
      </c>
      <c r="CR7" s="97" t="str">
        <f t="shared" si="1"/>
        <v/>
      </c>
      <c r="CS7" s="97" t="str">
        <f t="shared" si="1"/>
        <v/>
      </c>
      <c r="CT7" s="97" t="str">
        <f t="shared" si="1"/>
        <v>Ska</v>
      </c>
      <c r="CU7" s="97" t="str">
        <f t="shared" si="1"/>
        <v/>
      </c>
      <c r="CV7" s="97" t="str">
        <f t="shared" si="1"/>
        <v/>
      </c>
      <c r="CW7" s="97" t="str">
        <f t="shared" si="1"/>
        <v>Not</v>
      </c>
      <c r="CX7" s="97" t="str">
        <f t="shared" si="1"/>
        <v/>
      </c>
      <c r="CY7" s="97" t="str">
        <f t="shared" si="1"/>
        <v>Ein</v>
      </c>
      <c r="CZ7" s="97" t="str">
        <f t="shared" si="1"/>
        <v>Res</v>
      </c>
      <c r="DA7" s="97" t="str">
        <f t="shared" si="1"/>
        <v>Bed</v>
      </c>
      <c r="DB7" s="97" t="str">
        <f t="shared" si="1"/>
        <v/>
      </c>
      <c r="DC7" s="97" t="str">
        <f t="shared" si="1"/>
        <v>Run</v>
      </c>
      <c r="DD7" s="97" t="str">
        <f t="shared" si="1"/>
        <v/>
      </c>
      <c r="DE7" s="97" t="str">
        <f t="shared" si="1"/>
        <v/>
      </c>
      <c r="DF7" s="97" t="str">
        <f t="shared" si="1"/>
        <v>Ska</v>
      </c>
      <c r="DG7" s="97" t="str">
        <f t="shared" si="1"/>
        <v/>
      </c>
      <c r="DH7" s="97" t="str">
        <f t="shared" si="1"/>
        <v/>
      </c>
      <c r="DI7" s="97" t="str">
        <f t="shared" si="1"/>
        <v>Not</v>
      </c>
      <c r="DJ7" s="97" t="str">
        <f t="shared" si="1"/>
        <v/>
      </c>
      <c r="DK7" s="97" t="str">
        <f t="shared" si="1"/>
        <v>Res</v>
      </c>
      <c r="DL7" s="97" t="str">
        <f t="shared" si="1"/>
        <v>Res</v>
      </c>
      <c r="DM7" s="97" t="str">
        <f t="shared" si="1"/>
        <v>Not</v>
      </c>
      <c r="DN7" s="97" t="str">
        <f t="shared" si="1"/>
        <v>Not</v>
      </c>
      <c r="DO7" s="97" t="str">
        <f t="shared" si="1"/>
        <v/>
      </c>
      <c r="DP7" s="97" t="str">
        <f t="shared" si="1"/>
        <v/>
      </c>
      <c r="DQ7" s="97" t="str">
        <f t="shared" si="1"/>
        <v/>
      </c>
      <c r="DR7" s="97" t="str">
        <f t="shared" si="1"/>
        <v/>
      </c>
      <c r="DS7" s="97" t="str">
        <f t="shared" si="1"/>
        <v/>
      </c>
      <c r="DT7" s="97" t="str">
        <f t="shared" si="1"/>
        <v/>
      </c>
      <c r="DU7" s="97" t="str">
        <f t="shared" si="1"/>
        <v/>
      </c>
      <c r="DV7" s="97" t="str">
        <f t="shared" si="1"/>
        <v/>
      </c>
      <c r="DW7" s="97" t="str">
        <f t="shared" si="1"/>
        <v/>
      </c>
      <c r="DX7" s="97" t="str">
        <f t="shared" si="1"/>
        <v/>
      </c>
      <c r="DY7" s="97" t="str">
        <f t="shared" si="1"/>
        <v/>
      </c>
      <c r="DZ7" s="97" t="str">
        <f t="shared" si="1"/>
        <v/>
      </c>
      <c r="EA7" s="97" t="str">
        <f t="shared" si="1"/>
        <v/>
      </c>
      <c r="EB7" s="97" t="str">
        <f t="shared" si="1"/>
        <v/>
      </c>
      <c r="EC7" s="97" t="str">
        <f t="shared" si="1"/>
        <v/>
      </c>
      <c r="ED7" s="97" t="str">
        <f t="shared" si="1"/>
        <v/>
      </c>
      <c r="EE7" s="97" t="str">
        <f t="shared" si="1"/>
        <v/>
      </c>
      <c r="EF7" s="97" t="str">
        <f t="shared" ref="EF7:GQ7" si="2">LEFT(EF$27,3)</f>
        <v>Res</v>
      </c>
      <c r="EG7" s="97" t="str">
        <f t="shared" si="2"/>
        <v>Res</v>
      </c>
      <c r="EH7" s="97" t="str">
        <f t="shared" si="2"/>
        <v>Not</v>
      </c>
      <c r="EI7" s="97" t="str">
        <f t="shared" si="2"/>
        <v>Not</v>
      </c>
      <c r="EJ7" s="97" t="str">
        <f t="shared" si="2"/>
        <v/>
      </c>
      <c r="EK7" s="97" t="str">
        <f t="shared" si="2"/>
        <v/>
      </c>
      <c r="EL7" s="97" t="str">
        <f t="shared" si="2"/>
        <v/>
      </c>
      <c r="EM7" s="97" t="str">
        <f t="shared" si="2"/>
        <v/>
      </c>
      <c r="EN7" s="97" t="str">
        <f t="shared" si="2"/>
        <v/>
      </c>
      <c r="EO7" s="97" t="str">
        <f t="shared" si="2"/>
        <v/>
      </c>
      <c r="EP7" s="97" t="str">
        <f t="shared" si="2"/>
        <v/>
      </c>
      <c r="EQ7" s="97" t="str">
        <f t="shared" si="2"/>
        <v/>
      </c>
      <c r="ER7" s="97" t="str">
        <f t="shared" si="2"/>
        <v/>
      </c>
      <c r="ES7" s="97" t="str">
        <f t="shared" si="2"/>
        <v/>
      </c>
      <c r="ET7" s="97" t="str">
        <f t="shared" si="2"/>
        <v/>
      </c>
      <c r="EU7" s="97" t="str">
        <f t="shared" si="2"/>
        <v/>
      </c>
      <c r="EV7" s="97" t="str">
        <f t="shared" si="2"/>
        <v/>
      </c>
      <c r="EW7" s="97" t="str">
        <f t="shared" si="2"/>
        <v/>
      </c>
      <c r="EX7" s="97" t="str">
        <f t="shared" si="2"/>
        <v/>
      </c>
      <c r="EY7" s="97" t="str">
        <f t="shared" si="2"/>
        <v/>
      </c>
      <c r="EZ7" s="97" t="str">
        <f t="shared" si="2"/>
        <v/>
      </c>
      <c r="FA7" s="97" t="str">
        <f t="shared" si="2"/>
        <v>Res</v>
      </c>
      <c r="FB7" s="97" t="str">
        <f t="shared" si="2"/>
        <v>Res</v>
      </c>
      <c r="FC7" s="97" t="str">
        <f t="shared" si="2"/>
        <v>Not</v>
      </c>
      <c r="FD7" s="97" t="str">
        <f t="shared" si="2"/>
        <v>Not</v>
      </c>
      <c r="FE7" s="97" t="str">
        <f t="shared" si="2"/>
        <v/>
      </c>
      <c r="FF7" s="97" t="str">
        <f t="shared" si="2"/>
        <v/>
      </c>
      <c r="FG7" s="97" t="str">
        <f t="shared" si="2"/>
        <v/>
      </c>
      <c r="FH7" s="97" t="str">
        <f t="shared" si="2"/>
        <v/>
      </c>
      <c r="FI7" s="97" t="str">
        <f t="shared" si="2"/>
        <v/>
      </c>
      <c r="FJ7" s="97" t="str">
        <f t="shared" si="2"/>
        <v/>
      </c>
      <c r="FK7" s="97" t="str">
        <f t="shared" si="2"/>
        <v/>
      </c>
      <c r="FL7" s="97" t="str">
        <f t="shared" si="2"/>
        <v/>
      </c>
      <c r="FM7" s="97" t="str">
        <f t="shared" si="2"/>
        <v/>
      </c>
      <c r="FN7" s="97" t="str">
        <f t="shared" si="2"/>
        <v/>
      </c>
      <c r="FO7" s="97" t="str">
        <f t="shared" si="2"/>
        <v/>
      </c>
      <c r="FP7" s="97" t="str">
        <f t="shared" si="2"/>
        <v/>
      </c>
      <c r="FQ7" s="97" t="str">
        <f t="shared" si="2"/>
        <v/>
      </c>
      <c r="FR7" s="97" t="str">
        <f t="shared" si="2"/>
        <v/>
      </c>
      <c r="FS7" s="97" t="str">
        <f t="shared" si="2"/>
        <v/>
      </c>
      <c r="FT7" s="97" t="str">
        <f t="shared" si="2"/>
        <v/>
      </c>
      <c r="FU7" s="97" t="str">
        <f t="shared" si="2"/>
        <v/>
      </c>
      <c r="FV7" s="97" t="str">
        <f t="shared" si="2"/>
        <v>Res</v>
      </c>
      <c r="FW7" s="97" t="str">
        <f t="shared" si="2"/>
        <v>Res</v>
      </c>
      <c r="FX7" s="97" t="str">
        <f t="shared" si="2"/>
        <v>Res</v>
      </c>
      <c r="FY7" s="97" t="str">
        <f t="shared" si="2"/>
        <v>Not</v>
      </c>
      <c r="FZ7" s="97" t="str">
        <f t="shared" si="2"/>
        <v>Not</v>
      </c>
      <c r="GA7" s="97" t="str">
        <f t="shared" si="2"/>
        <v>Not</v>
      </c>
      <c r="GB7" s="97" t="str">
        <f t="shared" si="2"/>
        <v/>
      </c>
      <c r="GC7" s="97" t="str">
        <f t="shared" si="2"/>
        <v/>
      </c>
      <c r="GD7" s="97" t="str">
        <f t="shared" si="2"/>
        <v/>
      </c>
      <c r="GE7" s="97" t="str">
        <f t="shared" si="2"/>
        <v/>
      </c>
      <c r="GF7" s="97" t="str">
        <f t="shared" si="2"/>
        <v/>
      </c>
      <c r="GG7" s="97" t="str">
        <f t="shared" si="2"/>
        <v/>
      </c>
      <c r="GH7" s="97" t="str">
        <f t="shared" si="2"/>
        <v/>
      </c>
      <c r="GI7" s="97" t="str">
        <f t="shared" si="2"/>
        <v/>
      </c>
      <c r="GJ7" s="97" t="str">
        <f t="shared" si="2"/>
        <v/>
      </c>
      <c r="GK7" s="97" t="str">
        <f t="shared" si="2"/>
        <v/>
      </c>
      <c r="GL7" s="97" t="str">
        <f t="shared" si="2"/>
        <v/>
      </c>
      <c r="GM7" s="97" t="str">
        <f t="shared" si="2"/>
        <v/>
      </c>
      <c r="GN7" s="97" t="str">
        <f t="shared" si="2"/>
        <v/>
      </c>
      <c r="GO7" s="97" t="str">
        <f t="shared" si="2"/>
        <v/>
      </c>
      <c r="GP7" s="97" t="str">
        <f t="shared" si="2"/>
        <v/>
      </c>
      <c r="GQ7" s="97" t="str">
        <f t="shared" si="2"/>
        <v/>
      </c>
      <c r="GR7" s="97" t="str">
        <f t="shared" ref="GR7:JC7" si="3">LEFT(GR$27,3)</f>
        <v/>
      </c>
      <c r="GS7" s="97" t="str">
        <f t="shared" si="3"/>
        <v/>
      </c>
      <c r="GT7" s="97" t="str">
        <f t="shared" si="3"/>
        <v/>
      </c>
      <c r="GU7" s="97" t="str">
        <f t="shared" si="3"/>
        <v/>
      </c>
      <c r="GV7" s="97" t="str">
        <f t="shared" si="3"/>
        <v/>
      </c>
      <c r="GW7" s="97" t="str">
        <f t="shared" si="3"/>
        <v/>
      </c>
      <c r="GX7" s="97" t="str">
        <f t="shared" si="3"/>
        <v/>
      </c>
      <c r="GY7" s="97" t="str">
        <f t="shared" si="3"/>
        <v/>
      </c>
      <c r="GZ7" s="97" t="str">
        <f t="shared" si="3"/>
        <v/>
      </c>
      <c r="HA7" s="97" t="str">
        <f t="shared" si="3"/>
        <v>Not</v>
      </c>
      <c r="HB7" s="97" t="str">
        <f t="shared" si="3"/>
        <v>M-P</v>
      </c>
      <c r="HC7" s="97" t="str">
        <f t="shared" si="3"/>
        <v>N-A</v>
      </c>
      <c r="HD7" s="97" t="str">
        <f t="shared" si="3"/>
        <v>N-A</v>
      </c>
      <c r="HE7" s="97" t="str">
        <f t="shared" si="3"/>
        <v>N-A</v>
      </c>
      <c r="HF7" s="97" t="str">
        <f t="shared" si="3"/>
        <v>N-A</v>
      </c>
      <c r="HG7" s="97" t="str">
        <f t="shared" si="3"/>
        <v/>
      </c>
      <c r="HH7" s="97" t="str">
        <f t="shared" si="3"/>
        <v/>
      </c>
      <c r="HI7" s="97" t="str">
        <f t="shared" si="3"/>
        <v/>
      </c>
      <c r="HJ7" s="97" t="str">
        <f t="shared" si="3"/>
        <v/>
      </c>
      <c r="HK7" s="97" t="str">
        <f t="shared" si="3"/>
        <v/>
      </c>
      <c r="HL7" s="97" t="str">
        <f t="shared" si="3"/>
        <v/>
      </c>
      <c r="HM7" s="97" t="str">
        <f t="shared" si="3"/>
        <v/>
      </c>
      <c r="HN7" s="97" t="str">
        <f t="shared" si="3"/>
        <v>Not</v>
      </c>
      <c r="HO7" s="97" t="str">
        <f t="shared" si="3"/>
        <v/>
      </c>
      <c r="HP7" s="97" t="str">
        <f t="shared" si="3"/>
        <v>Ein</v>
      </c>
      <c r="HQ7" s="97" t="str">
        <f t="shared" si="3"/>
        <v>Res</v>
      </c>
      <c r="HR7" s="97" t="str">
        <f t="shared" si="3"/>
        <v>GZR</v>
      </c>
      <c r="HS7" s="97" t="str">
        <f t="shared" si="3"/>
        <v>Bed</v>
      </c>
      <c r="HT7" s="97" t="str">
        <f t="shared" si="3"/>
        <v/>
      </c>
      <c r="HU7" s="97" t="str">
        <f t="shared" si="3"/>
        <v/>
      </c>
      <c r="HV7" s="97" t="str">
        <f t="shared" si="3"/>
        <v/>
      </c>
      <c r="HW7" s="97" t="str">
        <f t="shared" si="3"/>
        <v/>
      </c>
      <c r="HX7" s="97" t="str">
        <f t="shared" si="3"/>
        <v/>
      </c>
      <c r="HY7" s="97" t="str">
        <f t="shared" si="3"/>
        <v>Ein</v>
      </c>
      <c r="HZ7" s="97" t="str">
        <f t="shared" si="3"/>
        <v>Res</v>
      </c>
      <c r="IA7" s="97" t="str">
        <f t="shared" si="3"/>
        <v>GZR</v>
      </c>
      <c r="IB7" s="97" t="str">
        <f t="shared" si="3"/>
        <v>Bed</v>
      </c>
      <c r="IC7" s="97" t="str">
        <f t="shared" si="3"/>
        <v/>
      </c>
      <c r="ID7" s="97" t="str">
        <f t="shared" si="3"/>
        <v/>
      </c>
      <c r="IE7" s="97" t="str">
        <f t="shared" si="3"/>
        <v/>
      </c>
      <c r="IF7" s="97" t="str">
        <f t="shared" si="3"/>
        <v/>
      </c>
      <c r="IG7" s="97" t="str">
        <f t="shared" si="3"/>
        <v/>
      </c>
      <c r="IH7" s="97" t="str">
        <f t="shared" si="3"/>
        <v>Ein</v>
      </c>
      <c r="II7" s="97" t="str">
        <f t="shared" si="3"/>
        <v>Res</v>
      </c>
      <c r="IJ7" s="97" t="str">
        <f t="shared" si="3"/>
        <v>GZR</v>
      </c>
      <c r="IK7" s="97" t="str">
        <f t="shared" si="3"/>
        <v>Bed</v>
      </c>
      <c r="IL7" s="97" t="str">
        <f t="shared" si="3"/>
        <v/>
      </c>
      <c r="IM7" s="97" t="str">
        <f t="shared" si="3"/>
        <v/>
      </c>
      <c r="IN7" s="97" t="str">
        <f t="shared" si="3"/>
        <v/>
      </c>
      <c r="IO7" s="97" t="str">
        <f t="shared" si="3"/>
        <v/>
      </c>
      <c r="IP7" s="97" t="str">
        <f t="shared" si="3"/>
        <v/>
      </c>
      <c r="IQ7" s="97" t="str">
        <f t="shared" si="3"/>
        <v>Ein</v>
      </c>
      <c r="IR7" s="97" t="str">
        <f t="shared" si="3"/>
        <v>Res</v>
      </c>
      <c r="IS7" s="97" t="str">
        <f t="shared" si="3"/>
        <v>GZR</v>
      </c>
      <c r="IT7" s="97" t="str">
        <f t="shared" si="3"/>
        <v>Bed</v>
      </c>
      <c r="IU7" s="97" t="str">
        <f t="shared" si="3"/>
        <v/>
      </c>
      <c r="IV7" s="97" t="str">
        <f t="shared" si="3"/>
        <v/>
      </c>
      <c r="IW7" s="97" t="str">
        <f t="shared" si="3"/>
        <v/>
      </c>
      <c r="IX7" s="97" t="str">
        <f t="shared" si="3"/>
        <v/>
      </c>
      <c r="IY7" s="97" t="str">
        <f t="shared" si="3"/>
        <v/>
      </c>
      <c r="IZ7" s="97" t="str">
        <f t="shared" si="3"/>
        <v>Ein</v>
      </c>
      <c r="JA7" s="97" t="str">
        <f t="shared" si="3"/>
        <v>Res</v>
      </c>
      <c r="JB7" s="97" t="str">
        <f t="shared" si="3"/>
        <v>GZR</v>
      </c>
      <c r="JC7" s="97" t="str">
        <f t="shared" si="3"/>
        <v>Bed</v>
      </c>
      <c r="JD7" s="97" t="str">
        <f t="shared" ref="JD7:LO7" si="4">LEFT(JD$27,3)</f>
        <v/>
      </c>
      <c r="JE7" s="97" t="str">
        <f t="shared" si="4"/>
        <v/>
      </c>
      <c r="JF7" s="97" t="str">
        <f t="shared" si="4"/>
        <v/>
      </c>
      <c r="JG7" s="97" t="str">
        <f t="shared" si="4"/>
        <v/>
      </c>
      <c r="JH7" s="97" t="str">
        <f t="shared" si="4"/>
        <v/>
      </c>
      <c r="JI7" s="97" t="str">
        <f t="shared" si="4"/>
        <v>Ein</v>
      </c>
      <c r="JJ7" s="97" t="str">
        <f t="shared" si="4"/>
        <v>Res</v>
      </c>
      <c r="JK7" s="97" t="str">
        <f t="shared" si="4"/>
        <v>GZR</v>
      </c>
      <c r="JL7" s="97" t="str">
        <f t="shared" si="4"/>
        <v>Bed</v>
      </c>
      <c r="JM7" s="97" t="str">
        <f t="shared" si="4"/>
        <v/>
      </c>
      <c r="JN7" s="97" t="str">
        <f t="shared" si="4"/>
        <v/>
      </c>
      <c r="JO7" s="97" t="str">
        <f t="shared" si="4"/>
        <v/>
      </c>
      <c r="JP7" s="97" t="str">
        <f t="shared" si="4"/>
        <v/>
      </c>
      <c r="JQ7" s="97" t="str">
        <f t="shared" si="4"/>
        <v/>
      </c>
      <c r="JR7" s="97" t="str">
        <f t="shared" si="4"/>
        <v>Res</v>
      </c>
      <c r="JS7" s="97" t="str">
        <f t="shared" si="4"/>
        <v>Res</v>
      </c>
      <c r="JT7" s="97" t="str">
        <f t="shared" si="4"/>
        <v>Res</v>
      </c>
      <c r="JU7" s="97" t="str">
        <f t="shared" si="4"/>
        <v>Res</v>
      </c>
      <c r="JV7" s="97" t="str">
        <f t="shared" si="4"/>
        <v>Res</v>
      </c>
      <c r="JW7" s="97" t="str">
        <f t="shared" si="4"/>
        <v>Res</v>
      </c>
      <c r="JX7" s="97" t="str">
        <f t="shared" si="4"/>
        <v/>
      </c>
      <c r="JY7" s="97" t="str">
        <f t="shared" si="4"/>
        <v/>
      </c>
      <c r="JZ7" s="97" t="str">
        <f t="shared" si="4"/>
        <v/>
      </c>
      <c r="KA7" s="97" t="str">
        <f t="shared" si="4"/>
        <v/>
      </c>
      <c r="KB7" s="97" t="str">
        <f t="shared" si="4"/>
        <v/>
      </c>
      <c r="KC7" s="97" t="str">
        <f t="shared" si="4"/>
        <v/>
      </c>
      <c r="KD7" s="97" t="str">
        <f t="shared" si="4"/>
        <v/>
      </c>
      <c r="KE7" s="97" t="str">
        <f t="shared" si="4"/>
        <v/>
      </c>
      <c r="KF7" s="97" t="str">
        <f t="shared" si="4"/>
        <v/>
      </c>
      <c r="KG7" s="97" t="str">
        <f t="shared" si="4"/>
        <v/>
      </c>
      <c r="KH7" s="97" t="str">
        <f t="shared" si="4"/>
        <v/>
      </c>
      <c r="KI7" s="97" t="str">
        <f t="shared" si="4"/>
        <v/>
      </c>
      <c r="KJ7" s="97" t="str">
        <f t="shared" si="4"/>
        <v/>
      </c>
      <c r="KK7" s="97" t="str">
        <f t="shared" si="4"/>
        <v/>
      </c>
      <c r="KL7" s="97" t="str">
        <f t="shared" si="4"/>
        <v/>
      </c>
      <c r="KM7" s="97" t="str">
        <f t="shared" si="4"/>
        <v/>
      </c>
      <c r="KN7" s="97" t="str">
        <f t="shared" si="4"/>
        <v/>
      </c>
      <c r="KO7" s="97" t="str">
        <f t="shared" si="4"/>
        <v/>
      </c>
      <c r="KP7" s="97" t="str">
        <f t="shared" si="4"/>
        <v/>
      </c>
      <c r="KQ7" s="97" t="str">
        <f t="shared" si="4"/>
        <v/>
      </c>
      <c r="KR7" s="97" t="str">
        <f t="shared" si="4"/>
        <v/>
      </c>
      <c r="KS7" s="97" t="str">
        <f t="shared" si="4"/>
        <v/>
      </c>
      <c r="KT7" s="97" t="str">
        <f t="shared" si="4"/>
        <v/>
      </c>
      <c r="KU7" s="97" t="str">
        <f t="shared" si="4"/>
        <v/>
      </c>
      <c r="KV7" s="97" t="str">
        <f t="shared" si="4"/>
        <v/>
      </c>
      <c r="KW7" s="97" t="str">
        <f t="shared" si="4"/>
        <v/>
      </c>
      <c r="KX7" s="97" t="str">
        <f t="shared" si="4"/>
        <v/>
      </c>
      <c r="KY7" s="97" t="str">
        <f t="shared" si="4"/>
        <v/>
      </c>
      <c r="KZ7" s="97" t="str">
        <f t="shared" si="4"/>
        <v/>
      </c>
      <c r="LA7" s="97" t="str">
        <f t="shared" si="4"/>
        <v/>
      </c>
      <c r="LB7" s="97" t="str">
        <f t="shared" si="4"/>
        <v/>
      </c>
      <c r="LC7" s="97" t="str">
        <f t="shared" si="4"/>
        <v/>
      </c>
      <c r="LD7" s="97" t="str">
        <f t="shared" si="4"/>
        <v/>
      </c>
      <c r="LE7" s="97" t="str">
        <f t="shared" si="4"/>
        <v/>
      </c>
      <c r="LF7" s="97" t="str">
        <f t="shared" si="4"/>
        <v/>
      </c>
      <c r="LG7" s="97" t="str">
        <f t="shared" si="4"/>
        <v/>
      </c>
      <c r="LH7" s="97" t="str">
        <f t="shared" si="4"/>
        <v/>
      </c>
      <c r="LI7" s="97" t="str">
        <f t="shared" si="4"/>
        <v/>
      </c>
      <c r="LJ7" s="97" t="str">
        <f t="shared" si="4"/>
        <v/>
      </c>
      <c r="LK7" s="97" t="str">
        <f t="shared" si="4"/>
        <v/>
      </c>
      <c r="LL7" s="97" t="str">
        <f t="shared" si="4"/>
        <v/>
      </c>
      <c r="LM7" s="97" t="str">
        <f t="shared" si="4"/>
        <v/>
      </c>
      <c r="LN7" s="97" t="str">
        <f t="shared" si="4"/>
        <v/>
      </c>
      <c r="LO7" s="97" t="str">
        <f t="shared" si="4"/>
        <v/>
      </c>
      <c r="LP7" s="97" t="str">
        <f t="shared" ref="LP7:OA7" si="5">LEFT(LP$27,3)</f>
        <v/>
      </c>
      <c r="LQ7" s="97" t="str">
        <f t="shared" si="5"/>
        <v/>
      </c>
      <c r="LR7" s="97" t="str">
        <f t="shared" si="5"/>
        <v/>
      </c>
      <c r="LS7" s="97" t="str">
        <f t="shared" si="5"/>
        <v/>
      </c>
      <c r="LT7" s="97" t="str">
        <f t="shared" si="5"/>
        <v/>
      </c>
      <c r="LU7" s="97" t="str">
        <f t="shared" si="5"/>
        <v/>
      </c>
      <c r="LV7" s="97" t="str">
        <f t="shared" si="5"/>
        <v/>
      </c>
      <c r="LW7" s="97" t="str">
        <f t="shared" si="5"/>
        <v/>
      </c>
      <c r="LX7" s="97" t="str">
        <f t="shared" si="5"/>
        <v/>
      </c>
      <c r="LY7" s="97" t="str">
        <f t="shared" si="5"/>
        <v/>
      </c>
      <c r="LZ7" s="97" t="str">
        <f t="shared" si="5"/>
        <v/>
      </c>
      <c r="MA7" s="97" t="str">
        <f t="shared" si="5"/>
        <v/>
      </c>
      <c r="MB7" s="97" t="str">
        <f t="shared" si="5"/>
        <v/>
      </c>
      <c r="MC7" s="97" t="str">
        <f t="shared" si="5"/>
        <v/>
      </c>
      <c r="MD7" s="97" t="str">
        <f t="shared" si="5"/>
        <v/>
      </c>
      <c r="ME7" s="97" t="str">
        <f t="shared" si="5"/>
        <v/>
      </c>
      <c r="MF7" s="97" t="str">
        <f t="shared" si="5"/>
        <v/>
      </c>
      <c r="MG7" s="97" t="str">
        <f t="shared" si="5"/>
        <v/>
      </c>
      <c r="MH7" s="97" t="str">
        <f t="shared" si="5"/>
        <v/>
      </c>
      <c r="MI7" s="97" t="str">
        <f t="shared" si="5"/>
        <v/>
      </c>
      <c r="MJ7" s="97" t="str">
        <f t="shared" si="5"/>
        <v/>
      </c>
      <c r="MK7" s="97" t="str">
        <f t="shared" si="5"/>
        <v/>
      </c>
      <c r="ML7" s="97" t="str">
        <f t="shared" si="5"/>
        <v/>
      </c>
      <c r="MM7" s="97" t="str">
        <f t="shared" si="5"/>
        <v/>
      </c>
      <c r="MN7" s="97" t="str">
        <f t="shared" si="5"/>
        <v/>
      </c>
      <c r="MO7" s="97" t="str">
        <f t="shared" si="5"/>
        <v/>
      </c>
      <c r="MP7" s="97" t="str">
        <f t="shared" si="5"/>
        <v/>
      </c>
      <c r="MQ7" s="97" t="str">
        <f t="shared" si="5"/>
        <v/>
      </c>
      <c r="MR7" s="97" t="str">
        <f t="shared" si="5"/>
        <v/>
      </c>
      <c r="MS7" s="97" t="str">
        <f t="shared" si="5"/>
        <v/>
      </c>
      <c r="MT7" s="97" t="str">
        <f t="shared" si="5"/>
        <v/>
      </c>
      <c r="MU7" s="97" t="str">
        <f t="shared" si="5"/>
        <v/>
      </c>
      <c r="MV7" s="97" t="str">
        <f t="shared" si="5"/>
        <v/>
      </c>
      <c r="MW7" s="97" t="str">
        <f t="shared" si="5"/>
        <v/>
      </c>
      <c r="MX7" s="97" t="str">
        <f t="shared" si="5"/>
        <v/>
      </c>
      <c r="MY7" s="97" t="str">
        <f t="shared" si="5"/>
        <v>Run</v>
      </c>
      <c r="MZ7" s="97" t="str">
        <f t="shared" si="5"/>
        <v>2</v>
      </c>
      <c r="NA7" s="97" t="str">
        <f t="shared" si="5"/>
        <v/>
      </c>
      <c r="NB7" s="97" t="str">
        <f t="shared" si="5"/>
        <v>Ska</v>
      </c>
      <c r="NC7" s="97" t="str">
        <f t="shared" si="5"/>
        <v/>
      </c>
      <c r="ND7" s="97" t="str">
        <f t="shared" si="5"/>
        <v/>
      </c>
      <c r="NE7" s="97" t="str">
        <f t="shared" si="5"/>
        <v>Not</v>
      </c>
      <c r="NF7" s="97" t="str">
        <f t="shared" si="5"/>
        <v/>
      </c>
      <c r="NG7" s="97" t="str">
        <f t="shared" si="5"/>
        <v>Ein</v>
      </c>
      <c r="NH7" s="97" t="str">
        <f t="shared" si="5"/>
        <v>Res</v>
      </c>
      <c r="NI7" s="97" t="str">
        <f t="shared" si="5"/>
        <v>GZR</v>
      </c>
      <c r="NJ7" s="97" t="str">
        <f t="shared" si="5"/>
        <v>Bed</v>
      </c>
      <c r="NK7" s="97" t="str">
        <f t="shared" si="5"/>
        <v/>
      </c>
      <c r="NL7" s="97" t="str">
        <f t="shared" si="5"/>
        <v>Run</v>
      </c>
      <c r="NM7" s="97" t="str">
        <f t="shared" si="5"/>
        <v/>
      </c>
      <c r="NN7" s="97" t="str">
        <f t="shared" si="5"/>
        <v/>
      </c>
      <c r="NO7" s="97" t="str">
        <f t="shared" si="5"/>
        <v>Ska</v>
      </c>
      <c r="NP7" s="97" t="str">
        <f t="shared" si="5"/>
        <v/>
      </c>
      <c r="NQ7" s="97" t="str">
        <f t="shared" si="5"/>
        <v/>
      </c>
      <c r="NR7" s="97" t="str">
        <f t="shared" si="5"/>
        <v>Not</v>
      </c>
      <c r="NS7" s="97" t="str">
        <f t="shared" si="5"/>
        <v/>
      </c>
      <c r="NT7" s="97" t="str">
        <f t="shared" si="5"/>
        <v>Res</v>
      </c>
      <c r="NU7" s="97" t="str">
        <f t="shared" si="5"/>
        <v>Res</v>
      </c>
      <c r="NV7" s="97" t="str">
        <f t="shared" si="5"/>
        <v>Not</v>
      </c>
      <c r="NW7" s="97" t="str">
        <f t="shared" si="5"/>
        <v>Not</v>
      </c>
      <c r="NX7" s="97" t="str">
        <f t="shared" si="5"/>
        <v/>
      </c>
      <c r="NY7" s="97" t="str">
        <f t="shared" si="5"/>
        <v/>
      </c>
      <c r="NZ7" s="97" t="str">
        <f t="shared" si="5"/>
        <v/>
      </c>
      <c r="OA7" s="97" t="str">
        <f t="shared" si="5"/>
        <v/>
      </c>
      <c r="OB7" s="97" t="str">
        <f t="shared" ref="OB7:QM7" si="6">LEFT(OB$27,3)</f>
        <v/>
      </c>
      <c r="OC7" s="97" t="str">
        <f t="shared" si="6"/>
        <v/>
      </c>
      <c r="OD7" s="97" t="str">
        <f t="shared" si="6"/>
        <v/>
      </c>
      <c r="OE7" s="97" t="str">
        <f t="shared" si="6"/>
        <v/>
      </c>
      <c r="OF7" s="97" t="str">
        <f t="shared" si="6"/>
        <v/>
      </c>
      <c r="OG7" s="97" t="str">
        <f t="shared" si="6"/>
        <v/>
      </c>
      <c r="OH7" s="97" t="str">
        <f t="shared" si="6"/>
        <v/>
      </c>
      <c r="OI7" s="97" t="str">
        <f t="shared" si="6"/>
        <v/>
      </c>
      <c r="OJ7" s="97" t="str">
        <f t="shared" si="6"/>
        <v/>
      </c>
      <c r="OK7" s="97" t="str">
        <f t="shared" si="6"/>
        <v/>
      </c>
      <c r="OL7" s="97" t="str">
        <f t="shared" si="6"/>
        <v/>
      </c>
      <c r="OM7" s="97" t="str">
        <f t="shared" si="6"/>
        <v/>
      </c>
      <c r="ON7" s="97" t="str">
        <f t="shared" si="6"/>
        <v/>
      </c>
      <c r="OO7" s="97" t="str">
        <f t="shared" si="6"/>
        <v/>
      </c>
      <c r="OP7" s="97" t="str">
        <f t="shared" si="6"/>
        <v>Not</v>
      </c>
      <c r="OQ7" s="97" t="str">
        <f t="shared" si="6"/>
        <v>M-P</v>
      </c>
      <c r="OR7" s="97" t="str">
        <f t="shared" si="6"/>
        <v>N-A</v>
      </c>
      <c r="OS7" s="97" t="str">
        <f t="shared" si="6"/>
        <v>N-A</v>
      </c>
      <c r="OT7" s="97" t="str">
        <f t="shared" si="6"/>
        <v/>
      </c>
      <c r="OU7" s="97" t="str">
        <f t="shared" si="6"/>
        <v/>
      </c>
      <c r="OV7" s="97" t="str">
        <f t="shared" si="6"/>
        <v/>
      </c>
      <c r="OW7" s="97" t="str">
        <f t="shared" si="6"/>
        <v/>
      </c>
      <c r="OX7" s="97" t="str">
        <f t="shared" si="6"/>
        <v/>
      </c>
      <c r="OY7" s="97" t="str">
        <f t="shared" si="6"/>
        <v/>
      </c>
      <c r="OZ7" s="97" t="str">
        <f t="shared" si="6"/>
        <v/>
      </c>
      <c r="PA7" s="97" t="str">
        <f t="shared" si="6"/>
        <v>Not</v>
      </c>
      <c r="PB7" s="97" t="str">
        <f t="shared" si="6"/>
        <v/>
      </c>
      <c r="PC7" s="97" t="str">
        <f t="shared" si="6"/>
        <v>Ein</v>
      </c>
      <c r="PD7" s="97" t="str">
        <f t="shared" si="6"/>
        <v>Res</v>
      </c>
      <c r="PE7" s="97" t="str">
        <f t="shared" si="6"/>
        <v>Bed</v>
      </c>
      <c r="PF7" s="97" t="str">
        <f t="shared" si="6"/>
        <v/>
      </c>
      <c r="PG7" s="97" t="str">
        <f t="shared" si="6"/>
        <v>Run</v>
      </c>
      <c r="PH7" s="97" t="str">
        <f t="shared" si="6"/>
        <v/>
      </c>
      <c r="PI7" s="97" t="str">
        <f t="shared" si="6"/>
        <v/>
      </c>
      <c r="PJ7" s="97" t="str">
        <f t="shared" si="6"/>
        <v>Ska</v>
      </c>
      <c r="PK7" s="97" t="str">
        <f t="shared" si="6"/>
        <v/>
      </c>
      <c r="PL7" s="97" t="str">
        <f t="shared" si="6"/>
        <v/>
      </c>
      <c r="PM7" s="97" t="str">
        <f t="shared" si="6"/>
        <v>Not</v>
      </c>
      <c r="PN7" s="97" t="str">
        <f t="shared" si="6"/>
        <v/>
      </c>
      <c r="PO7" s="97" t="str">
        <f t="shared" si="6"/>
        <v>Ein</v>
      </c>
      <c r="PP7" s="97" t="str">
        <f t="shared" si="6"/>
        <v>Res</v>
      </c>
      <c r="PQ7" s="97" t="str">
        <f t="shared" si="6"/>
        <v>GZR</v>
      </c>
      <c r="PR7" s="97" t="str">
        <f t="shared" si="6"/>
        <v>Bed</v>
      </c>
      <c r="PS7" s="97" t="str">
        <f t="shared" si="6"/>
        <v/>
      </c>
      <c r="PT7" s="97" t="str">
        <f t="shared" si="6"/>
        <v>Run</v>
      </c>
      <c r="PU7" s="97" t="str">
        <f t="shared" si="6"/>
        <v/>
      </c>
      <c r="PV7" s="97" t="str">
        <f t="shared" si="6"/>
        <v/>
      </c>
      <c r="PW7" s="97" t="str">
        <f t="shared" si="6"/>
        <v>Ska</v>
      </c>
      <c r="PX7" s="97" t="str">
        <f t="shared" si="6"/>
        <v/>
      </c>
      <c r="PY7" s="97" t="str">
        <f t="shared" si="6"/>
        <v/>
      </c>
      <c r="PZ7" s="97" t="str">
        <f t="shared" si="6"/>
        <v>Not</v>
      </c>
      <c r="QA7" s="97" t="str">
        <f t="shared" si="6"/>
        <v/>
      </c>
      <c r="QB7" s="97" t="str">
        <f t="shared" si="6"/>
        <v>Ein</v>
      </c>
      <c r="QC7" s="97" t="str">
        <f t="shared" si="6"/>
        <v>Res</v>
      </c>
      <c r="QD7" s="97" t="str">
        <f t="shared" si="6"/>
        <v>Bed</v>
      </c>
      <c r="QE7" s="97" t="str">
        <f t="shared" si="6"/>
        <v/>
      </c>
      <c r="QF7" s="97" t="str">
        <f t="shared" si="6"/>
        <v>Run</v>
      </c>
      <c r="QG7" s="97" t="str">
        <f t="shared" si="6"/>
        <v/>
      </c>
      <c r="QH7" s="97" t="str">
        <f t="shared" si="6"/>
        <v/>
      </c>
      <c r="QI7" s="97" t="str">
        <f t="shared" si="6"/>
        <v>Ska</v>
      </c>
      <c r="QJ7" s="97" t="str">
        <f t="shared" si="6"/>
        <v/>
      </c>
      <c r="QK7" s="97" t="str">
        <f t="shared" si="6"/>
        <v/>
      </c>
      <c r="QL7" s="97" t="str">
        <f t="shared" si="6"/>
        <v>Not</v>
      </c>
      <c r="QM7" s="97" t="str">
        <f t="shared" si="6"/>
        <v/>
      </c>
      <c r="QN7" s="97" t="str">
        <f t="shared" ref="QN7:SY7" si="7">LEFT(QN$27,3)</f>
        <v>Res</v>
      </c>
      <c r="QO7" s="97" t="str">
        <f t="shared" si="7"/>
        <v>Res</v>
      </c>
      <c r="QP7" s="97" t="str">
        <f t="shared" si="7"/>
        <v>Res</v>
      </c>
      <c r="QQ7" s="97" t="str">
        <f t="shared" si="7"/>
        <v>Not</v>
      </c>
      <c r="QR7" s="97" t="str">
        <f t="shared" si="7"/>
        <v>Not</v>
      </c>
      <c r="QS7" s="97" t="str">
        <f t="shared" si="7"/>
        <v>Not</v>
      </c>
      <c r="QT7" s="97" t="str">
        <f t="shared" si="7"/>
        <v/>
      </c>
      <c r="QU7" s="97" t="str">
        <f t="shared" si="7"/>
        <v/>
      </c>
      <c r="QV7" s="97" t="str">
        <f t="shared" si="7"/>
        <v/>
      </c>
      <c r="QW7" s="97" t="str">
        <f t="shared" si="7"/>
        <v/>
      </c>
      <c r="QX7" s="97" t="str">
        <f t="shared" si="7"/>
        <v/>
      </c>
      <c r="QY7" s="97" t="str">
        <f t="shared" si="7"/>
        <v/>
      </c>
      <c r="QZ7" s="97" t="str">
        <f t="shared" si="7"/>
        <v/>
      </c>
      <c r="RA7" s="97" t="str">
        <f t="shared" si="7"/>
        <v/>
      </c>
      <c r="RB7" s="97" t="str">
        <f t="shared" si="7"/>
        <v/>
      </c>
      <c r="RC7" s="97" t="str">
        <f t="shared" si="7"/>
        <v/>
      </c>
      <c r="RD7" s="97" t="str">
        <f t="shared" si="7"/>
        <v/>
      </c>
      <c r="RE7" s="97" t="str">
        <f t="shared" si="7"/>
        <v/>
      </c>
      <c r="RF7" s="97" t="str">
        <f t="shared" si="7"/>
        <v/>
      </c>
      <c r="RG7" s="97" t="str">
        <f t="shared" si="7"/>
        <v/>
      </c>
      <c r="RH7" s="97" t="str">
        <f t="shared" si="7"/>
        <v/>
      </c>
      <c r="RI7" s="97" t="str">
        <f t="shared" si="7"/>
        <v/>
      </c>
      <c r="RJ7" s="97" t="str">
        <f t="shared" si="7"/>
        <v>M-P</v>
      </c>
      <c r="RK7" s="97" t="str">
        <f t="shared" si="7"/>
        <v/>
      </c>
      <c r="RL7" s="98" t="s">
        <v>411</v>
      </c>
      <c r="RM7" s="97" t="str">
        <f t="shared" si="7"/>
        <v/>
      </c>
      <c r="RN7" s="97" t="str">
        <f t="shared" si="7"/>
        <v>Ein</v>
      </c>
      <c r="RO7" s="97" t="str">
        <f t="shared" si="7"/>
        <v>Res</v>
      </c>
      <c r="RP7" s="97" t="str">
        <f t="shared" si="7"/>
        <v>Bed</v>
      </c>
      <c r="RQ7" s="97" t="str">
        <f t="shared" si="7"/>
        <v/>
      </c>
      <c r="RR7" s="97" t="str">
        <f t="shared" si="7"/>
        <v>Run</v>
      </c>
      <c r="RS7" s="97" t="str">
        <f t="shared" si="7"/>
        <v/>
      </c>
      <c r="RT7" s="97" t="str">
        <f t="shared" si="7"/>
        <v/>
      </c>
      <c r="RU7" s="97" t="str">
        <f t="shared" si="7"/>
        <v>Ska</v>
      </c>
      <c r="RV7" s="97" t="str">
        <f t="shared" si="7"/>
        <v/>
      </c>
      <c r="RW7" s="97" t="str">
        <f t="shared" si="7"/>
        <v/>
      </c>
      <c r="RX7" s="97" t="str">
        <f t="shared" si="7"/>
        <v>Not</v>
      </c>
      <c r="RY7" s="97" t="str">
        <f t="shared" si="7"/>
        <v/>
      </c>
      <c r="RZ7" s="97" t="str">
        <f t="shared" si="7"/>
        <v>Ein</v>
      </c>
      <c r="SA7" s="97" t="str">
        <f t="shared" si="7"/>
        <v>Res</v>
      </c>
      <c r="SB7" s="97" t="str">
        <f t="shared" si="7"/>
        <v>Bed</v>
      </c>
      <c r="SC7" s="97" t="str">
        <f t="shared" si="7"/>
        <v/>
      </c>
      <c r="SD7" s="97" t="str">
        <f t="shared" si="7"/>
        <v>Run</v>
      </c>
      <c r="SE7" s="97" t="str">
        <f t="shared" si="7"/>
        <v/>
      </c>
      <c r="SF7" s="97" t="str">
        <f t="shared" si="7"/>
        <v/>
      </c>
      <c r="SG7" s="97" t="str">
        <f t="shared" si="7"/>
        <v>Ska</v>
      </c>
      <c r="SH7" s="97" t="str">
        <f t="shared" si="7"/>
        <v/>
      </c>
      <c r="SI7" s="97" t="str">
        <f t="shared" si="7"/>
        <v/>
      </c>
      <c r="SJ7" s="97" t="str">
        <f t="shared" si="7"/>
        <v>Not</v>
      </c>
      <c r="SK7" s="97" t="str">
        <f t="shared" si="7"/>
        <v/>
      </c>
      <c r="SL7" s="97" t="str">
        <f t="shared" si="7"/>
        <v>Ein</v>
      </c>
      <c r="SM7" s="97" t="str">
        <f t="shared" si="7"/>
        <v>Res</v>
      </c>
      <c r="SN7" s="97" t="str">
        <f t="shared" si="7"/>
        <v>Bed</v>
      </c>
      <c r="SO7" s="97" t="str">
        <f t="shared" si="7"/>
        <v/>
      </c>
      <c r="SP7" s="97" t="str">
        <f t="shared" si="7"/>
        <v>Run</v>
      </c>
      <c r="SQ7" s="97" t="str">
        <f t="shared" si="7"/>
        <v/>
      </c>
      <c r="SR7" s="97" t="str">
        <f t="shared" si="7"/>
        <v/>
      </c>
      <c r="SS7" s="97" t="str">
        <f t="shared" si="7"/>
        <v>Ska</v>
      </c>
      <c r="ST7" s="97" t="str">
        <f t="shared" si="7"/>
        <v/>
      </c>
      <c r="SU7" s="97" t="str">
        <f t="shared" si="7"/>
        <v/>
      </c>
      <c r="SV7" s="97" t="str">
        <f t="shared" si="7"/>
        <v>Not</v>
      </c>
      <c r="SW7" s="97" t="str">
        <f t="shared" si="7"/>
        <v/>
      </c>
      <c r="SX7" s="97" t="str">
        <f t="shared" si="7"/>
        <v>Ein</v>
      </c>
      <c r="SY7" s="97" t="str">
        <f t="shared" si="7"/>
        <v>Res</v>
      </c>
      <c r="SZ7" s="97" t="str">
        <f t="shared" ref="SZ7:VK7" si="8">LEFT(SZ$27,3)</f>
        <v>Bed</v>
      </c>
      <c r="TA7" s="97" t="str">
        <f t="shared" si="8"/>
        <v/>
      </c>
      <c r="TB7" s="97" t="str">
        <f t="shared" si="8"/>
        <v>Run</v>
      </c>
      <c r="TC7" s="97" t="str">
        <f t="shared" si="8"/>
        <v/>
      </c>
      <c r="TD7" s="97" t="str">
        <f t="shared" si="8"/>
        <v/>
      </c>
      <c r="TE7" s="97" t="str">
        <f t="shared" si="8"/>
        <v>Ska</v>
      </c>
      <c r="TF7" s="97" t="str">
        <f t="shared" si="8"/>
        <v/>
      </c>
      <c r="TG7" s="97" t="str">
        <f t="shared" si="8"/>
        <v/>
      </c>
      <c r="TH7" s="97" t="str">
        <f t="shared" si="8"/>
        <v>Not</v>
      </c>
      <c r="TI7" s="97" t="str">
        <f t="shared" si="8"/>
        <v/>
      </c>
      <c r="TJ7" s="97" t="str">
        <f t="shared" si="8"/>
        <v>Ein</v>
      </c>
      <c r="TK7" s="97" t="str">
        <f t="shared" si="8"/>
        <v>Res</v>
      </c>
      <c r="TL7" s="97" t="str">
        <f t="shared" si="8"/>
        <v>GZR</v>
      </c>
      <c r="TM7" s="97" t="str">
        <f t="shared" si="8"/>
        <v>Bed</v>
      </c>
      <c r="TN7" s="97" t="str">
        <f t="shared" si="8"/>
        <v/>
      </c>
      <c r="TO7" s="97" t="str">
        <f t="shared" si="8"/>
        <v>Run</v>
      </c>
      <c r="TP7" s="97" t="str">
        <f t="shared" si="8"/>
        <v/>
      </c>
      <c r="TQ7" s="97" t="str">
        <f t="shared" si="8"/>
        <v/>
      </c>
      <c r="TR7" s="97" t="str">
        <f t="shared" si="8"/>
        <v>Ska</v>
      </c>
      <c r="TS7" s="97" t="str">
        <f t="shared" si="8"/>
        <v/>
      </c>
      <c r="TT7" s="97" t="str">
        <f t="shared" si="8"/>
        <v/>
      </c>
      <c r="TU7" s="97" t="str">
        <f t="shared" si="8"/>
        <v>Not</v>
      </c>
      <c r="TV7" s="97" t="str">
        <f t="shared" si="8"/>
        <v/>
      </c>
      <c r="TW7" s="97" t="str">
        <f t="shared" si="8"/>
        <v>Not</v>
      </c>
      <c r="TX7" s="97" t="str">
        <f t="shared" si="8"/>
        <v>Not</v>
      </c>
      <c r="TY7" s="97" t="str">
        <f t="shared" si="8"/>
        <v>Not</v>
      </c>
      <c r="TZ7" s="97" t="str">
        <f t="shared" si="8"/>
        <v>Not</v>
      </c>
      <c r="UA7" s="97" t="str">
        <f t="shared" si="8"/>
        <v>Not</v>
      </c>
      <c r="UB7" s="97" t="str">
        <f t="shared" si="8"/>
        <v/>
      </c>
      <c r="UC7" s="97" t="str">
        <f t="shared" si="8"/>
        <v/>
      </c>
      <c r="UD7" s="97" t="str">
        <f t="shared" si="8"/>
        <v/>
      </c>
      <c r="UE7" s="97" t="str">
        <f t="shared" si="8"/>
        <v/>
      </c>
      <c r="UF7" s="97" t="str">
        <f t="shared" si="8"/>
        <v/>
      </c>
      <c r="UG7" s="97" t="str">
        <f t="shared" si="8"/>
        <v/>
      </c>
      <c r="UH7" s="97" t="str">
        <f t="shared" si="8"/>
        <v/>
      </c>
      <c r="UI7" s="97" t="str">
        <f t="shared" si="8"/>
        <v/>
      </c>
      <c r="UJ7" s="97" t="str">
        <f t="shared" si="8"/>
        <v/>
      </c>
      <c r="UK7" s="97" t="str">
        <f t="shared" si="8"/>
        <v/>
      </c>
      <c r="UL7" s="97" t="str">
        <f t="shared" si="8"/>
        <v/>
      </c>
      <c r="UM7" s="97" t="str">
        <f t="shared" si="8"/>
        <v/>
      </c>
      <c r="UN7" s="97" t="str">
        <f t="shared" si="8"/>
        <v/>
      </c>
      <c r="UO7" s="97" t="str">
        <f t="shared" si="8"/>
        <v/>
      </c>
      <c r="UP7" s="97" t="str">
        <f t="shared" si="8"/>
        <v/>
      </c>
      <c r="UQ7" s="97" t="str">
        <f t="shared" si="8"/>
        <v/>
      </c>
      <c r="UR7" s="97" t="str">
        <f t="shared" si="8"/>
        <v/>
      </c>
      <c r="US7" s="97" t="str">
        <f t="shared" si="8"/>
        <v/>
      </c>
      <c r="UT7" s="97" t="str">
        <f t="shared" si="8"/>
        <v/>
      </c>
      <c r="UU7" s="97" t="str">
        <f t="shared" si="8"/>
        <v/>
      </c>
      <c r="UV7" s="97" t="str">
        <f t="shared" si="8"/>
        <v/>
      </c>
      <c r="UW7" s="97" t="str">
        <f t="shared" si="8"/>
        <v/>
      </c>
      <c r="UX7" s="97" t="str">
        <f t="shared" si="8"/>
        <v/>
      </c>
      <c r="UY7" s="97" t="str">
        <f t="shared" si="8"/>
        <v/>
      </c>
      <c r="UZ7" s="97" t="str">
        <f t="shared" si="8"/>
        <v/>
      </c>
      <c r="VA7" s="97" t="str">
        <f t="shared" si="8"/>
        <v/>
      </c>
      <c r="VB7" s="97" t="str">
        <f t="shared" si="8"/>
        <v/>
      </c>
      <c r="VC7" s="97" t="str">
        <f t="shared" si="8"/>
        <v/>
      </c>
      <c r="VD7" s="97" t="str">
        <f t="shared" si="8"/>
        <v/>
      </c>
      <c r="VE7" s="97" t="str">
        <f t="shared" si="8"/>
        <v/>
      </c>
      <c r="VF7" s="97" t="str">
        <f t="shared" si="8"/>
        <v/>
      </c>
      <c r="VG7" s="97" t="str">
        <f t="shared" si="8"/>
        <v/>
      </c>
      <c r="VH7" s="97" t="str">
        <f t="shared" si="8"/>
        <v/>
      </c>
      <c r="VI7" s="97" t="str">
        <f t="shared" si="8"/>
        <v/>
      </c>
      <c r="VJ7" s="97" t="str">
        <f t="shared" si="8"/>
        <v/>
      </c>
      <c r="VK7" s="97" t="str">
        <f t="shared" si="8"/>
        <v/>
      </c>
      <c r="VL7" s="97" t="str">
        <f t="shared" ref="VL7:XW7" si="9">LEFT(VL$27,3)</f>
        <v/>
      </c>
      <c r="VM7" s="97" t="str">
        <f t="shared" si="9"/>
        <v/>
      </c>
      <c r="VN7" s="97" t="str">
        <f t="shared" si="9"/>
        <v/>
      </c>
      <c r="VO7" s="97" t="str">
        <f t="shared" si="9"/>
        <v/>
      </c>
      <c r="VP7" s="97" t="str">
        <f t="shared" si="9"/>
        <v/>
      </c>
      <c r="VQ7" s="97" t="str">
        <f t="shared" si="9"/>
        <v/>
      </c>
      <c r="VR7" s="97" t="str">
        <f t="shared" si="9"/>
        <v/>
      </c>
      <c r="VS7" s="97" t="str">
        <f t="shared" si="9"/>
        <v/>
      </c>
      <c r="VT7" s="97" t="str">
        <f t="shared" si="9"/>
        <v/>
      </c>
      <c r="VU7" s="97" t="str">
        <f t="shared" si="9"/>
        <v/>
      </c>
      <c r="VV7" s="97" t="str">
        <f t="shared" si="9"/>
        <v/>
      </c>
      <c r="VW7" s="97" t="str">
        <f t="shared" si="9"/>
        <v/>
      </c>
      <c r="VX7" s="97" t="str">
        <f t="shared" si="9"/>
        <v/>
      </c>
      <c r="VY7" s="97" t="str">
        <f t="shared" si="9"/>
        <v/>
      </c>
      <c r="VZ7" s="97" t="str">
        <f t="shared" si="9"/>
        <v/>
      </c>
      <c r="WA7" s="97" t="str">
        <f t="shared" si="9"/>
        <v/>
      </c>
      <c r="WB7" s="97" t="str">
        <f t="shared" si="9"/>
        <v/>
      </c>
      <c r="WC7" s="97" t="str">
        <f t="shared" si="9"/>
        <v/>
      </c>
      <c r="WD7" s="97" t="str">
        <f t="shared" si="9"/>
        <v/>
      </c>
      <c r="WE7" s="97" t="str">
        <f t="shared" si="9"/>
        <v/>
      </c>
      <c r="WF7" s="97" t="str">
        <f t="shared" si="9"/>
        <v/>
      </c>
      <c r="WG7" s="97" t="str">
        <f t="shared" si="9"/>
        <v/>
      </c>
      <c r="WH7" s="97" t="str">
        <f t="shared" si="9"/>
        <v/>
      </c>
      <c r="WI7" s="97" t="str">
        <f t="shared" si="9"/>
        <v/>
      </c>
      <c r="WJ7" s="97" t="str">
        <f t="shared" si="9"/>
        <v/>
      </c>
      <c r="WK7" s="97" t="str">
        <f t="shared" si="9"/>
        <v/>
      </c>
      <c r="WL7" s="97" t="str">
        <f t="shared" si="9"/>
        <v/>
      </c>
      <c r="WM7" s="97" t="str">
        <f t="shared" si="9"/>
        <v/>
      </c>
      <c r="WN7" s="97" t="str">
        <f t="shared" si="9"/>
        <v/>
      </c>
      <c r="WO7" s="97" t="str">
        <f t="shared" si="9"/>
        <v/>
      </c>
      <c r="WP7" s="97" t="str">
        <f t="shared" si="9"/>
        <v/>
      </c>
      <c r="WQ7" s="97" t="str">
        <f t="shared" si="9"/>
        <v/>
      </c>
      <c r="WR7" s="97" t="str">
        <f t="shared" si="9"/>
        <v/>
      </c>
      <c r="WS7" s="97" t="str">
        <f t="shared" si="9"/>
        <v/>
      </c>
      <c r="WT7" s="97" t="str">
        <f t="shared" si="9"/>
        <v>Res</v>
      </c>
      <c r="WU7" s="97" t="str">
        <f t="shared" si="9"/>
        <v>Res</v>
      </c>
      <c r="WV7" s="97" t="str">
        <f t="shared" si="9"/>
        <v>Res</v>
      </c>
      <c r="WW7" s="97" t="str">
        <f t="shared" si="9"/>
        <v>Res</v>
      </c>
      <c r="WX7" s="97" t="str">
        <f t="shared" si="9"/>
        <v>Res</v>
      </c>
      <c r="WY7" s="97" t="str">
        <f t="shared" si="9"/>
        <v>Not</v>
      </c>
      <c r="WZ7" s="97" t="str">
        <f t="shared" si="9"/>
        <v>Not</v>
      </c>
      <c r="XA7" s="97" t="str">
        <f t="shared" si="9"/>
        <v>Not</v>
      </c>
      <c r="XB7" s="97" t="str">
        <f t="shared" si="9"/>
        <v>Not</v>
      </c>
      <c r="XC7" s="97" t="str">
        <f t="shared" si="9"/>
        <v>Not</v>
      </c>
      <c r="XD7" s="97" t="str">
        <f t="shared" si="9"/>
        <v/>
      </c>
      <c r="XE7" s="97" t="str">
        <f t="shared" si="9"/>
        <v/>
      </c>
      <c r="XF7" s="97" t="str">
        <f t="shared" si="9"/>
        <v/>
      </c>
      <c r="XG7" s="97" t="str">
        <f t="shared" si="9"/>
        <v/>
      </c>
      <c r="XH7" s="97" t="str">
        <f t="shared" si="9"/>
        <v/>
      </c>
      <c r="XI7" s="97" t="str">
        <f t="shared" si="9"/>
        <v/>
      </c>
      <c r="XJ7" s="97" t="str">
        <f t="shared" si="9"/>
        <v/>
      </c>
      <c r="XK7" s="97" t="str">
        <f t="shared" si="9"/>
        <v>Not</v>
      </c>
      <c r="XL7" s="97" t="str">
        <f t="shared" si="9"/>
        <v>M-P</v>
      </c>
      <c r="XM7" s="97" t="str">
        <f t="shared" si="9"/>
        <v>N-A</v>
      </c>
      <c r="XN7" s="97" t="str">
        <f t="shared" si="9"/>
        <v>N-A</v>
      </c>
      <c r="XO7" s="97" t="str">
        <f t="shared" si="9"/>
        <v>N-A</v>
      </c>
      <c r="XP7" s="97" t="str">
        <f t="shared" si="9"/>
        <v/>
      </c>
      <c r="XQ7" s="97" t="str">
        <f t="shared" si="9"/>
        <v/>
      </c>
      <c r="XR7" s="97" t="str">
        <f t="shared" si="9"/>
        <v/>
      </c>
      <c r="XS7" s="97" t="str">
        <f t="shared" si="9"/>
        <v/>
      </c>
      <c r="XT7" s="97" t="str">
        <f t="shared" si="9"/>
        <v/>
      </c>
      <c r="XU7" s="97" t="str">
        <f t="shared" si="9"/>
        <v/>
      </c>
      <c r="XV7" s="97" t="str">
        <f t="shared" si="9"/>
        <v/>
      </c>
      <c r="XW7" s="97" t="str">
        <f t="shared" si="9"/>
        <v>Not</v>
      </c>
      <c r="XX7" s="97" t="str">
        <f t="shared" ref="XX7:YV7" si="10">LEFT(XX$27,3)</f>
        <v/>
      </c>
      <c r="XY7" s="97" t="str">
        <f t="shared" si="10"/>
        <v/>
      </c>
      <c r="XZ7" s="97" t="str">
        <f t="shared" si="10"/>
        <v/>
      </c>
      <c r="YA7" s="97" t="str">
        <f t="shared" si="10"/>
        <v/>
      </c>
      <c r="YB7" s="97" t="str">
        <f t="shared" si="10"/>
        <v/>
      </c>
      <c r="YC7" s="97" t="str">
        <f t="shared" si="10"/>
        <v/>
      </c>
      <c r="YD7" s="97" t="str">
        <f t="shared" si="10"/>
        <v/>
      </c>
      <c r="YE7" s="97" t="str">
        <f t="shared" si="10"/>
        <v/>
      </c>
      <c r="YF7" s="97" t="str">
        <f t="shared" si="10"/>
        <v/>
      </c>
      <c r="YG7" s="97" t="str">
        <f t="shared" si="10"/>
        <v>Not</v>
      </c>
      <c r="YH7" s="97" t="str">
        <f t="shared" si="10"/>
        <v>N-A</v>
      </c>
      <c r="YI7" s="97" t="str">
        <f t="shared" si="10"/>
        <v>N-A</v>
      </c>
      <c r="YJ7" s="97" t="str">
        <f t="shared" si="10"/>
        <v>N-A</v>
      </c>
      <c r="YK7" s="97" t="str">
        <f t="shared" si="10"/>
        <v>N-A</v>
      </c>
      <c r="YL7" s="97" t="str">
        <f t="shared" si="10"/>
        <v/>
      </c>
      <c r="YM7" s="97" t="str">
        <f t="shared" si="10"/>
        <v/>
      </c>
      <c r="YN7" s="97" t="str">
        <f t="shared" si="10"/>
        <v/>
      </c>
      <c r="YO7" s="97" t="str">
        <f t="shared" si="10"/>
        <v/>
      </c>
      <c r="YP7" s="97" t="str">
        <f t="shared" si="10"/>
        <v/>
      </c>
      <c r="YQ7" s="97" t="str">
        <f t="shared" si="10"/>
        <v/>
      </c>
      <c r="YR7" s="97" t="str">
        <f t="shared" si="10"/>
        <v/>
      </c>
      <c r="YS7" s="97" t="str">
        <f t="shared" si="10"/>
        <v/>
      </c>
      <c r="YT7" s="97" t="str">
        <f t="shared" si="10"/>
        <v/>
      </c>
      <c r="YU7" s="97" t="str">
        <f t="shared" si="10"/>
        <v/>
      </c>
      <c r="YV7" s="97" t="str">
        <f t="shared" si="10"/>
        <v/>
      </c>
      <c r="YW7" s="97" t="str">
        <f t="shared" ref="YW7:AAI7" si="11">LEFT(YW$27,3)</f>
        <v/>
      </c>
      <c r="YX7" s="97" t="str">
        <f t="shared" si="11"/>
        <v/>
      </c>
      <c r="YY7" s="97" t="str">
        <f t="shared" si="11"/>
        <v/>
      </c>
      <c r="YZ7" s="97" t="str">
        <f t="shared" si="11"/>
        <v/>
      </c>
      <c r="ZA7" s="97" t="str">
        <f t="shared" si="11"/>
        <v/>
      </c>
      <c r="ZB7" s="97" t="str">
        <f t="shared" si="11"/>
        <v/>
      </c>
      <c r="ZC7" s="97" t="str">
        <f t="shared" si="11"/>
        <v/>
      </c>
      <c r="ZD7" s="97" t="str">
        <f t="shared" si="11"/>
        <v/>
      </c>
      <c r="ZE7" s="97" t="str">
        <f t="shared" si="11"/>
        <v/>
      </c>
      <c r="ZF7" s="97" t="str">
        <f t="shared" si="11"/>
        <v/>
      </c>
      <c r="ZG7" s="97" t="str">
        <f t="shared" si="11"/>
        <v/>
      </c>
      <c r="ZH7" s="97" t="str">
        <f t="shared" si="11"/>
        <v>Dis</v>
      </c>
      <c r="ZI7" s="97" t="str">
        <f t="shared" si="11"/>
        <v/>
      </c>
      <c r="ZJ7" s="97" t="str">
        <f t="shared" si="11"/>
        <v/>
      </c>
      <c r="ZK7" s="97" t="str">
        <f t="shared" si="11"/>
        <v>Sta</v>
      </c>
      <c r="ZL7" s="97" t="str">
        <f t="shared" si="11"/>
        <v/>
      </c>
      <c r="ZM7" s="97" t="str">
        <f t="shared" si="11"/>
        <v>Min</v>
      </c>
      <c r="ZN7" s="97" t="str">
        <f t="shared" si="11"/>
        <v>Res</v>
      </c>
      <c r="ZO7" s="97" t="str">
        <f t="shared" si="11"/>
        <v>GZM</v>
      </c>
      <c r="ZP7" s="97" t="str">
        <f t="shared" si="11"/>
        <v>Bed</v>
      </c>
      <c r="ZQ7" s="97" t="str">
        <f t="shared" si="11"/>
        <v/>
      </c>
      <c r="ZR7" s="97" t="str">
        <f t="shared" si="11"/>
        <v>Sek</v>
      </c>
      <c r="ZS7" s="97" t="str">
        <f t="shared" si="11"/>
        <v>Res</v>
      </c>
      <c r="ZT7" s="97" t="str">
        <f t="shared" si="11"/>
        <v>GZS</v>
      </c>
      <c r="ZU7" s="97" t="str">
        <f t="shared" si="11"/>
        <v>Bed</v>
      </c>
      <c r="ZV7" s="97" t="str">
        <f t="shared" si="11"/>
        <v/>
      </c>
      <c r="ZW7" s="97" t="str">
        <f t="shared" si="11"/>
        <v>Umr</v>
      </c>
      <c r="ZX7" s="97" t="str">
        <f t="shared" si="11"/>
        <v/>
      </c>
      <c r="ZY7" s="97" t="str">
        <f t="shared" si="11"/>
        <v/>
      </c>
      <c r="ZZ7" s="97" t="str">
        <f t="shared" si="11"/>
        <v>Ska</v>
      </c>
      <c r="AAA7" s="97" t="str">
        <f t="shared" si="11"/>
        <v>Ska</v>
      </c>
      <c r="AAB7" s="97" t="str">
        <f t="shared" si="11"/>
        <v/>
      </c>
      <c r="AAC7" s="97" t="str">
        <f t="shared" si="11"/>
        <v/>
      </c>
      <c r="AAD7" s="97" t="str">
        <f t="shared" si="11"/>
        <v>Not</v>
      </c>
      <c r="AAE7" s="97" t="str">
        <f t="shared" si="11"/>
        <v/>
      </c>
      <c r="AAF7" s="97" t="str">
        <f t="shared" si="11"/>
        <v>Res</v>
      </c>
      <c r="AAG7" s="97" t="str">
        <f t="shared" si="11"/>
        <v/>
      </c>
      <c r="AAH7" s="97" t="str">
        <f t="shared" si="11"/>
        <v>Ska</v>
      </c>
      <c r="AAI7" s="97" t="str">
        <f t="shared" si="11"/>
        <v/>
      </c>
      <c r="AAJ7" s="97" t="str">
        <f t="shared" ref="AAJ7:ACM7" si="12">LEFT(AAJ$27,3)</f>
        <v>Not</v>
      </c>
      <c r="AAK7" s="97" t="str">
        <f t="shared" si="12"/>
        <v/>
      </c>
      <c r="AAL7" s="97" t="str">
        <f t="shared" si="12"/>
        <v>Res</v>
      </c>
      <c r="AAM7" s="97" t="str">
        <f t="shared" si="12"/>
        <v/>
      </c>
      <c r="AAN7" s="97" t="str">
        <f t="shared" si="12"/>
        <v>Ska</v>
      </c>
      <c r="AAO7" s="97" t="str">
        <f t="shared" si="12"/>
        <v/>
      </c>
      <c r="AAP7" s="97" t="str">
        <f t="shared" si="12"/>
        <v>Not</v>
      </c>
      <c r="AAQ7" s="97" t="str">
        <f t="shared" si="12"/>
        <v/>
      </c>
      <c r="AAR7" s="97" t="str">
        <f t="shared" si="12"/>
        <v>Ein</v>
      </c>
      <c r="AAS7" s="97" t="str">
        <f t="shared" si="12"/>
        <v>Res</v>
      </c>
      <c r="AAT7" s="97" t="str">
        <f t="shared" si="12"/>
        <v>GZR</v>
      </c>
      <c r="AAU7" s="97" t="str">
        <f t="shared" si="12"/>
        <v>Bed</v>
      </c>
      <c r="AAV7" s="97" t="str">
        <f t="shared" si="12"/>
        <v/>
      </c>
      <c r="AAW7" s="97" t="str">
        <f t="shared" si="12"/>
        <v>Run</v>
      </c>
      <c r="AAX7" s="97" t="str">
        <f t="shared" si="12"/>
        <v/>
      </c>
      <c r="AAY7" s="97" t="str">
        <f t="shared" si="12"/>
        <v>Ska</v>
      </c>
      <c r="AAZ7" s="97" t="str">
        <f t="shared" si="12"/>
        <v/>
      </c>
      <c r="ABA7" s="97" t="str">
        <f t="shared" si="12"/>
        <v/>
      </c>
      <c r="ABB7" s="97" t="str">
        <f t="shared" si="12"/>
        <v>Not</v>
      </c>
      <c r="ABC7" s="97" t="str">
        <f t="shared" si="12"/>
        <v/>
      </c>
      <c r="ABD7" s="97" t="str">
        <f t="shared" si="12"/>
        <v>Ein</v>
      </c>
      <c r="ABE7" s="97" t="str">
        <f t="shared" si="12"/>
        <v>Res</v>
      </c>
      <c r="ABF7" s="97" t="str">
        <f t="shared" si="12"/>
        <v>GZR</v>
      </c>
      <c r="ABG7" s="97" t="str">
        <f t="shared" si="12"/>
        <v>Bed</v>
      </c>
      <c r="ABH7" s="97" t="str">
        <f t="shared" si="12"/>
        <v/>
      </c>
      <c r="ABI7" s="97" t="str">
        <f t="shared" si="12"/>
        <v>Run</v>
      </c>
      <c r="ABJ7" s="97" t="str">
        <f t="shared" si="12"/>
        <v/>
      </c>
      <c r="ABK7" s="97" t="str">
        <f t="shared" si="12"/>
        <v>Ska</v>
      </c>
      <c r="ABL7" s="97" t="str">
        <f t="shared" si="12"/>
        <v/>
      </c>
      <c r="ABM7" s="97" t="str">
        <f t="shared" si="12"/>
        <v/>
      </c>
      <c r="ABN7" s="97" t="str">
        <f t="shared" si="12"/>
        <v>Not</v>
      </c>
      <c r="ABO7" s="97" t="str">
        <f t="shared" si="12"/>
        <v/>
      </c>
      <c r="ABP7" s="97" t="str">
        <f t="shared" si="12"/>
        <v>Res</v>
      </c>
      <c r="ABQ7" s="97" t="str">
        <f t="shared" si="12"/>
        <v/>
      </c>
      <c r="ABR7" s="97" t="str">
        <f t="shared" si="12"/>
        <v>Ska</v>
      </c>
      <c r="ABS7" s="97" t="str">
        <f t="shared" si="12"/>
        <v/>
      </c>
      <c r="ABT7" s="97" t="str">
        <f t="shared" si="12"/>
        <v>Not</v>
      </c>
      <c r="ABU7" s="97" t="str">
        <f t="shared" si="12"/>
        <v/>
      </c>
      <c r="ABV7" s="97" t="str">
        <f t="shared" si="12"/>
        <v>Res</v>
      </c>
      <c r="ABW7" s="97" t="str">
        <f t="shared" si="12"/>
        <v/>
      </c>
      <c r="ABX7" s="97" t="str">
        <f t="shared" si="12"/>
        <v>Ska</v>
      </c>
      <c r="ABY7" s="97" t="str">
        <f t="shared" si="12"/>
        <v/>
      </c>
      <c r="ABZ7" s="97" t="str">
        <f t="shared" si="12"/>
        <v>Not</v>
      </c>
      <c r="ACA7" s="97" t="str">
        <f t="shared" si="12"/>
        <v/>
      </c>
      <c r="ACB7" s="97" t="str">
        <f t="shared" si="12"/>
        <v>Ein</v>
      </c>
      <c r="ACC7" s="97" t="str">
        <f t="shared" si="12"/>
        <v>Res</v>
      </c>
      <c r="ACD7" s="97" t="str">
        <f t="shared" si="12"/>
        <v>GZR</v>
      </c>
      <c r="ACE7" s="97" t="str">
        <f t="shared" si="12"/>
        <v>Bed</v>
      </c>
      <c r="ACF7" s="97" t="str">
        <f t="shared" si="12"/>
        <v/>
      </c>
      <c r="ACG7" s="97" t="str">
        <f t="shared" si="12"/>
        <v>Run</v>
      </c>
      <c r="ACH7" s="97" t="str">
        <f t="shared" si="12"/>
        <v/>
      </c>
      <c r="ACI7" s="97" t="str">
        <f t="shared" si="12"/>
        <v/>
      </c>
      <c r="ACJ7" s="97" t="str">
        <f t="shared" si="12"/>
        <v>Ska</v>
      </c>
      <c r="ACK7" s="97" t="str">
        <f t="shared" si="12"/>
        <v/>
      </c>
      <c r="ACL7" s="97" t="str">
        <f t="shared" si="12"/>
        <v/>
      </c>
      <c r="ACM7" s="97" t="str">
        <f t="shared" si="12"/>
        <v>Not</v>
      </c>
      <c r="ACN7" s="97"/>
    </row>
    <row r="8" spans="1:768" s="92" customFormat="1" hidden="1">
      <c r="A8" s="92" t="str">
        <f>Stammdaten!$CB$28</f>
        <v>Bed. F.</v>
      </c>
      <c r="B8" s="97" t="str">
        <f>Stammdaten!$BZ$5</f>
        <v>Disziplin</v>
      </c>
      <c r="D8" s="97"/>
      <c r="E8" s="92" t="str">
        <f>Stammdaten!$AU$4</f>
        <v>StdDisziplinen[Spalte]</v>
      </c>
      <c r="F8" s="97"/>
      <c r="G8" s="97">
        <f ca="1">MATCH(VLOOKUP(COLUMN(),INDIRECT($E$8),1,TRUE),INDIRECT($E$8),0)</f>
        <v>1</v>
      </c>
      <c r="H8" s="97">
        <f t="shared" ref="H8:BS8" ca="1" si="13">MATCH(VLOOKUP(COLUMN(),INDIRECT($E$8),1,TRUE),INDIRECT($E$8),0)</f>
        <v>1</v>
      </c>
      <c r="I8" s="97">
        <f t="shared" ca="1" si="13"/>
        <v>1</v>
      </c>
      <c r="J8" s="97">
        <f t="shared" ca="1" si="13"/>
        <v>1</v>
      </c>
      <c r="K8" s="97">
        <f t="shared" ca="1" si="13"/>
        <v>1</v>
      </c>
      <c r="L8" s="97">
        <f t="shared" ca="1" si="13"/>
        <v>1</v>
      </c>
      <c r="M8" s="97">
        <f t="shared" ca="1" si="13"/>
        <v>1</v>
      </c>
      <c r="N8" s="97">
        <f t="shared" ca="1" si="13"/>
        <v>1</v>
      </c>
      <c r="O8" s="97">
        <f t="shared" ca="1" si="13"/>
        <v>1</v>
      </c>
      <c r="P8" s="97">
        <f t="shared" ca="1" si="13"/>
        <v>1</v>
      </c>
      <c r="Q8" s="97">
        <f t="shared" ca="1" si="13"/>
        <v>1</v>
      </c>
      <c r="R8" s="97">
        <f t="shared" ca="1" si="13"/>
        <v>1</v>
      </c>
      <c r="S8" s="97">
        <f t="shared" ca="1" si="13"/>
        <v>2</v>
      </c>
      <c r="T8" s="97">
        <f t="shared" ca="1" si="13"/>
        <v>2</v>
      </c>
      <c r="U8" s="97">
        <f t="shared" ca="1" si="13"/>
        <v>2</v>
      </c>
      <c r="V8" s="97">
        <f t="shared" ca="1" si="13"/>
        <v>2</v>
      </c>
      <c r="W8" s="97">
        <f t="shared" ca="1" si="13"/>
        <v>2</v>
      </c>
      <c r="X8" s="97">
        <f t="shared" ca="1" si="13"/>
        <v>2</v>
      </c>
      <c r="Y8" s="97">
        <f t="shared" ca="1" si="13"/>
        <v>2</v>
      </c>
      <c r="Z8" s="97">
        <f t="shared" ca="1" si="13"/>
        <v>2</v>
      </c>
      <c r="AA8" s="97">
        <f t="shared" ca="1" si="13"/>
        <v>2</v>
      </c>
      <c r="AB8" s="97">
        <f t="shared" ca="1" si="13"/>
        <v>2</v>
      </c>
      <c r="AC8" s="97">
        <f t="shared" ca="1" si="13"/>
        <v>2</v>
      </c>
      <c r="AD8" s="97">
        <f t="shared" ca="1" si="13"/>
        <v>2</v>
      </c>
      <c r="AE8" s="97">
        <f t="shared" ca="1" si="13"/>
        <v>3</v>
      </c>
      <c r="AF8" s="97">
        <f t="shared" ca="1" si="13"/>
        <v>3</v>
      </c>
      <c r="AG8" s="97">
        <f t="shared" ca="1" si="13"/>
        <v>3</v>
      </c>
      <c r="AH8" s="97">
        <f t="shared" ca="1" si="13"/>
        <v>3</v>
      </c>
      <c r="AI8" s="97">
        <f t="shared" ca="1" si="13"/>
        <v>3</v>
      </c>
      <c r="AJ8" s="97">
        <f t="shared" ca="1" si="13"/>
        <v>3</v>
      </c>
      <c r="AK8" s="97">
        <f t="shared" ca="1" si="13"/>
        <v>3</v>
      </c>
      <c r="AL8" s="97">
        <f t="shared" ca="1" si="13"/>
        <v>3</v>
      </c>
      <c r="AM8" s="97">
        <f t="shared" ca="1" si="13"/>
        <v>3</v>
      </c>
      <c r="AN8" s="97">
        <f t="shared" ca="1" si="13"/>
        <v>3</v>
      </c>
      <c r="AO8" s="97">
        <f t="shared" ca="1" si="13"/>
        <v>3</v>
      </c>
      <c r="AP8" s="97">
        <f t="shared" ca="1" si="13"/>
        <v>3</v>
      </c>
      <c r="AQ8" s="97">
        <f t="shared" ca="1" si="13"/>
        <v>4</v>
      </c>
      <c r="AR8" s="97">
        <f t="shared" ca="1" si="13"/>
        <v>4</v>
      </c>
      <c r="AS8" s="97">
        <f t="shared" ca="1" si="13"/>
        <v>4</v>
      </c>
      <c r="AT8" s="97">
        <f t="shared" ca="1" si="13"/>
        <v>4</v>
      </c>
      <c r="AU8" s="97">
        <f t="shared" ca="1" si="13"/>
        <v>4</v>
      </c>
      <c r="AV8" s="97">
        <f t="shared" ca="1" si="13"/>
        <v>4</v>
      </c>
      <c r="AW8" s="97">
        <f t="shared" ca="1" si="13"/>
        <v>4</v>
      </c>
      <c r="AX8" s="97">
        <f t="shared" ca="1" si="13"/>
        <v>4</v>
      </c>
      <c r="AY8" s="97">
        <f t="shared" ca="1" si="13"/>
        <v>4</v>
      </c>
      <c r="AZ8" s="97">
        <f t="shared" ca="1" si="13"/>
        <v>4</v>
      </c>
      <c r="BA8" s="97">
        <f t="shared" ca="1" si="13"/>
        <v>4</v>
      </c>
      <c r="BB8" s="97">
        <f t="shared" ca="1" si="13"/>
        <v>4</v>
      </c>
      <c r="BC8" s="97">
        <f t="shared" ca="1" si="13"/>
        <v>5</v>
      </c>
      <c r="BD8" s="97">
        <f t="shared" ca="1" si="13"/>
        <v>5</v>
      </c>
      <c r="BE8" s="97">
        <f t="shared" ca="1" si="13"/>
        <v>5</v>
      </c>
      <c r="BF8" s="97">
        <f t="shared" ca="1" si="13"/>
        <v>5</v>
      </c>
      <c r="BG8" s="97">
        <f t="shared" ca="1" si="13"/>
        <v>5</v>
      </c>
      <c r="BH8" s="97">
        <f t="shared" ca="1" si="13"/>
        <v>5</v>
      </c>
      <c r="BI8" s="97">
        <f t="shared" ca="1" si="13"/>
        <v>5</v>
      </c>
      <c r="BJ8" s="97">
        <f t="shared" ca="1" si="13"/>
        <v>5</v>
      </c>
      <c r="BK8" s="97">
        <f t="shared" ca="1" si="13"/>
        <v>5</v>
      </c>
      <c r="BL8" s="97">
        <f t="shared" ca="1" si="13"/>
        <v>5</v>
      </c>
      <c r="BM8" s="97">
        <f t="shared" ca="1" si="13"/>
        <v>5</v>
      </c>
      <c r="BN8" s="97">
        <f t="shared" ca="1" si="13"/>
        <v>5</v>
      </c>
      <c r="BO8" s="97">
        <f t="shared" ca="1" si="13"/>
        <v>6</v>
      </c>
      <c r="BP8" s="97">
        <f t="shared" ca="1" si="13"/>
        <v>6</v>
      </c>
      <c r="BQ8" s="97">
        <f t="shared" ca="1" si="13"/>
        <v>6</v>
      </c>
      <c r="BR8" s="97">
        <f t="shared" ca="1" si="13"/>
        <v>6</v>
      </c>
      <c r="BS8" s="97">
        <f t="shared" ca="1" si="13"/>
        <v>6</v>
      </c>
      <c r="BT8" s="97">
        <f t="shared" ref="BT8:EE8" ca="1" si="14">MATCH(VLOOKUP(COLUMN(),INDIRECT($E$8),1,TRUE),INDIRECT($E$8),0)</f>
        <v>6</v>
      </c>
      <c r="BU8" s="97">
        <f t="shared" ca="1" si="14"/>
        <v>6</v>
      </c>
      <c r="BV8" s="97">
        <f t="shared" ca="1" si="14"/>
        <v>6</v>
      </c>
      <c r="BW8" s="97">
        <f t="shared" ca="1" si="14"/>
        <v>6</v>
      </c>
      <c r="BX8" s="97">
        <f t="shared" ca="1" si="14"/>
        <v>6</v>
      </c>
      <c r="BY8" s="97">
        <f t="shared" ca="1" si="14"/>
        <v>6</v>
      </c>
      <c r="BZ8" s="97">
        <f t="shared" ca="1" si="14"/>
        <v>6</v>
      </c>
      <c r="CA8" s="97">
        <f t="shared" ca="1" si="14"/>
        <v>7</v>
      </c>
      <c r="CB8" s="97">
        <f t="shared" ca="1" si="14"/>
        <v>7</v>
      </c>
      <c r="CC8" s="97">
        <f t="shared" ca="1" si="14"/>
        <v>7</v>
      </c>
      <c r="CD8" s="97">
        <f t="shared" ca="1" si="14"/>
        <v>7</v>
      </c>
      <c r="CE8" s="97">
        <f t="shared" ca="1" si="14"/>
        <v>7</v>
      </c>
      <c r="CF8" s="97">
        <f t="shared" ca="1" si="14"/>
        <v>7</v>
      </c>
      <c r="CG8" s="97">
        <f t="shared" ca="1" si="14"/>
        <v>7</v>
      </c>
      <c r="CH8" s="97">
        <f t="shared" ca="1" si="14"/>
        <v>7</v>
      </c>
      <c r="CI8" s="97">
        <f t="shared" ca="1" si="14"/>
        <v>7</v>
      </c>
      <c r="CJ8" s="97">
        <f t="shared" ca="1" si="14"/>
        <v>7</v>
      </c>
      <c r="CK8" s="97">
        <f t="shared" ca="1" si="14"/>
        <v>7</v>
      </c>
      <c r="CL8" s="97">
        <f t="shared" ca="1" si="14"/>
        <v>7</v>
      </c>
      <c r="CM8" s="97">
        <f t="shared" ca="1" si="14"/>
        <v>8</v>
      </c>
      <c r="CN8" s="97">
        <f t="shared" ca="1" si="14"/>
        <v>8</v>
      </c>
      <c r="CO8" s="97">
        <f t="shared" ca="1" si="14"/>
        <v>8</v>
      </c>
      <c r="CP8" s="97">
        <f t="shared" ca="1" si="14"/>
        <v>8</v>
      </c>
      <c r="CQ8" s="97">
        <f t="shared" ca="1" si="14"/>
        <v>8</v>
      </c>
      <c r="CR8" s="97">
        <f t="shared" ca="1" si="14"/>
        <v>8</v>
      </c>
      <c r="CS8" s="97">
        <f t="shared" ca="1" si="14"/>
        <v>8</v>
      </c>
      <c r="CT8" s="97">
        <f t="shared" ca="1" si="14"/>
        <v>8</v>
      </c>
      <c r="CU8" s="97">
        <f t="shared" ca="1" si="14"/>
        <v>8</v>
      </c>
      <c r="CV8" s="97">
        <f t="shared" ca="1" si="14"/>
        <v>8</v>
      </c>
      <c r="CW8" s="97">
        <f t="shared" ca="1" si="14"/>
        <v>8</v>
      </c>
      <c r="CX8" s="97">
        <f t="shared" ca="1" si="14"/>
        <v>8</v>
      </c>
      <c r="CY8" s="97">
        <f t="shared" ca="1" si="14"/>
        <v>9</v>
      </c>
      <c r="CZ8" s="97">
        <f t="shared" ca="1" si="14"/>
        <v>9</v>
      </c>
      <c r="DA8" s="97">
        <f t="shared" ca="1" si="14"/>
        <v>9</v>
      </c>
      <c r="DB8" s="97">
        <f t="shared" ca="1" si="14"/>
        <v>9</v>
      </c>
      <c r="DC8" s="97">
        <f t="shared" ca="1" si="14"/>
        <v>9</v>
      </c>
      <c r="DD8" s="97">
        <f t="shared" ca="1" si="14"/>
        <v>9</v>
      </c>
      <c r="DE8" s="97">
        <f t="shared" ca="1" si="14"/>
        <v>9</v>
      </c>
      <c r="DF8" s="97">
        <f t="shared" ca="1" si="14"/>
        <v>9</v>
      </c>
      <c r="DG8" s="97">
        <f t="shared" ca="1" si="14"/>
        <v>9</v>
      </c>
      <c r="DH8" s="97">
        <f t="shared" ca="1" si="14"/>
        <v>9</v>
      </c>
      <c r="DI8" s="97">
        <f t="shared" ca="1" si="14"/>
        <v>9</v>
      </c>
      <c r="DJ8" s="97">
        <f t="shared" ca="1" si="14"/>
        <v>9</v>
      </c>
      <c r="DK8" s="97">
        <f t="shared" ca="1" si="14"/>
        <v>9</v>
      </c>
      <c r="DL8" s="97">
        <f t="shared" ca="1" si="14"/>
        <v>9</v>
      </c>
      <c r="DM8" s="97">
        <f t="shared" ca="1" si="14"/>
        <v>9</v>
      </c>
      <c r="DN8" s="97">
        <f t="shared" ca="1" si="14"/>
        <v>9</v>
      </c>
      <c r="DO8" s="97">
        <f t="shared" ca="1" si="14"/>
        <v>9</v>
      </c>
      <c r="DP8" s="97">
        <f t="shared" ca="1" si="14"/>
        <v>9</v>
      </c>
      <c r="DQ8" s="97">
        <f t="shared" ca="1" si="14"/>
        <v>9</v>
      </c>
      <c r="DR8" s="97">
        <f t="shared" ca="1" si="14"/>
        <v>9</v>
      </c>
      <c r="DS8" s="97">
        <f t="shared" ca="1" si="14"/>
        <v>9</v>
      </c>
      <c r="DT8" s="97">
        <f t="shared" ca="1" si="14"/>
        <v>9</v>
      </c>
      <c r="DU8" s="97">
        <f t="shared" ca="1" si="14"/>
        <v>9</v>
      </c>
      <c r="DV8" s="97">
        <f t="shared" ca="1" si="14"/>
        <v>9</v>
      </c>
      <c r="DW8" s="97">
        <f t="shared" ca="1" si="14"/>
        <v>9</v>
      </c>
      <c r="DX8" s="97">
        <f t="shared" ca="1" si="14"/>
        <v>9</v>
      </c>
      <c r="DY8" s="97">
        <f t="shared" ca="1" si="14"/>
        <v>9</v>
      </c>
      <c r="DZ8" s="97">
        <f t="shared" ca="1" si="14"/>
        <v>9</v>
      </c>
      <c r="EA8" s="97">
        <f t="shared" ca="1" si="14"/>
        <v>9</v>
      </c>
      <c r="EB8" s="97">
        <f t="shared" ca="1" si="14"/>
        <v>9</v>
      </c>
      <c r="EC8" s="97">
        <f t="shared" ca="1" si="14"/>
        <v>9</v>
      </c>
      <c r="ED8" s="97">
        <f t="shared" ca="1" si="14"/>
        <v>9</v>
      </c>
      <c r="EE8" s="97">
        <f t="shared" ca="1" si="14"/>
        <v>9</v>
      </c>
      <c r="EF8" s="97">
        <f t="shared" ref="EF8:GQ8" ca="1" si="15">MATCH(VLOOKUP(COLUMN(),INDIRECT($E$8),1,TRUE),INDIRECT($E$8),0)</f>
        <v>9</v>
      </c>
      <c r="EG8" s="97">
        <f t="shared" ca="1" si="15"/>
        <v>9</v>
      </c>
      <c r="EH8" s="97">
        <f t="shared" ca="1" si="15"/>
        <v>9</v>
      </c>
      <c r="EI8" s="97">
        <f t="shared" ca="1" si="15"/>
        <v>9</v>
      </c>
      <c r="EJ8" s="97">
        <f t="shared" ca="1" si="15"/>
        <v>9</v>
      </c>
      <c r="EK8" s="97">
        <f t="shared" ca="1" si="15"/>
        <v>9</v>
      </c>
      <c r="EL8" s="97">
        <f t="shared" ca="1" si="15"/>
        <v>9</v>
      </c>
      <c r="EM8" s="97">
        <f t="shared" ca="1" si="15"/>
        <v>9</v>
      </c>
      <c r="EN8" s="97">
        <f t="shared" ca="1" si="15"/>
        <v>9</v>
      </c>
      <c r="EO8" s="97">
        <f t="shared" ca="1" si="15"/>
        <v>9</v>
      </c>
      <c r="EP8" s="97">
        <f t="shared" ca="1" si="15"/>
        <v>9</v>
      </c>
      <c r="EQ8" s="97">
        <f t="shared" ca="1" si="15"/>
        <v>9</v>
      </c>
      <c r="ER8" s="97">
        <f t="shared" ca="1" si="15"/>
        <v>9</v>
      </c>
      <c r="ES8" s="97">
        <f t="shared" ca="1" si="15"/>
        <v>9</v>
      </c>
      <c r="ET8" s="97">
        <f t="shared" ca="1" si="15"/>
        <v>9</v>
      </c>
      <c r="EU8" s="97">
        <f t="shared" ca="1" si="15"/>
        <v>9</v>
      </c>
      <c r="EV8" s="97">
        <f t="shared" ca="1" si="15"/>
        <v>9</v>
      </c>
      <c r="EW8" s="97">
        <f t="shared" ca="1" si="15"/>
        <v>9</v>
      </c>
      <c r="EX8" s="97">
        <f t="shared" ca="1" si="15"/>
        <v>9</v>
      </c>
      <c r="EY8" s="97">
        <f t="shared" ca="1" si="15"/>
        <v>9</v>
      </c>
      <c r="EZ8" s="97">
        <f t="shared" ca="1" si="15"/>
        <v>9</v>
      </c>
      <c r="FA8" s="97">
        <f t="shared" ca="1" si="15"/>
        <v>9</v>
      </c>
      <c r="FB8" s="97">
        <f t="shared" ca="1" si="15"/>
        <v>9</v>
      </c>
      <c r="FC8" s="97">
        <f t="shared" ca="1" si="15"/>
        <v>9</v>
      </c>
      <c r="FD8" s="97">
        <f t="shared" ca="1" si="15"/>
        <v>9</v>
      </c>
      <c r="FE8" s="97">
        <f t="shared" ca="1" si="15"/>
        <v>9</v>
      </c>
      <c r="FF8" s="97">
        <f t="shared" ca="1" si="15"/>
        <v>9</v>
      </c>
      <c r="FG8" s="97">
        <f t="shared" ca="1" si="15"/>
        <v>9</v>
      </c>
      <c r="FH8" s="97">
        <f t="shared" ca="1" si="15"/>
        <v>9</v>
      </c>
      <c r="FI8" s="97">
        <f t="shared" ca="1" si="15"/>
        <v>9</v>
      </c>
      <c r="FJ8" s="97">
        <f t="shared" ca="1" si="15"/>
        <v>9</v>
      </c>
      <c r="FK8" s="97">
        <f t="shared" ca="1" si="15"/>
        <v>9</v>
      </c>
      <c r="FL8" s="97">
        <f t="shared" ca="1" si="15"/>
        <v>9</v>
      </c>
      <c r="FM8" s="97">
        <f t="shared" ca="1" si="15"/>
        <v>9</v>
      </c>
      <c r="FN8" s="97">
        <f t="shared" ca="1" si="15"/>
        <v>9</v>
      </c>
      <c r="FO8" s="97">
        <f t="shared" ca="1" si="15"/>
        <v>9</v>
      </c>
      <c r="FP8" s="97">
        <f t="shared" ca="1" si="15"/>
        <v>9</v>
      </c>
      <c r="FQ8" s="97">
        <f t="shared" ca="1" si="15"/>
        <v>9</v>
      </c>
      <c r="FR8" s="97">
        <f t="shared" ca="1" si="15"/>
        <v>9</v>
      </c>
      <c r="FS8" s="97">
        <f t="shared" ca="1" si="15"/>
        <v>9</v>
      </c>
      <c r="FT8" s="97">
        <f t="shared" ca="1" si="15"/>
        <v>9</v>
      </c>
      <c r="FU8" s="97">
        <f t="shared" ca="1" si="15"/>
        <v>9</v>
      </c>
      <c r="FV8" s="97">
        <f t="shared" ca="1" si="15"/>
        <v>9</v>
      </c>
      <c r="FW8" s="97">
        <f t="shared" ca="1" si="15"/>
        <v>9</v>
      </c>
      <c r="FX8" s="97">
        <f t="shared" ca="1" si="15"/>
        <v>9</v>
      </c>
      <c r="FY8" s="97">
        <f t="shared" ca="1" si="15"/>
        <v>9</v>
      </c>
      <c r="FZ8" s="97">
        <f t="shared" ca="1" si="15"/>
        <v>9</v>
      </c>
      <c r="GA8" s="97">
        <f t="shared" ca="1" si="15"/>
        <v>9</v>
      </c>
      <c r="GB8" s="97">
        <f t="shared" ca="1" si="15"/>
        <v>9</v>
      </c>
      <c r="GC8" s="97">
        <f t="shared" ca="1" si="15"/>
        <v>9</v>
      </c>
      <c r="GD8" s="97">
        <f t="shared" ca="1" si="15"/>
        <v>9</v>
      </c>
      <c r="GE8" s="97">
        <f t="shared" ca="1" si="15"/>
        <v>9</v>
      </c>
      <c r="GF8" s="97">
        <f t="shared" ca="1" si="15"/>
        <v>9</v>
      </c>
      <c r="GG8" s="97">
        <f t="shared" ca="1" si="15"/>
        <v>9</v>
      </c>
      <c r="GH8" s="97">
        <f t="shared" ca="1" si="15"/>
        <v>9</v>
      </c>
      <c r="GI8" s="97">
        <f t="shared" ca="1" si="15"/>
        <v>9</v>
      </c>
      <c r="GJ8" s="97">
        <f t="shared" ca="1" si="15"/>
        <v>9</v>
      </c>
      <c r="GK8" s="97">
        <f t="shared" ca="1" si="15"/>
        <v>9</v>
      </c>
      <c r="GL8" s="97">
        <f t="shared" ca="1" si="15"/>
        <v>9</v>
      </c>
      <c r="GM8" s="97">
        <f t="shared" ca="1" si="15"/>
        <v>9</v>
      </c>
      <c r="GN8" s="97">
        <f t="shared" ca="1" si="15"/>
        <v>9</v>
      </c>
      <c r="GO8" s="97">
        <f t="shared" ca="1" si="15"/>
        <v>9</v>
      </c>
      <c r="GP8" s="97">
        <f t="shared" ca="1" si="15"/>
        <v>9</v>
      </c>
      <c r="GQ8" s="97">
        <f t="shared" ca="1" si="15"/>
        <v>9</v>
      </c>
      <c r="GR8" s="97">
        <f t="shared" ref="GR8:JC8" ca="1" si="16">MATCH(VLOOKUP(COLUMN(),INDIRECT($E$8),1,TRUE),INDIRECT($E$8),0)</f>
        <v>9</v>
      </c>
      <c r="GS8" s="97">
        <f t="shared" ca="1" si="16"/>
        <v>9</v>
      </c>
      <c r="GT8" s="97">
        <f t="shared" ca="1" si="16"/>
        <v>9</v>
      </c>
      <c r="GU8" s="97">
        <f t="shared" ca="1" si="16"/>
        <v>9</v>
      </c>
      <c r="GV8" s="97">
        <f t="shared" ca="1" si="16"/>
        <v>9</v>
      </c>
      <c r="GW8" s="97">
        <f t="shared" ca="1" si="16"/>
        <v>9</v>
      </c>
      <c r="GX8" s="97">
        <f t="shared" ca="1" si="16"/>
        <v>9</v>
      </c>
      <c r="GY8" s="97">
        <f t="shared" ca="1" si="16"/>
        <v>9</v>
      </c>
      <c r="GZ8" s="97">
        <f t="shared" ca="1" si="16"/>
        <v>9</v>
      </c>
      <c r="HA8" s="97">
        <f t="shared" ca="1" si="16"/>
        <v>9</v>
      </c>
      <c r="HB8" s="97">
        <f t="shared" ca="1" si="16"/>
        <v>9</v>
      </c>
      <c r="HC8" s="97">
        <f t="shared" ca="1" si="16"/>
        <v>9</v>
      </c>
      <c r="HD8" s="97">
        <f t="shared" ca="1" si="16"/>
        <v>9</v>
      </c>
      <c r="HE8" s="97">
        <f t="shared" ca="1" si="16"/>
        <v>9</v>
      </c>
      <c r="HF8" s="97">
        <f t="shared" ca="1" si="16"/>
        <v>9</v>
      </c>
      <c r="HG8" s="97">
        <f t="shared" ca="1" si="16"/>
        <v>9</v>
      </c>
      <c r="HH8" s="97">
        <f t="shared" ca="1" si="16"/>
        <v>9</v>
      </c>
      <c r="HI8" s="97">
        <f t="shared" ca="1" si="16"/>
        <v>9</v>
      </c>
      <c r="HJ8" s="97">
        <f t="shared" ca="1" si="16"/>
        <v>9</v>
      </c>
      <c r="HK8" s="97">
        <f t="shared" ca="1" si="16"/>
        <v>9</v>
      </c>
      <c r="HL8" s="97">
        <f t="shared" ca="1" si="16"/>
        <v>9</v>
      </c>
      <c r="HM8" s="97">
        <f t="shared" ca="1" si="16"/>
        <v>9</v>
      </c>
      <c r="HN8" s="97">
        <f t="shared" ca="1" si="16"/>
        <v>9</v>
      </c>
      <c r="HO8" s="97">
        <f t="shared" ca="1" si="16"/>
        <v>9</v>
      </c>
      <c r="HP8" s="97">
        <f t="shared" ca="1" si="16"/>
        <v>10</v>
      </c>
      <c r="HQ8" s="97">
        <f t="shared" ca="1" si="16"/>
        <v>10</v>
      </c>
      <c r="HR8" s="97">
        <f t="shared" ca="1" si="16"/>
        <v>10</v>
      </c>
      <c r="HS8" s="97">
        <f t="shared" ca="1" si="16"/>
        <v>10</v>
      </c>
      <c r="HT8" s="97">
        <f t="shared" ca="1" si="16"/>
        <v>10</v>
      </c>
      <c r="HU8" s="97">
        <f t="shared" ca="1" si="16"/>
        <v>10</v>
      </c>
      <c r="HV8" s="97">
        <f t="shared" ca="1" si="16"/>
        <v>10</v>
      </c>
      <c r="HW8" s="97">
        <f t="shared" ca="1" si="16"/>
        <v>10</v>
      </c>
      <c r="HX8" s="97">
        <f t="shared" ca="1" si="16"/>
        <v>10</v>
      </c>
      <c r="HY8" s="97">
        <f t="shared" ca="1" si="16"/>
        <v>11</v>
      </c>
      <c r="HZ8" s="97">
        <f t="shared" ca="1" si="16"/>
        <v>11</v>
      </c>
      <c r="IA8" s="97">
        <f t="shared" ca="1" si="16"/>
        <v>11</v>
      </c>
      <c r="IB8" s="97">
        <f t="shared" ca="1" si="16"/>
        <v>11</v>
      </c>
      <c r="IC8" s="97">
        <f t="shared" ca="1" si="16"/>
        <v>11</v>
      </c>
      <c r="ID8" s="97">
        <f t="shared" ca="1" si="16"/>
        <v>11</v>
      </c>
      <c r="IE8" s="97">
        <f t="shared" ca="1" si="16"/>
        <v>11</v>
      </c>
      <c r="IF8" s="97">
        <f t="shared" ca="1" si="16"/>
        <v>11</v>
      </c>
      <c r="IG8" s="97">
        <f t="shared" ca="1" si="16"/>
        <v>11</v>
      </c>
      <c r="IH8" s="97">
        <f t="shared" ca="1" si="16"/>
        <v>12</v>
      </c>
      <c r="II8" s="97">
        <f t="shared" ca="1" si="16"/>
        <v>12</v>
      </c>
      <c r="IJ8" s="97">
        <f t="shared" ca="1" si="16"/>
        <v>12</v>
      </c>
      <c r="IK8" s="97">
        <f t="shared" ca="1" si="16"/>
        <v>12</v>
      </c>
      <c r="IL8" s="97">
        <f t="shared" ca="1" si="16"/>
        <v>12</v>
      </c>
      <c r="IM8" s="97">
        <f t="shared" ca="1" si="16"/>
        <v>12</v>
      </c>
      <c r="IN8" s="97">
        <f t="shared" ca="1" si="16"/>
        <v>12</v>
      </c>
      <c r="IO8" s="97">
        <f t="shared" ca="1" si="16"/>
        <v>12</v>
      </c>
      <c r="IP8" s="97">
        <f t="shared" ca="1" si="16"/>
        <v>12</v>
      </c>
      <c r="IQ8" s="97">
        <f t="shared" ca="1" si="16"/>
        <v>13</v>
      </c>
      <c r="IR8" s="97">
        <f t="shared" ca="1" si="16"/>
        <v>13</v>
      </c>
      <c r="IS8" s="97">
        <f t="shared" ca="1" si="16"/>
        <v>13</v>
      </c>
      <c r="IT8" s="97">
        <f t="shared" ca="1" si="16"/>
        <v>13</v>
      </c>
      <c r="IU8" s="97">
        <f t="shared" ca="1" si="16"/>
        <v>13</v>
      </c>
      <c r="IV8" s="97">
        <f t="shared" ca="1" si="16"/>
        <v>13</v>
      </c>
      <c r="IW8" s="97">
        <f t="shared" ca="1" si="16"/>
        <v>13</v>
      </c>
      <c r="IX8" s="97">
        <f t="shared" ca="1" si="16"/>
        <v>13</v>
      </c>
      <c r="IY8" s="97">
        <f t="shared" ca="1" si="16"/>
        <v>13</v>
      </c>
      <c r="IZ8" s="97">
        <f t="shared" ca="1" si="16"/>
        <v>14</v>
      </c>
      <c r="JA8" s="97">
        <f t="shared" ca="1" si="16"/>
        <v>14</v>
      </c>
      <c r="JB8" s="97">
        <f t="shared" ca="1" si="16"/>
        <v>14</v>
      </c>
      <c r="JC8" s="97">
        <f t="shared" ca="1" si="16"/>
        <v>14</v>
      </c>
      <c r="JD8" s="97">
        <f t="shared" ref="JD8:LO8" ca="1" si="17">MATCH(VLOOKUP(COLUMN(),INDIRECT($E$8),1,TRUE),INDIRECT($E$8),0)</f>
        <v>14</v>
      </c>
      <c r="JE8" s="97">
        <f t="shared" ca="1" si="17"/>
        <v>14</v>
      </c>
      <c r="JF8" s="97">
        <f t="shared" ca="1" si="17"/>
        <v>14</v>
      </c>
      <c r="JG8" s="97">
        <f t="shared" ca="1" si="17"/>
        <v>14</v>
      </c>
      <c r="JH8" s="97">
        <f t="shared" ca="1" si="17"/>
        <v>14</v>
      </c>
      <c r="JI8" s="97">
        <f t="shared" ca="1" si="17"/>
        <v>15</v>
      </c>
      <c r="JJ8" s="97">
        <f t="shared" ca="1" si="17"/>
        <v>15</v>
      </c>
      <c r="JK8" s="97">
        <f t="shared" ca="1" si="17"/>
        <v>15</v>
      </c>
      <c r="JL8" s="97">
        <f t="shared" ca="1" si="17"/>
        <v>15</v>
      </c>
      <c r="JM8" s="97">
        <f t="shared" ca="1" si="17"/>
        <v>15</v>
      </c>
      <c r="JN8" s="97">
        <f t="shared" ca="1" si="17"/>
        <v>15</v>
      </c>
      <c r="JO8" s="97">
        <f t="shared" ca="1" si="17"/>
        <v>15</v>
      </c>
      <c r="JP8" s="97">
        <f t="shared" ca="1" si="17"/>
        <v>15</v>
      </c>
      <c r="JQ8" s="97">
        <f t="shared" ca="1" si="17"/>
        <v>15</v>
      </c>
      <c r="JR8" s="97">
        <f t="shared" ca="1" si="17"/>
        <v>15</v>
      </c>
      <c r="JS8" s="97">
        <f t="shared" ca="1" si="17"/>
        <v>15</v>
      </c>
      <c r="JT8" s="97">
        <f t="shared" ca="1" si="17"/>
        <v>15</v>
      </c>
      <c r="JU8" s="97">
        <f t="shared" ca="1" si="17"/>
        <v>15</v>
      </c>
      <c r="JV8" s="97">
        <f t="shared" ca="1" si="17"/>
        <v>15</v>
      </c>
      <c r="JW8" s="97">
        <f t="shared" ca="1" si="17"/>
        <v>15</v>
      </c>
      <c r="JX8" s="97">
        <f t="shared" ca="1" si="17"/>
        <v>15</v>
      </c>
      <c r="JY8" s="97">
        <f t="shared" ca="1" si="17"/>
        <v>15</v>
      </c>
      <c r="JZ8" s="97">
        <f t="shared" ca="1" si="17"/>
        <v>15</v>
      </c>
      <c r="KA8" s="97">
        <f t="shared" ca="1" si="17"/>
        <v>15</v>
      </c>
      <c r="KB8" s="97">
        <f t="shared" ca="1" si="17"/>
        <v>15</v>
      </c>
      <c r="KC8" s="97">
        <f t="shared" ca="1" si="17"/>
        <v>15</v>
      </c>
      <c r="KD8" s="97">
        <f t="shared" ca="1" si="17"/>
        <v>15</v>
      </c>
      <c r="KE8" s="97">
        <f t="shared" ca="1" si="17"/>
        <v>15</v>
      </c>
      <c r="KF8" s="97">
        <f t="shared" ca="1" si="17"/>
        <v>15</v>
      </c>
      <c r="KG8" s="97">
        <f t="shared" ca="1" si="17"/>
        <v>15</v>
      </c>
      <c r="KH8" s="97">
        <f t="shared" ca="1" si="17"/>
        <v>15</v>
      </c>
      <c r="KI8" s="97">
        <f t="shared" ca="1" si="17"/>
        <v>15</v>
      </c>
      <c r="KJ8" s="97">
        <f t="shared" ca="1" si="17"/>
        <v>15</v>
      </c>
      <c r="KK8" s="97">
        <f t="shared" ca="1" si="17"/>
        <v>15</v>
      </c>
      <c r="KL8" s="97">
        <f t="shared" ca="1" si="17"/>
        <v>15</v>
      </c>
      <c r="KM8" s="97">
        <f t="shared" ca="1" si="17"/>
        <v>15</v>
      </c>
      <c r="KN8" s="97">
        <f t="shared" ca="1" si="17"/>
        <v>15</v>
      </c>
      <c r="KO8" s="97">
        <f t="shared" ca="1" si="17"/>
        <v>15</v>
      </c>
      <c r="KP8" s="97">
        <f t="shared" ca="1" si="17"/>
        <v>15</v>
      </c>
      <c r="KQ8" s="97">
        <f t="shared" ca="1" si="17"/>
        <v>15</v>
      </c>
      <c r="KR8" s="97">
        <f t="shared" ca="1" si="17"/>
        <v>15</v>
      </c>
      <c r="KS8" s="97">
        <f t="shared" ca="1" si="17"/>
        <v>15</v>
      </c>
      <c r="KT8" s="97">
        <f t="shared" ca="1" si="17"/>
        <v>15</v>
      </c>
      <c r="KU8" s="97">
        <f t="shared" ca="1" si="17"/>
        <v>15</v>
      </c>
      <c r="KV8" s="97">
        <f t="shared" ca="1" si="17"/>
        <v>15</v>
      </c>
      <c r="KW8" s="97">
        <f t="shared" ca="1" si="17"/>
        <v>15</v>
      </c>
      <c r="KX8" s="97">
        <f t="shared" ca="1" si="17"/>
        <v>15</v>
      </c>
      <c r="KY8" s="97">
        <f t="shared" ca="1" si="17"/>
        <v>15</v>
      </c>
      <c r="KZ8" s="97">
        <f t="shared" ca="1" si="17"/>
        <v>15</v>
      </c>
      <c r="LA8" s="97">
        <f t="shared" ca="1" si="17"/>
        <v>15</v>
      </c>
      <c r="LB8" s="97">
        <f t="shared" ca="1" si="17"/>
        <v>15</v>
      </c>
      <c r="LC8" s="97">
        <f t="shared" ca="1" si="17"/>
        <v>15</v>
      </c>
      <c r="LD8" s="97">
        <f t="shared" ca="1" si="17"/>
        <v>15</v>
      </c>
      <c r="LE8" s="97">
        <f t="shared" ca="1" si="17"/>
        <v>15</v>
      </c>
      <c r="LF8" s="97">
        <f t="shared" ca="1" si="17"/>
        <v>15</v>
      </c>
      <c r="LG8" s="97">
        <f t="shared" ca="1" si="17"/>
        <v>15</v>
      </c>
      <c r="LH8" s="97">
        <f t="shared" ca="1" si="17"/>
        <v>15</v>
      </c>
      <c r="LI8" s="97">
        <f t="shared" ca="1" si="17"/>
        <v>15</v>
      </c>
      <c r="LJ8" s="97">
        <f t="shared" ca="1" si="17"/>
        <v>15</v>
      </c>
      <c r="LK8" s="97">
        <f t="shared" ca="1" si="17"/>
        <v>15</v>
      </c>
      <c r="LL8" s="97">
        <f t="shared" ca="1" si="17"/>
        <v>15</v>
      </c>
      <c r="LM8" s="97">
        <f t="shared" ca="1" si="17"/>
        <v>15</v>
      </c>
      <c r="LN8" s="97">
        <f t="shared" ca="1" si="17"/>
        <v>15</v>
      </c>
      <c r="LO8" s="97">
        <f t="shared" ca="1" si="17"/>
        <v>15</v>
      </c>
      <c r="LP8" s="97">
        <f t="shared" ref="LP8:OA8" ca="1" si="18">MATCH(VLOOKUP(COLUMN(),INDIRECT($E$8),1,TRUE),INDIRECT($E$8),0)</f>
        <v>15</v>
      </c>
      <c r="LQ8" s="97">
        <f t="shared" ca="1" si="18"/>
        <v>15</v>
      </c>
      <c r="LR8" s="97">
        <f t="shared" ca="1" si="18"/>
        <v>15</v>
      </c>
      <c r="LS8" s="97">
        <f t="shared" ca="1" si="18"/>
        <v>15</v>
      </c>
      <c r="LT8" s="97">
        <f t="shared" ca="1" si="18"/>
        <v>15</v>
      </c>
      <c r="LU8" s="97">
        <f t="shared" ca="1" si="18"/>
        <v>15</v>
      </c>
      <c r="LV8" s="97">
        <f t="shared" ca="1" si="18"/>
        <v>15</v>
      </c>
      <c r="LW8" s="97">
        <f t="shared" ca="1" si="18"/>
        <v>15</v>
      </c>
      <c r="LX8" s="97">
        <f t="shared" ca="1" si="18"/>
        <v>15</v>
      </c>
      <c r="LY8" s="97">
        <f t="shared" ca="1" si="18"/>
        <v>15</v>
      </c>
      <c r="LZ8" s="97">
        <f t="shared" ca="1" si="18"/>
        <v>15</v>
      </c>
      <c r="MA8" s="97">
        <f t="shared" ca="1" si="18"/>
        <v>15</v>
      </c>
      <c r="MB8" s="97">
        <f t="shared" ca="1" si="18"/>
        <v>15</v>
      </c>
      <c r="MC8" s="97">
        <f t="shared" ca="1" si="18"/>
        <v>15</v>
      </c>
      <c r="MD8" s="97">
        <f t="shared" ca="1" si="18"/>
        <v>15</v>
      </c>
      <c r="ME8" s="97">
        <f t="shared" ca="1" si="18"/>
        <v>15</v>
      </c>
      <c r="MF8" s="97">
        <f t="shared" ca="1" si="18"/>
        <v>15</v>
      </c>
      <c r="MG8" s="97">
        <f t="shared" ca="1" si="18"/>
        <v>15</v>
      </c>
      <c r="MH8" s="97">
        <f t="shared" ca="1" si="18"/>
        <v>15</v>
      </c>
      <c r="MI8" s="97">
        <f t="shared" ca="1" si="18"/>
        <v>15</v>
      </c>
      <c r="MJ8" s="97">
        <f t="shared" ca="1" si="18"/>
        <v>15</v>
      </c>
      <c r="MK8" s="97">
        <f t="shared" ca="1" si="18"/>
        <v>15</v>
      </c>
      <c r="ML8" s="97">
        <f t="shared" ca="1" si="18"/>
        <v>15</v>
      </c>
      <c r="MM8" s="97">
        <f t="shared" ca="1" si="18"/>
        <v>15</v>
      </c>
      <c r="MN8" s="97">
        <f t="shared" ca="1" si="18"/>
        <v>15</v>
      </c>
      <c r="MO8" s="97">
        <f t="shared" ca="1" si="18"/>
        <v>15</v>
      </c>
      <c r="MP8" s="97">
        <f t="shared" ca="1" si="18"/>
        <v>15</v>
      </c>
      <c r="MQ8" s="97">
        <f t="shared" ca="1" si="18"/>
        <v>15</v>
      </c>
      <c r="MR8" s="97">
        <f t="shared" ca="1" si="18"/>
        <v>15</v>
      </c>
      <c r="MS8" s="97">
        <f t="shared" ca="1" si="18"/>
        <v>15</v>
      </c>
      <c r="MT8" s="97">
        <f t="shared" ca="1" si="18"/>
        <v>15</v>
      </c>
      <c r="MU8" s="97">
        <f t="shared" ca="1" si="18"/>
        <v>15</v>
      </c>
      <c r="MV8" s="97">
        <f t="shared" ca="1" si="18"/>
        <v>15</v>
      </c>
      <c r="MW8" s="97">
        <f t="shared" ca="1" si="18"/>
        <v>15</v>
      </c>
      <c r="MX8" s="97">
        <f t="shared" ca="1" si="18"/>
        <v>15</v>
      </c>
      <c r="MY8" s="97">
        <f t="shared" ca="1" si="18"/>
        <v>15</v>
      </c>
      <c r="MZ8" s="97">
        <f t="shared" ca="1" si="18"/>
        <v>15</v>
      </c>
      <c r="NA8" s="97">
        <f t="shared" ca="1" si="18"/>
        <v>15</v>
      </c>
      <c r="NB8" s="97">
        <f t="shared" ca="1" si="18"/>
        <v>15</v>
      </c>
      <c r="NC8" s="97">
        <f t="shared" ca="1" si="18"/>
        <v>15</v>
      </c>
      <c r="ND8" s="97">
        <f t="shared" ca="1" si="18"/>
        <v>15</v>
      </c>
      <c r="NE8" s="97">
        <f t="shared" ca="1" si="18"/>
        <v>15</v>
      </c>
      <c r="NF8" s="97">
        <f t="shared" ca="1" si="18"/>
        <v>15</v>
      </c>
      <c r="NG8" s="97">
        <f t="shared" ca="1" si="18"/>
        <v>16</v>
      </c>
      <c r="NH8" s="97">
        <f t="shared" ca="1" si="18"/>
        <v>16</v>
      </c>
      <c r="NI8" s="97">
        <f t="shared" ca="1" si="18"/>
        <v>16</v>
      </c>
      <c r="NJ8" s="97">
        <f t="shared" ca="1" si="18"/>
        <v>16</v>
      </c>
      <c r="NK8" s="97">
        <f t="shared" ca="1" si="18"/>
        <v>16</v>
      </c>
      <c r="NL8" s="97">
        <f t="shared" ca="1" si="18"/>
        <v>16</v>
      </c>
      <c r="NM8" s="97">
        <f t="shared" ca="1" si="18"/>
        <v>16</v>
      </c>
      <c r="NN8" s="97">
        <f t="shared" ca="1" si="18"/>
        <v>16</v>
      </c>
      <c r="NO8" s="97">
        <f t="shared" ca="1" si="18"/>
        <v>16</v>
      </c>
      <c r="NP8" s="97">
        <f t="shared" ca="1" si="18"/>
        <v>16</v>
      </c>
      <c r="NQ8" s="97">
        <f t="shared" ca="1" si="18"/>
        <v>16</v>
      </c>
      <c r="NR8" s="97">
        <f t="shared" ca="1" si="18"/>
        <v>16</v>
      </c>
      <c r="NS8" s="97">
        <f t="shared" ca="1" si="18"/>
        <v>16</v>
      </c>
      <c r="NT8" s="97">
        <f t="shared" ca="1" si="18"/>
        <v>16</v>
      </c>
      <c r="NU8" s="97">
        <f t="shared" ca="1" si="18"/>
        <v>16</v>
      </c>
      <c r="NV8" s="97">
        <f t="shared" ca="1" si="18"/>
        <v>16</v>
      </c>
      <c r="NW8" s="97">
        <f t="shared" ca="1" si="18"/>
        <v>16</v>
      </c>
      <c r="NX8" s="97">
        <f t="shared" ca="1" si="18"/>
        <v>16</v>
      </c>
      <c r="NY8" s="97">
        <f t="shared" ca="1" si="18"/>
        <v>16</v>
      </c>
      <c r="NZ8" s="97">
        <f t="shared" ca="1" si="18"/>
        <v>16</v>
      </c>
      <c r="OA8" s="97">
        <f t="shared" ca="1" si="18"/>
        <v>16</v>
      </c>
      <c r="OB8" s="97">
        <f t="shared" ref="OB8:QM8" ca="1" si="19">MATCH(VLOOKUP(COLUMN(),INDIRECT($E$8),1,TRUE),INDIRECT($E$8),0)</f>
        <v>16</v>
      </c>
      <c r="OC8" s="97">
        <f t="shared" ca="1" si="19"/>
        <v>16</v>
      </c>
      <c r="OD8" s="97">
        <f t="shared" ca="1" si="19"/>
        <v>16</v>
      </c>
      <c r="OE8" s="97">
        <f t="shared" ca="1" si="19"/>
        <v>16</v>
      </c>
      <c r="OF8" s="97">
        <f t="shared" ca="1" si="19"/>
        <v>16</v>
      </c>
      <c r="OG8" s="97">
        <f t="shared" ca="1" si="19"/>
        <v>16</v>
      </c>
      <c r="OH8" s="97">
        <f t="shared" ca="1" si="19"/>
        <v>16</v>
      </c>
      <c r="OI8" s="97">
        <f t="shared" ca="1" si="19"/>
        <v>16</v>
      </c>
      <c r="OJ8" s="97">
        <f t="shared" ca="1" si="19"/>
        <v>16</v>
      </c>
      <c r="OK8" s="97">
        <f t="shared" ca="1" si="19"/>
        <v>16</v>
      </c>
      <c r="OL8" s="97">
        <f t="shared" ca="1" si="19"/>
        <v>16</v>
      </c>
      <c r="OM8" s="97">
        <f t="shared" ca="1" si="19"/>
        <v>16</v>
      </c>
      <c r="ON8" s="97">
        <f t="shared" ca="1" si="19"/>
        <v>16</v>
      </c>
      <c r="OO8" s="97">
        <f t="shared" ca="1" si="19"/>
        <v>16</v>
      </c>
      <c r="OP8" s="97">
        <f t="shared" ca="1" si="19"/>
        <v>16</v>
      </c>
      <c r="OQ8" s="97">
        <f t="shared" ca="1" si="19"/>
        <v>16</v>
      </c>
      <c r="OR8" s="97">
        <f t="shared" ca="1" si="19"/>
        <v>16</v>
      </c>
      <c r="OS8" s="97">
        <f t="shared" ca="1" si="19"/>
        <v>16</v>
      </c>
      <c r="OT8" s="97">
        <f t="shared" ca="1" si="19"/>
        <v>16</v>
      </c>
      <c r="OU8" s="97">
        <f t="shared" ca="1" si="19"/>
        <v>16</v>
      </c>
      <c r="OV8" s="97">
        <f t="shared" ca="1" si="19"/>
        <v>16</v>
      </c>
      <c r="OW8" s="97">
        <f t="shared" ca="1" si="19"/>
        <v>16</v>
      </c>
      <c r="OX8" s="97">
        <f t="shared" ca="1" si="19"/>
        <v>16</v>
      </c>
      <c r="OY8" s="97">
        <f t="shared" ca="1" si="19"/>
        <v>16</v>
      </c>
      <c r="OZ8" s="97">
        <f t="shared" ca="1" si="19"/>
        <v>16</v>
      </c>
      <c r="PA8" s="97">
        <f t="shared" ca="1" si="19"/>
        <v>16</v>
      </c>
      <c r="PB8" s="97">
        <f t="shared" ca="1" si="19"/>
        <v>16</v>
      </c>
      <c r="PC8" s="97">
        <f t="shared" ca="1" si="19"/>
        <v>17</v>
      </c>
      <c r="PD8" s="97">
        <f t="shared" ca="1" si="19"/>
        <v>17</v>
      </c>
      <c r="PE8" s="97">
        <f t="shared" ca="1" si="19"/>
        <v>17</v>
      </c>
      <c r="PF8" s="97">
        <f t="shared" ca="1" si="19"/>
        <v>17</v>
      </c>
      <c r="PG8" s="97">
        <f t="shared" ca="1" si="19"/>
        <v>17</v>
      </c>
      <c r="PH8" s="97">
        <f t="shared" ca="1" si="19"/>
        <v>17</v>
      </c>
      <c r="PI8" s="97">
        <f t="shared" ca="1" si="19"/>
        <v>17</v>
      </c>
      <c r="PJ8" s="97">
        <f t="shared" ca="1" si="19"/>
        <v>17</v>
      </c>
      <c r="PK8" s="97">
        <f t="shared" ca="1" si="19"/>
        <v>17</v>
      </c>
      <c r="PL8" s="97">
        <f t="shared" ca="1" si="19"/>
        <v>17</v>
      </c>
      <c r="PM8" s="97">
        <f t="shared" ca="1" si="19"/>
        <v>17</v>
      </c>
      <c r="PN8" s="97">
        <f t="shared" ca="1" si="19"/>
        <v>17</v>
      </c>
      <c r="PO8" s="97">
        <f t="shared" ca="1" si="19"/>
        <v>18</v>
      </c>
      <c r="PP8" s="97">
        <f t="shared" ca="1" si="19"/>
        <v>18</v>
      </c>
      <c r="PQ8" s="97">
        <f t="shared" ca="1" si="19"/>
        <v>18</v>
      </c>
      <c r="PR8" s="97">
        <f t="shared" ca="1" si="19"/>
        <v>18</v>
      </c>
      <c r="PS8" s="97">
        <f t="shared" ca="1" si="19"/>
        <v>18</v>
      </c>
      <c r="PT8" s="97">
        <f t="shared" ca="1" si="19"/>
        <v>18</v>
      </c>
      <c r="PU8" s="97">
        <f t="shared" ca="1" si="19"/>
        <v>18</v>
      </c>
      <c r="PV8" s="97">
        <f t="shared" ca="1" si="19"/>
        <v>18</v>
      </c>
      <c r="PW8" s="97">
        <f t="shared" ca="1" si="19"/>
        <v>18</v>
      </c>
      <c r="PX8" s="97">
        <f t="shared" ca="1" si="19"/>
        <v>18</v>
      </c>
      <c r="PY8" s="97">
        <f t="shared" ca="1" si="19"/>
        <v>18</v>
      </c>
      <c r="PZ8" s="97">
        <f t="shared" ca="1" si="19"/>
        <v>18</v>
      </c>
      <c r="QA8" s="97">
        <f t="shared" ca="1" si="19"/>
        <v>18</v>
      </c>
      <c r="QB8" s="97">
        <f t="shared" ca="1" si="19"/>
        <v>19</v>
      </c>
      <c r="QC8" s="97">
        <f t="shared" ca="1" si="19"/>
        <v>19</v>
      </c>
      <c r="QD8" s="97">
        <f t="shared" ca="1" si="19"/>
        <v>19</v>
      </c>
      <c r="QE8" s="97">
        <f t="shared" ca="1" si="19"/>
        <v>19</v>
      </c>
      <c r="QF8" s="97">
        <f t="shared" ca="1" si="19"/>
        <v>19</v>
      </c>
      <c r="QG8" s="97">
        <f t="shared" ca="1" si="19"/>
        <v>19</v>
      </c>
      <c r="QH8" s="97">
        <f t="shared" ca="1" si="19"/>
        <v>19</v>
      </c>
      <c r="QI8" s="97">
        <f t="shared" ca="1" si="19"/>
        <v>19</v>
      </c>
      <c r="QJ8" s="97">
        <f t="shared" ca="1" si="19"/>
        <v>19</v>
      </c>
      <c r="QK8" s="97">
        <f t="shared" ca="1" si="19"/>
        <v>19</v>
      </c>
      <c r="QL8" s="97">
        <f t="shared" ca="1" si="19"/>
        <v>19</v>
      </c>
      <c r="QM8" s="97">
        <f t="shared" ca="1" si="19"/>
        <v>19</v>
      </c>
      <c r="QN8" s="97">
        <f t="shared" ref="QN8:SY8" ca="1" si="20">MATCH(VLOOKUP(COLUMN(),INDIRECT($E$8),1,TRUE),INDIRECT($E$8),0)</f>
        <v>19</v>
      </c>
      <c r="QO8" s="97">
        <f t="shared" ca="1" si="20"/>
        <v>19</v>
      </c>
      <c r="QP8" s="97">
        <f t="shared" ca="1" si="20"/>
        <v>19</v>
      </c>
      <c r="QQ8" s="97">
        <f t="shared" ca="1" si="20"/>
        <v>19</v>
      </c>
      <c r="QR8" s="97">
        <f t="shared" ca="1" si="20"/>
        <v>19</v>
      </c>
      <c r="QS8" s="97">
        <f t="shared" ca="1" si="20"/>
        <v>19</v>
      </c>
      <c r="QT8" s="97">
        <f t="shared" ca="1" si="20"/>
        <v>19</v>
      </c>
      <c r="QU8" s="97">
        <f t="shared" ca="1" si="20"/>
        <v>19</v>
      </c>
      <c r="QV8" s="97">
        <f t="shared" ca="1" si="20"/>
        <v>19</v>
      </c>
      <c r="QW8" s="97">
        <f t="shared" ca="1" si="20"/>
        <v>19</v>
      </c>
      <c r="QX8" s="97">
        <f t="shared" ca="1" si="20"/>
        <v>19</v>
      </c>
      <c r="QY8" s="97">
        <f t="shared" ca="1" si="20"/>
        <v>19</v>
      </c>
      <c r="QZ8" s="97">
        <f t="shared" ca="1" si="20"/>
        <v>19</v>
      </c>
      <c r="RA8" s="97">
        <f t="shared" ca="1" si="20"/>
        <v>19</v>
      </c>
      <c r="RB8" s="97">
        <f t="shared" ca="1" si="20"/>
        <v>19</v>
      </c>
      <c r="RC8" s="97">
        <f t="shared" ca="1" si="20"/>
        <v>19</v>
      </c>
      <c r="RD8" s="97">
        <f t="shared" ca="1" si="20"/>
        <v>19</v>
      </c>
      <c r="RE8" s="97">
        <f t="shared" ca="1" si="20"/>
        <v>19</v>
      </c>
      <c r="RF8" s="97">
        <f t="shared" ca="1" si="20"/>
        <v>19</v>
      </c>
      <c r="RG8" s="97">
        <f t="shared" ca="1" si="20"/>
        <v>19</v>
      </c>
      <c r="RH8" s="97">
        <f t="shared" ca="1" si="20"/>
        <v>19</v>
      </c>
      <c r="RI8" s="97">
        <f t="shared" ca="1" si="20"/>
        <v>19</v>
      </c>
      <c r="RJ8" s="97">
        <f t="shared" ca="1" si="20"/>
        <v>19</v>
      </c>
      <c r="RK8" s="97">
        <f t="shared" ca="1" si="20"/>
        <v>19</v>
      </c>
      <c r="RL8" s="97">
        <f t="shared" ca="1" si="20"/>
        <v>19</v>
      </c>
      <c r="RM8" s="97">
        <f t="shared" ca="1" si="20"/>
        <v>19</v>
      </c>
      <c r="RN8" s="97">
        <f t="shared" ca="1" si="20"/>
        <v>20</v>
      </c>
      <c r="RO8" s="97">
        <f t="shared" ca="1" si="20"/>
        <v>20</v>
      </c>
      <c r="RP8" s="97">
        <f t="shared" ca="1" si="20"/>
        <v>20</v>
      </c>
      <c r="RQ8" s="97">
        <f t="shared" ca="1" si="20"/>
        <v>20</v>
      </c>
      <c r="RR8" s="97">
        <f t="shared" ca="1" si="20"/>
        <v>20</v>
      </c>
      <c r="RS8" s="97">
        <f t="shared" ca="1" si="20"/>
        <v>20</v>
      </c>
      <c r="RT8" s="97">
        <f t="shared" ca="1" si="20"/>
        <v>20</v>
      </c>
      <c r="RU8" s="97">
        <f t="shared" ca="1" si="20"/>
        <v>20</v>
      </c>
      <c r="RV8" s="97">
        <f t="shared" ca="1" si="20"/>
        <v>20</v>
      </c>
      <c r="RW8" s="97">
        <f t="shared" ca="1" si="20"/>
        <v>20</v>
      </c>
      <c r="RX8" s="97">
        <f t="shared" ca="1" si="20"/>
        <v>20</v>
      </c>
      <c r="RY8" s="97">
        <f t="shared" ca="1" si="20"/>
        <v>20</v>
      </c>
      <c r="RZ8" s="97">
        <f t="shared" ca="1" si="20"/>
        <v>21</v>
      </c>
      <c r="SA8" s="97">
        <f t="shared" ca="1" si="20"/>
        <v>21</v>
      </c>
      <c r="SB8" s="97">
        <f t="shared" ca="1" si="20"/>
        <v>21</v>
      </c>
      <c r="SC8" s="97">
        <f t="shared" ca="1" si="20"/>
        <v>21</v>
      </c>
      <c r="SD8" s="97">
        <f t="shared" ca="1" si="20"/>
        <v>21</v>
      </c>
      <c r="SE8" s="97">
        <f t="shared" ca="1" si="20"/>
        <v>21</v>
      </c>
      <c r="SF8" s="97">
        <f t="shared" ca="1" si="20"/>
        <v>21</v>
      </c>
      <c r="SG8" s="97">
        <f t="shared" ca="1" si="20"/>
        <v>21</v>
      </c>
      <c r="SH8" s="97">
        <f t="shared" ca="1" si="20"/>
        <v>21</v>
      </c>
      <c r="SI8" s="97">
        <f t="shared" ca="1" si="20"/>
        <v>21</v>
      </c>
      <c r="SJ8" s="97">
        <f t="shared" ca="1" si="20"/>
        <v>21</v>
      </c>
      <c r="SK8" s="97">
        <f t="shared" ca="1" si="20"/>
        <v>21</v>
      </c>
      <c r="SL8" s="97">
        <f t="shared" ca="1" si="20"/>
        <v>22</v>
      </c>
      <c r="SM8" s="97">
        <f t="shared" ca="1" si="20"/>
        <v>22</v>
      </c>
      <c r="SN8" s="97">
        <f t="shared" ca="1" si="20"/>
        <v>22</v>
      </c>
      <c r="SO8" s="97">
        <f t="shared" ca="1" si="20"/>
        <v>22</v>
      </c>
      <c r="SP8" s="97">
        <f t="shared" ca="1" si="20"/>
        <v>22</v>
      </c>
      <c r="SQ8" s="97">
        <f t="shared" ca="1" si="20"/>
        <v>22</v>
      </c>
      <c r="SR8" s="97">
        <f t="shared" ca="1" si="20"/>
        <v>22</v>
      </c>
      <c r="SS8" s="97">
        <f t="shared" ca="1" si="20"/>
        <v>22</v>
      </c>
      <c r="ST8" s="97">
        <f t="shared" ca="1" si="20"/>
        <v>22</v>
      </c>
      <c r="SU8" s="97">
        <f t="shared" ca="1" si="20"/>
        <v>22</v>
      </c>
      <c r="SV8" s="97">
        <f t="shared" ca="1" si="20"/>
        <v>22</v>
      </c>
      <c r="SW8" s="97">
        <f t="shared" ca="1" si="20"/>
        <v>22</v>
      </c>
      <c r="SX8" s="97">
        <f t="shared" ca="1" si="20"/>
        <v>23</v>
      </c>
      <c r="SY8" s="97">
        <f t="shared" ca="1" si="20"/>
        <v>23</v>
      </c>
      <c r="SZ8" s="97">
        <f t="shared" ref="SZ8:VK8" ca="1" si="21">MATCH(VLOOKUP(COLUMN(),INDIRECT($E$8),1,TRUE),INDIRECT($E$8),0)</f>
        <v>23</v>
      </c>
      <c r="TA8" s="97">
        <f t="shared" ca="1" si="21"/>
        <v>23</v>
      </c>
      <c r="TB8" s="97">
        <f t="shared" ca="1" si="21"/>
        <v>23</v>
      </c>
      <c r="TC8" s="97">
        <f t="shared" ca="1" si="21"/>
        <v>23</v>
      </c>
      <c r="TD8" s="97">
        <f t="shared" ca="1" si="21"/>
        <v>23</v>
      </c>
      <c r="TE8" s="97">
        <f t="shared" ca="1" si="21"/>
        <v>23</v>
      </c>
      <c r="TF8" s="97">
        <f t="shared" ca="1" si="21"/>
        <v>23</v>
      </c>
      <c r="TG8" s="97">
        <f t="shared" ca="1" si="21"/>
        <v>23</v>
      </c>
      <c r="TH8" s="97">
        <f t="shared" ca="1" si="21"/>
        <v>23</v>
      </c>
      <c r="TI8" s="97">
        <f t="shared" ca="1" si="21"/>
        <v>23</v>
      </c>
      <c r="TJ8" s="97">
        <f t="shared" ca="1" si="21"/>
        <v>24</v>
      </c>
      <c r="TK8" s="97">
        <f t="shared" ca="1" si="21"/>
        <v>24</v>
      </c>
      <c r="TL8" s="97">
        <f t="shared" ca="1" si="21"/>
        <v>24</v>
      </c>
      <c r="TM8" s="97">
        <f t="shared" ca="1" si="21"/>
        <v>24</v>
      </c>
      <c r="TN8" s="97">
        <f t="shared" ca="1" si="21"/>
        <v>24</v>
      </c>
      <c r="TO8" s="97">
        <f t="shared" ca="1" si="21"/>
        <v>24</v>
      </c>
      <c r="TP8" s="97">
        <f t="shared" ca="1" si="21"/>
        <v>24</v>
      </c>
      <c r="TQ8" s="97">
        <f t="shared" ca="1" si="21"/>
        <v>24</v>
      </c>
      <c r="TR8" s="97">
        <f t="shared" ca="1" si="21"/>
        <v>24</v>
      </c>
      <c r="TS8" s="97">
        <f t="shared" ca="1" si="21"/>
        <v>24</v>
      </c>
      <c r="TT8" s="97">
        <f t="shared" ca="1" si="21"/>
        <v>24</v>
      </c>
      <c r="TU8" s="97">
        <f t="shared" ca="1" si="21"/>
        <v>24</v>
      </c>
      <c r="TV8" s="97">
        <f t="shared" ca="1" si="21"/>
        <v>24</v>
      </c>
      <c r="TW8" s="97">
        <f t="shared" ca="1" si="21"/>
        <v>24</v>
      </c>
      <c r="TX8" s="97">
        <f t="shared" ca="1" si="21"/>
        <v>24</v>
      </c>
      <c r="TY8" s="97">
        <f t="shared" ca="1" si="21"/>
        <v>24</v>
      </c>
      <c r="TZ8" s="97">
        <f t="shared" ca="1" si="21"/>
        <v>24</v>
      </c>
      <c r="UA8" s="97">
        <f t="shared" ca="1" si="21"/>
        <v>24</v>
      </c>
      <c r="UB8" s="97">
        <f t="shared" ca="1" si="21"/>
        <v>24</v>
      </c>
      <c r="UC8" s="97">
        <f t="shared" ca="1" si="21"/>
        <v>24</v>
      </c>
      <c r="UD8" s="97">
        <f t="shared" ca="1" si="21"/>
        <v>24</v>
      </c>
      <c r="UE8" s="97">
        <f t="shared" ca="1" si="21"/>
        <v>24</v>
      </c>
      <c r="UF8" s="97">
        <f t="shared" ca="1" si="21"/>
        <v>24</v>
      </c>
      <c r="UG8" s="97">
        <f t="shared" ca="1" si="21"/>
        <v>24</v>
      </c>
      <c r="UH8" s="97">
        <f t="shared" ca="1" si="21"/>
        <v>24</v>
      </c>
      <c r="UI8" s="97">
        <f t="shared" ca="1" si="21"/>
        <v>24</v>
      </c>
      <c r="UJ8" s="97">
        <f t="shared" ca="1" si="21"/>
        <v>24</v>
      </c>
      <c r="UK8" s="97">
        <f t="shared" ca="1" si="21"/>
        <v>24</v>
      </c>
      <c r="UL8" s="97">
        <f t="shared" ca="1" si="21"/>
        <v>24</v>
      </c>
      <c r="UM8" s="97">
        <f t="shared" ca="1" si="21"/>
        <v>24</v>
      </c>
      <c r="UN8" s="97">
        <f t="shared" ca="1" si="21"/>
        <v>24</v>
      </c>
      <c r="UO8" s="97">
        <f t="shared" ca="1" si="21"/>
        <v>24</v>
      </c>
      <c r="UP8" s="97">
        <f t="shared" ca="1" si="21"/>
        <v>24</v>
      </c>
      <c r="UQ8" s="97">
        <f t="shared" ca="1" si="21"/>
        <v>24</v>
      </c>
      <c r="UR8" s="97">
        <f t="shared" ca="1" si="21"/>
        <v>24</v>
      </c>
      <c r="US8" s="97">
        <f t="shared" ca="1" si="21"/>
        <v>24</v>
      </c>
      <c r="UT8" s="97">
        <f t="shared" ca="1" si="21"/>
        <v>24</v>
      </c>
      <c r="UU8" s="97">
        <f t="shared" ca="1" si="21"/>
        <v>24</v>
      </c>
      <c r="UV8" s="97">
        <f t="shared" ca="1" si="21"/>
        <v>24</v>
      </c>
      <c r="UW8" s="97">
        <f t="shared" ca="1" si="21"/>
        <v>24</v>
      </c>
      <c r="UX8" s="97">
        <f t="shared" ca="1" si="21"/>
        <v>24</v>
      </c>
      <c r="UY8" s="97">
        <f t="shared" ca="1" si="21"/>
        <v>24</v>
      </c>
      <c r="UZ8" s="97">
        <f t="shared" ca="1" si="21"/>
        <v>24</v>
      </c>
      <c r="VA8" s="97">
        <f t="shared" ca="1" si="21"/>
        <v>24</v>
      </c>
      <c r="VB8" s="97">
        <f t="shared" ca="1" si="21"/>
        <v>24</v>
      </c>
      <c r="VC8" s="97">
        <f t="shared" ca="1" si="21"/>
        <v>24</v>
      </c>
      <c r="VD8" s="97">
        <f t="shared" ca="1" si="21"/>
        <v>24</v>
      </c>
      <c r="VE8" s="97">
        <f t="shared" ca="1" si="21"/>
        <v>24</v>
      </c>
      <c r="VF8" s="97">
        <f t="shared" ca="1" si="21"/>
        <v>24</v>
      </c>
      <c r="VG8" s="97">
        <f t="shared" ca="1" si="21"/>
        <v>24</v>
      </c>
      <c r="VH8" s="97">
        <f t="shared" ca="1" si="21"/>
        <v>24</v>
      </c>
      <c r="VI8" s="97">
        <f t="shared" ca="1" si="21"/>
        <v>24</v>
      </c>
      <c r="VJ8" s="97">
        <f t="shared" ca="1" si="21"/>
        <v>24</v>
      </c>
      <c r="VK8" s="97">
        <f t="shared" ca="1" si="21"/>
        <v>24</v>
      </c>
      <c r="VL8" s="97">
        <f t="shared" ref="VL8:XW8" ca="1" si="22">MATCH(VLOOKUP(COLUMN(),INDIRECT($E$8),1,TRUE),INDIRECT($E$8),0)</f>
        <v>24</v>
      </c>
      <c r="VM8" s="97">
        <f t="shared" ca="1" si="22"/>
        <v>24</v>
      </c>
      <c r="VN8" s="97">
        <f t="shared" ca="1" si="22"/>
        <v>24</v>
      </c>
      <c r="VO8" s="97">
        <f t="shared" ca="1" si="22"/>
        <v>24</v>
      </c>
      <c r="VP8" s="97">
        <f t="shared" ca="1" si="22"/>
        <v>24</v>
      </c>
      <c r="VQ8" s="97">
        <f t="shared" ca="1" si="22"/>
        <v>24</v>
      </c>
      <c r="VR8" s="97">
        <f t="shared" ca="1" si="22"/>
        <v>24</v>
      </c>
      <c r="VS8" s="97">
        <f t="shared" ca="1" si="22"/>
        <v>24</v>
      </c>
      <c r="VT8" s="97">
        <f t="shared" ca="1" si="22"/>
        <v>24</v>
      </c>
      <c r="VU8" s="97">
        <f t="shared" ca="1" si="22"/>
        <v>24</v>
      </c>
      <c r="VV8" s="97">
        <f t="shared" ca="1" si="22"/>
        <v>24</v>
      </c>
      <c r="VW8" s="97">
        <f t="shared" ca="1" si="22"/>
        <v>24</v>
      </c>
      <c r="VX8" s="97">
        <f t="shared" ca="1" si="22"/>
        <v>24</v>
      </c>
      <c r="VY8" s="97">
        <f t="shared" ca="1" si="22"/>
        <v>24</v>
      </c>
      <c r="VZ8" s="97">
        <f t="shared" ca="1" si="22"/>
        <v>24</v>
      </c>
      <c r="WA8" s="97">
        <f t="shared" ca="1" si="22"/>
        <v>24</v>
      </c>
      <c r="WB8" s="97">
        <f t="shared" ca="1" si="22"/>
        <v>24</v>
      </c>
      <c r="WC8" s="97">
        <f t="shared" ca="1" si="22"/>
        <v>24</v>
      </c>
      <c r="WD8" s="97">
        <f t="shared" ca="1" si="22"/>
        <v>24</v>
      </c>
      <c r="WE8" s="97">
        <f t="shared" ca="1" si="22"/>
        <v>24</v>
      </c>
      <c r="WF8" s="97">
        <f t="shared" ca="1" si="22"/>
        <v>24</v>
      </c>
      <c r="WG8" s="97">
        <f t="shared" ca="1" si="22"/>
        <v>24</v>
      </c>
      <c r="WH8" s="97">
        <f t="shared" ca="1" si="22"/>
        <v>24</v>
      </c>
      <c r="WI8" s="97">
        <f t="shared" ca="1" si="22"/>
        <v>24</v>
      </c>
      <c r="WJ8" s="97">
        <f t="shared" ca="1" si="22"/>
        <v>24</v>
      </c>
      <c r="WK8" s="97">
        <f t="shared" ca="1" si="22"/>
        <v>24</v>
      </c>
      <c r="WL8" s="97">
        <f t="shared" ca="1" si="22"/>
        <v>24</v>
      </c>
      <c r="WM8" s="97">
        <f t="shared" ca="1" si="22"/>
        <v>24</v>
      </c>
      <c r="WN8" s="97">
        <f t="shared" ca="1" si="22"/>
        <v>24</v>
      </c>
      <c r="WO8" s="97">
        <f t="shared" ca="1" si="22"/>
        <v>24</v>
      </c>
      <c r="WP8" s="97">
        <f t="shared" ca="1" si="22"/>
        <v>24</v>
      </c>
      <c r="WQ8" s="97">
        <f t="shared" ca="1" si="22"/>
        <v>24</v>
      </c>
      <c r="WR8" s="97">
        <f t="shared" ca="1" si="22"/>
        <v>24</v>
      </c>
      <c r="WS8" s="97">
        <f t="shared" ca="1" si="22"/>
        <v>24</v>
      </c>
      <c r="WT8" s="97">
        <f t="shared" ca="1" si="22"/>
        <v>24</v>
      </c>
      <c r="WU8" s="97">
        <f t="shared" ca="1" si="22"/>
        <v>24</v>
      </c>
      <c r="WV8" s="97">
        <f t="shared" ca="1" si="22"/>
        <v>24</v>
      </c>
      <c r="WW8" s="97">
        <f t="shared" ca="1" si="22"/>
        <v>24</v>
      </c>
      <c r="WX8" s="97">
        <f t="shared" ca="1" si="22"/>
        <v>24</v>
      </c>
      <c r="WY8" s="97">
        <f t="shared" ca="1" si="22"/>
        <v>24</v>
      </c>
      <c r="WZ8" s="97">
        <f t="shared" ca="1" si="22"/>
        <v>24</v>
      </c>
      <c r="XA8" s="97">
        <f t="shared" ca="1" si="22"/>
        <v>24</v>
      </c>
      <c r="XB8" s="97">
        <f t="shared" ca="1" si="22"/>
        <v>24</v>
      </c>
      <c r="XC8" s="97">
        <f t="shared" ca="1" si="22"/>
        <v>24</v>
      </c>
      <c r="XD8" s="97">
        <f t="shared" ca="1" si="22"/>
        <v>24</v>
      </c>
      <c r="XE8" s="97">
        <f t="shared" ca="1" si="22"/>
        <v>24</v>
      </c>
      <c r="XF8" s="97">
        <f t="shared" ca="1" si="22"/>
        <v>24</v>
      </c>
      <c r="XG8" s="97">
        <f t="shared" ca="1" si="22"/>
        <v>24</v>
      </c>
      <c r="XH8" s="97">
        <f t="shared" ca="1" si="22"/>
        <v>24</v>
      </c>
      <c r="XI8" s="97">
        <f t="shared" ca="1" si="22"/>
        <v>24</v>
      </c>
      <c r="XJ8" s="97">
        <f t="shared" ca="1" si="22"/>
        <v>24</v>
      </c>
      <c r="XK8" s="97">
        <f t="shared" ca="1" si="22"/>
        <v>24</v>
      </c>
      <c r="XL8" s="97">
        <f t="shared" ca="1" si="22"/>
        <v>24</v>
      </c>
      <c r="XM8" s="97">
        <f t="shared" ca="1" si="22"/>
        <v>24</v>
      </c>
      <c r="XN8" s="97">
        <f t="shared" ca="1" si="22"/>
        <v>24</v>
      </c>
      <c r="XO8" s="97">
        <f t="shared" ca="1" si="22"/>
        <v>24</v>
      </c>
      <c r="XP8" s="97">
        <f t="shared" ca="1" si="22"/>
        <v>24</v>
      </c>
      <c r="XQ8" s="97">
        <f t="shared" ca="1" si="22"/>
        <v>24</v>
      </c>
      <c r="XR8" s="97">
        <f t="shared" ca="1" si="22"/>
        <v>24</v>
      </c>
      <c r="XS8" s="97">
        <f t="shared" ca="1" si="22"/>
        <v>24</v>
      </c>
      <c r="XT8" s="97">
        <f t="shared" ca="1" si="22"/>
        <v>24</v>
      </c>
      <c r="XU8" s="97">
        <f t="shared" ca="1" si="22"/>
        <v>24</v>
      </c>
      <c r="XV8" s="97">
        <f t="shared" ca="1" si="22"/>
        <v>24</v>
      </c>
      <c r="XW8" s="97">
        <f t="shared" ca="1" si="22"/>
        <v>24</v>
      </c>
      <c r="XX8" s="97">
        <f t="shared" ref="XX8:AAI8" ca="1" si="23">MATCH(VLOOKUP(COLUMN(),INDIRECT($E$8),1,TRUE),INDIRECT($E$8),0)</f>
        <v>24</v>
      </c>
      <c r="XY8" s="97">
        <f t="shared" ca="1" si="23"/>
        <v>24</v>
      </c>
      <c r="XZ8" s="97">
        <f t="shared" ca="1" si="23"/>
        <v>24</v>
      </c>
      <c r="YA8" s="97">
        <f t="shared" ca="1" si="23"/>
        <v>24</v>
      </c>
      <c r="YB8" s="97">
        <f t="shared" ca="1" si="23"/>
        <v>24</v>
      </c>
      <c r="YC8" s="97">
        <f t="shared" ca="1" si="23"/>
        <v>24</v>
      </c>
      <c r="YD8" s="97">
        <f t="shared" ca="1" si="23"/>
        <v>24</v>
      </c>
      <c r="YE8" s="97">
        <f t="shared" ca="1" si="23"/>
        <v>24</v>
      </c>
      <c r="YF8" s="97">
        <f t="shared" ca="1" si="23"/>
        <v>24</v>
      </c>
      <c r="YG8" s="97">
        <f t="shared" ca="1" si="23"/>
        <v>24</v>
      </c>
      <c r="YH8" s="97">
        <f t="shared" ca="1" si="23"/>
        <v>24</v>
      </c>
      <c r="YI8" s="97">
        <f t="shared" ca="1" si="23"/>
        <v>24</v>
      </c>
      <c r="YJ8" s="97">
        <f t="shared" ca="1" si="23"/>
        <v>24</v>
      </c>
      <c r="YK8" s="97">
        <f t="shared" ca="1" si="23"/>
        <v>24</v>
      </c>
      <c r="YL8" s="97">
        <f t="shared" ca="1" si="23"/>
        <v>24</v>
      </c>
      <c r="YM8" s="97">
        <f t="shared" ca="1" si="23"/>
        <v>24</v>
      </c>
      <c r="YN8" s="97">
        <f t="shared" ca="1" si="23"/>
        <v>24</v>
      </c>
      <c r="YO8" s="97">
        <f t="shared" ca="1" si="23"/>
        <v>24</v>
      </c>
      <c r="YP8" s="97">
        <f t="shared" ca="1" si="23"/>
        <v>24</v>
      </c>
      <c r="YQ8" s="97">
        <f t="shared" ca="1" si="23"/>
        <v>24</v>
      </c>
      <c r="YR8" s="97">
        <f t="shared" ca="1" si="23"/>
        <v>24</v>
      </c>
      <c r="YS8" s="97">
        <f t="shared" ca="1" si="23"/>
        <v>24</v>
      </c>
      <c r="YT8" s="97">
        <f t="shared" ca="1" si="23"/>
        <v>24</v>
      </c>
      <c r="YU8" s="97">
        <f t="shared" ca="1" si="23"/>
        <v>24</v>
      </c>
      <c r="YV8" s="97">
        <f t="shared" ca="1" si="23"/>
        <v>24</v>
      </c>
      <c r="YW8" s="97">
        <f t="shared" ca="1" si="23"/>
        <v>24</v>
      </c>
      <c r="YX8" s="97">
        <f t="shared" ca="1" si="23"/>
        <v>24</v>
      </c>
      <c r="YY8" s="97">
        <f t="shared" ca="1" si="23"/>
        <v>24</v>
      </c>
      <c r="YZ8" s="97">
        <f t="shared" ca="1" si="23"/>
        <v>24</v>
      </c>
      <c r="ZA8" s="97">
        <f t="shared" ca="1" si="23"/>
        <v>24</v>
      </c>
      <c r="ZB8" s="97">
        <f t="shared" ca="1" si="23"/>
        <v>24</v>
      </c>
      <c r="ZC8" s="97">
        <f t="shared" ca="1" si="23"/>
        <v>24</v>
      </c>
      <c r="ZD8" s="97">
        <f t="shared" ca="1" si="23"/>
        <v>24</v>
      </c>
      <c r="ZE8" s="97">
        <f t="shared" ca="1" si="23"/>
        <v>24</v>
      </c>
      <c r="ZF8" s="97">
        <f t="shared" ca="1" si="23"/>
        <v>24</v>
      </c>
      <c r="ZG8" s="97">
        <f t="shared" ca="1" si="23"/>
        <v>24</v>
      </c>
      <c r="ZH8" s="97">
        <f t="shared" ca="1" si="23"/>
        <v>25</v>
      </c>
      <c r="ZI8" s="97">
        <f t="shared" ca="1" si="23"/>
        <v>25</v>
      </c>
      <c r="ZJ8" s="97">
        <f t="shared" ca="1" si="23"/>
        <v>25</v>
      </c>
      <c r="ZK8" s="97">
        <f t="shared" ca="1" si="23"/>
        <v>25</v>
      </c>
      <c r="ZL8" s="97">
        <f t="shared" ca="1" si="23"/>
        <v>25</v>
      </c>
      <c r="ZM8" s="97">
        <f t="shared" ca="1" si="23"/>
        <v>26</v>
      </c>
      <c r="ZN8" s="97">
        <f t="shared" ca="1" si="23"/>
        <v>26</v>
      </c>
      <c r="ZO8" s="97">
        <f t="shared" ca="1" si="23"/>
        <v>26</v>
      </c>
      <c r="ZP8" s="97">
        <f t="shared" ca="1" si="23"/>
        <v>26</v>
      </c>
      <c r="ZQ8" s="97">
        <f t="shared" ca="1" si="23"/>
        <v>26</v>
      </c>
      <c r="ZR8" s="97">
        <f t="shared" ca="1" si="23"/>
        <v>26</v>
      </c>
      <c r="ZS8" s="97">
        <f t="shared" ca="1" si="23"/>
        <v>26</v>
      </c>
      <c r="ZT8" s="97">
        <f t="shared" ca="1" si="23"/>
        <v>26</v>
      </c>
      <c r="ZU8" s="97">
        <f t="shared" ca="1" si="23"/>
        <v>26</v>
      </c>
      <c r="ZV8" s="97">
        <f t="shared" ca="1" si="23"/>
        <v>26</v>
      </c>
      <c r="ZW8" s="97">
        <f t="shared" ca="1" si="23"/>
        <v>26</v>
      </c>
      <c r="ZX8" s="97">
        <f t="shared" ca="1" si="23"/>
        <v>26</v>
      </c>
      <c r="ZY8" s="97">
        <f t="shared" ca="1" si="23"/>
        <v>26</v>
      </c>
      <c r="ZZ8" s="97">
        <f t="shared" ca="1" si="23"/>
        <v>26</v>
      </c>
      <c r="AAA8" s="97">
        <f t="shared" ca="1" si="23"/>
        <v>26</v>
      </c>
      <c r="AAB8" s="97">
        <f t="shared" ca="1" si="23"/>
        <v>26</v>
      </c>
      <c r="AAC8" s="97">
        <f t="shared" ca="1" si="23"/>
        <v>26</v>
      </c>
      <c r="AAD8" s="97">
        <f t="shared" ca="1" si="23"/>
        <v>26</v>
      </c>
      <c r="AAE8" s="97">
        <f t="shared" ca="1" si="23"/>
        <v>26</v>
      </c>
      <c r="AAF8" s="97">
        <f t="shared" ca="1" si="23"/>
        <v>26</v>
      </c>
      <c r="AAG8" s="97">
        <f t="shared" ca="1" si="23"/>
        <v>26</v>
      </c>
      <c r="AAH8" s="97">
        <f t="shared" ca="1" si="23"/>
        <v>26</v>
      </c>
      <c r="AAI8" s="97">
        <f t="shared" ca="1" si="23"/>
        <v>26</v>
      </c>
      <c r="AAJ8" s="97">
        <f t="shared" ref="AAJ8:ACM8" ca="1" si="24">MATCH(VLOOKUP(COLUMN(),INDIRECT($E$8),1,TRUE),INDIRECT($E$8),0)</f>
        <v>26</v>
      </c>
      <c r="AAK8" s="97">
        <f t="shared" ca="1" si="24"/>
        <v>26</v>
      </c>
      <c r="AAL8" s="97">
        <f t="shared" ca="1" si="24"/>
        <v>26</v>
      </c>
      <c r="AAM8" s="97">
        <f t="shared" ca="1" si="24"/>
        <v>26</v>
      </c>
      <c r="AAN8" s="97">
        <f t="shared" ca="1" si="24"/>
        <v>26</v>
      </c>
      <c r="AAO8" s="97">
        <f t="shared" ca="1" si="24"/>
        <v>26</v>
      </c>
      <c r="AAP8" s="97">
        <f t="shared" ca="1" si="24"/>
        <v>26</v>
      </c>
      <c r="AAQ8" s="97">
        <f t="shared" ca="1" si="24"/>
        <v>26</v>
      </c>
      <c r="AAR8" s="97">
        <f t="shared" ca="1" si="24"/>
        <v>27</v>
      </c>
      <c r="AAS8" s="97">
        <f t="shared" ca="1" si="24"/>
        <v>27</v>
      </c>
      <c r="AAT8" s="97">
        <f t="shared" ca="1" si="24"/>
        <v>27</v>
      </c>
      <c r="AAU8" s="97">
        <f t="shared" ca="1" si="24"/>
        <v>27</v>
      </c>
      <c r="AAV8" s="97">
        <f t="shared" ca="1" si="24"/>
        <v>27</v>
      </c>
      <c r="AAW8" s="97">
        <f t="shared" ca="1" si="24"/>
        <v>27</v>
      </c>
      <c r="AAX8" s="97">
        <f t="shared" ca="1" si="24"/>
        <v>27</v>
      </c>
      <c r="AAY8" s="97">
        <f t="shared" ca="1" si="24"/>
        <v>27</v>
      </c>
      <c r="AAZ8" s="97">
        <f t="shared" ca="1" si="24"/>
        <v>27</v>
      </c>
      <c r="ABA8" s="97">
        <f t="shared" ca="1" si="24"/>
        <v>27</v>
      </c>
      <c r="ABB8" s="97">
        <f t="shared" ca="1" si="24"/>
        <v>27</v>
      </c>
      <c r="ABC8" s="97">
        <f t="shared" ca="1" si="24"/>
        <v>27</v>
      </c>
      <c r="ABD8" s="97">
        <f t="shared" ca="1" si="24"/>
        <v>28</v>
      </c>
      <c r="ABE8" s="97">
        <f t="shared" ca="1" si="24"/>
        <v>28</v>
      </c>
      <c r="ABF8" s="97">
        <f t="shared" ca="1" si="24"/>
        <v>28</v>
      </c>
      <c r="ABG8" s="97">
        <f t="shared" ca="1" si="24"/>
        <v>28</v>
      </c>
      <c r="ABH8" s="97">
        <f t="shared" ca="1" si="24"/>
        <v>28</v>
      </c>
      <c r="ABI8" s="97">
        <f t="shared" ca="1" si="24"/>
        <v>28</v>
      </c>
      <c r="ABJ8" s="97">
        <f t="shared" ca="1" si="24"/>
        <v>28</v>
      </c>
      <c r="ABK8" s="97">
        <f t="shared" ca="1" si="24"/>
        <v>28</v>
      </c>
      <c r="ABL8" s="97">
        <f t="shared" ca="1" si="24"/>
        <v>28</v>
      </c>
      <c r="ABM8" s="97">
        <f t="shared" ca="1" si="24"/>
        <v>28</v>
      </c>
      <c r="ABN8" s="97">
        <f t="shared" ca="1" si="24"/>
        <v>28</v>
      </c>
      <c r="ABO8" s="97">
        <f t="shared" ca="1" si="24"/>
        <v>28</v>
      </c>
      <c r="ABP8" s="97">
        <f t="shared" ca="1" si="24"/>
        <v>28</v>
      </c>
      <c r="ABQ8" s="97">
        <f t="shared" ca="1" si="24"/>
        <v>28</v>
      </c>
      <c r="ABR8" s="97">
        <f t="shared" ca="1" si="24"/>
        <v>28</v>
      </c>
      <c r="ABS8" s="97">
        <f t="shared" ca="1" si="24"/>
        <v>28</v>
      </c>
      <c r="ABT8" s="97">
        <f t="shared" ca="1" si="24"/>
        <v>28</v>
      </c>
      <c r="ABU8" s="97">
        <f t="shared" ca="1" si="24"/>
        <v>28</v>
      </c>
      <c r="ABV8" s="97">
        <f t="shared" ca="1" si="24"/>
        <v>28</v>
      </c>
      <c r="ABW8" s="97">
        <f t="shared" ca="1" si="24"/>
        <v>28</v>
      </c>
      <c r="ABX8" s="97">
        <f t="shared" ca="1" si="24"/>
        <v>28</v>
      </c>
      <c r="ABY8" s="97">
        <f t="shared" ca="1" si="24"/>
        <v>28</v>
      </c>
      <c r="ABZ8" s="97">
        <f t="shared" ca="1" si="24"/>
        <v>28</v>
      </c>
      <c r="ACA8" s="97">
        <f t="shared" ca="1" si="24"/>
        <v>28</v>
      </c>
      <c r="ACB8" s="97">
        <f t="shared" ca="1" si="24"/>
        <v>29</v>
      </c>
      <c r="ACC8" s="97">
        <f t="shared" ca="1" si="24"/>
        <v>29</v>
      </c>
      <c r="ACD8" s="97">
        <f t="shared" ca="1" si="24"/>
        <v>29</v>
      </c>
      <c r="ACE8" s="97">
        <f t="shared" ca="1" si="24"/>
        <v>29</v>
      </c>
      <c r="ACF8" s="97">
        <f t="shared" ca="1" si="24"/>
        <v>29</v>
      </c>
      <c r="ACG8" s="97">
        <f t="shared" ca="1" si="24"/>
        <v>29</v>
      </c>
      <c r="ACH8" s="97">
        <f t="shared" ca="1" si="24"/>
        <v>29</v>
      </c>
      <c r="ACI8" s="97">
        <f t="shared" ca="1" si="24"/>
        <v>29</v>
      </c>
      <c r="ACJ8" s="97">
        <f t="shared" ca="1" si="24"/>
        <v>29</v>
      </c>
      <c r="ACK8" s="97">
        <f t="shared" ca="1" si="24"/>
        <v>29</v>
      </c>
      <c r="ACL8" s="97">
        <f t="shared" ca="1" si="24"/>
        <v>29</v>
      </c>
      <c r="ACM8" s="97">
        <f t="shared" ca="1" si="24"/>
        <v>29</v>
      </c>
      <c r="ACN8" s="97"/>
    </row>
    <row r="9" spans="1:768" s="92" customFormat="1" hidden="1">
      <c r="A9" s="92" t="str">
        <f>Stammdaten!$CB$28</f>
        <v>Bed. F.</v>
      </c>
      <c r="B9" s="97" t="str">
        <f>Stammdaten!$BZ$5&amp;" +"</f>
        <v>Disziplin +</v>
      </c>
      <c r="C9" s="91"/>
      <c r="D9" s="91"/>
      <c r="E9" s="91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>
        <f>$DK$4</f>
        <v>1</v>
      </c>
      <c r="DL9" s="97">
        <f>$DL$4</f>
        <v>2</v>
      </c>
      <c r="DM9" s="97">
        <f>$DM$4</f>
        <v>1</v>
      </c>
      <c r="DN9" s="97">
        <f>$DN$4</f>
        <v>2</v>
      </c>
      <c r="DO9" s="91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>
        <f>$EF$4</f>
        <v>3</v>
      </c>
      <c r="EG9" s="97">
        <f>$EG$4</f>
        <v>4</v>
      </c>
      <c r="EH9" s="97">
        <f>$EH$4</f>
        <v>3</v>
      </c>
      <c r="EI9" s="97">
        <f>$EI$4</f>
        <v>4</v>
      </c>
      <c r="EJ9" s="91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>
        <f>$FA$4</f>
        <v>5</v>
      </c>
      <c r="FB9" s="97">
        <f>$FB$4</f>
        <v>6</v>
      </c>
      <c r="FC9" s="97">
        <f>$FC$4</f>
        <v>5</v>
      </c>
      <c r="FD9" s="97">
        <f>$FD$4</f>
        <v>6</v>
      </c>
      <c r="FE9" s="91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>
        <f>$FV$4</f>
        <v>7</v>
      </c>
      <c r="FW9" s="97">
        <f>$FW$4</f>
        <v>8</v>
      </c>
      <c r="FX9" s="97">
        <f>$FX$4</f>
        <v>9</v>
      </c>
      <c r="FY9" s="97">
        <f>$FY$4</f>
        <v>7</v>
      </c>
      <c r="FZ9" s="97">
        <f>$FZ$4</f>
        <v>8</v>
      </c>
      <c r="GA9" s="97">
        <f>$GA$4</f>
        <v>9</v>
      </c>
      <c r="GB9" s="91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1"/>
      <c r="GT9" s="91"/>
      <c r="GU9" s="91"/>
      <c r="GV9" s="91"/>
      <c r="GW9" s="91"/>
      <c r="GX9" s="97"/>
      <c r="GY9" s="97"/>
      <c r="GZ9" s="97"/>
      <c r="HA9" s="97">
        <f>Stammdaten!$BR$6</f>
        <v>31</v>
      </c>
      <c r="HB9" s="97">
        <f>Stammdaten!$BR$6</f>
        <v>31</v>
      </c>
      <c r="HC9" s="97">
        <f>Stammdaten!$BR$6</f>
        <v>31</v>
      </c>
      <c r="HD9" s="97">
        <f>Stammdaten!$BR$6</f>
        <v>31</v>
      </c>
      <c r="HE9" s="97">
        <f>Stammdaten!$BR$6</f>
        <v>31</v>
      </c>
      <c r="HF9" s="97">
        <f>Stammdaten!$BR$6</f>
        <v>31</v>
      </c>
      <c r="HG9" s="97"/>
      <c r="HH9" s="91"/>
      <c r="HI9" s="91"/>
      <c r="HJ9" s="91"/>
      <c r="HK9" s="91"/>
      <c r="HL9" s="97"/>
      <c r="HM9" s="97"/>
      <c r="HN9" s="97">
        <v>31</v>
      </c>
      <c r="HO9" s="97"/>
      <c r="HP9" s="97"/>
      <c r="HQ9" s="97"/>
      <c r="HR9" s="96"/>
      <c r="HS9" s="96"/>
      <c r="HT9" s="96"/>
      <c r="HU9" s="96"/>
      <c r="HV9" s="96"/>
      <c r="HW9" s="96"/>
      <c r="HX9" s="97"/>
      <c r="HY9" s="97"/>
      <c r="HZ9" s="97"/>
      <c r="IA9" s="96"/>
      <c r="IB9" s="96"/>
      <c r="IC9" s="96"/>
      <c r="ID9" s="96"/>
      <c r="IE9" s="96"/>
      <c r="IF9" s="96"/>
      <c r="IG9" s="97"/>
      <c r="IH9" s="97"/>
      <c r="II9" s="97"/>
      <c r="IJ9" s="96"/>
      <c r="IK9" s="96"/>
      <c r="IL9" s="96"/>
      <c r="IM9" s="96"/>
      <c r="IN9" s="96"/>
      <c r="IO9" s="96"/>
      <c r="IP9" s="97"/>
      <c r="IQ9" s="97"/>
      <c r="IR9" s="97"/>
      <c r="IS9" s="96"/>
      <c r="IT9" s="96"/>
      <c r="IU9" s="96"/>
      <c r="IV9" s="96"/>
      <c r="IW9" s="96"/>
      <c r="IX9" s="96"/>
      <c r="IY9" s="97"/>
      <c r="IZ9" s="97"/>
      <c r="JA9" s="97"/>
      <c r="JB9" s="96"/>
      <c r="JC9" s="96"/>
      <c r="JD9" s="96"/>
      <c r="JE9" s="96"/>
      <c r="JF9" s="96"/>
      <c r="JG9" s="96"/>
      <c r="JH9" s="97"/>
      <c r="JI9" s="97"/>
      <c r="JJ9" s="97"/>
      <c r="JK9" s="96"/>
      <c r="JL9" s="96"/>
      <c r="JM9" s="96"/>
      <c r="JN9" s="96"/>
      <c r="JO9" s="96"/>
      <c r="JP9" s="96"/>
      <c r="JQ9" s="97"/>
      <c r="JR9" s="97">
        <f>$JR$4</f>
        <v>10</v>
      </c>
      <c r="JS9" s="97">
        <f>$JS$4</f>
        <v>11</v>
      </c>
      <c r="JT9" s="97">
        <f>$JT$4</f>
        <v>12</v>
      </c>
      <c r="JU9" s="97">
        <f>$JU$4</f>
        <v>13</v>
      </c>
      <c r="JV9" s="97">
        <f>$JV$4</f>
        <v>14</v>
      </c>
      <c r="JW9" s="97">
        <f>$JW$4</f>
        <v>15</v>
      </c>
      <c r="JX9" s="91"/>
      <c r="JY9" s="91"/>
      <c r="JZ9" s="91"/>
      <c r="KA9" s="97"/>
      <c r="KB9" s="97"/>
      <c r="KC9" s="97"/>
      <c r="KD9" s="97"/>
      <c r="KE9" s="97"/>
      <c r="KF9" s="97"/>
      <c r="KG9" s="97"/>
      <c r="KH9" s="97"/>
      <c r="KI9" s="97"/>
      <c r="KJ9" s="97"/>
      <c r="KK9" s="97"/>
      <c r="KL9" s="97"/>
      <c r="KM9" s="97"/>
      <c r="KN9" s="97"/>
      <c r="KO9" s="97"/>
      <c r="KP9" s="97"/>
      <c r="KQ9" s="97"/>
      <c r="KR9" s="97"/>
      <c r="KS9" s="97"/>
      <c r="KT9" s="97"/>
      <c r="KU9" s="97"/>
      <c r="KV9" s="97"/>
      <c r="KW9" s="97"/>
      <c r="KX9" s="97"/>
      <c r="KY9" s="97"/>
      <c r="KZ9" s="97"/>
      <c r="LA9" s="97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1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97"/>
      <c r="LZ9" s="97"/>
      <c r="MA9" s="97"/>
      <c r="MB9" s="97"/>
      <c r="MC9" s="97"/>
      <c r="MD9" s="97"/>
      <c r="ME9" s="97"/>
      <c r="MF9" s="97"/>
      <c r="MG9" s="97"/>
      <c r="MH9" s="97"/>
      <c r="MI9" s="97"/>
      <c r="MJ9" s="91"/>
      <c r="MK9" s="97"/>
      <c r="ML9" s="97"/>
      <c r="MM9" s="97"/>
      <c r="MN9" s="97"/>
      <c r="MO9" s="97"/>
      <c r="MP9" s="97"/>
      <c r="MQ9" s="97"/>
      <c r="MR9" s="91"/>
      <c r="MS9" s="97"/>
      <c r="MT9" s="97"/>
      <c r="MU9" s="97"/>
      <c r="MV9" s="97"/>
      <c r="MW9" s="97"/>
      <c r="MX9" s="97"/>
      <c r="MY9" s="97">
        <f>$MW$3</f>
        <v>36</v>
      </c>
      <c r="MZ9" s="97"/>
      <c r="NA9" s="97"/>
      <c r="NB9" s="97">
        <f>$MW$3</f>
        <v>36</v>
      </c>
      <c r="NC9" s="97"/>
      <c r="ND9" s="97"/>
      <c r="NE9" s="97">
        <f>$MW$3</f>
        <v>36</v>
      </c>
      <c r="NF9" s="97"/>
      <c r="NG9" s="97"/>
      <c r="NH9" s="97"/>
      <c r="NI9" s="96"/>
      <c r="NJ9" s="96"/>
      <c r="NK9" s="97"/>
      <c r="NL9" s="97"/>
      <c r="NM9" s="97"/>
      <c r="NN9" s="97"/>
      <c r="NO9" s="97"/>
      <c r="NP9" s="97"/>
      <c r="NQ9" s="97"/>
      <c r="NR9" s="97"/>
      <c r="NS9" s="97"/>
      <c r="NT9" s="97">
        <f>$NT$4</f>
        <v>36</v>
      </c>
      <c r="NU9" s="97">
        <f>$NU$4</f>
        <v>16</v>
      </c>
      <c r="NV9" s="97">
        <f>$NV$4</f>
        <v>36</v>
      </c>
      <c r="NW9" s="97">
        <f>$NW$4</f>
        <v>16</v>
      </c>
      <c r="NX9" s="97"/>
      <c r="NY9" s="97"/>
      <c r="NZ9" s="97"/>
      <c r="OA9" s="97"/>
      <c r="OB9" s="97"/>
      <c r="OC9" s="97"/>
      <c r="OD9" s="97"/>
      <c r="OE9" s="97"/>
      <c r="OF9" s="97"/>
      <c r="OG9" s="97"/>
      <c r="OH9" s="97"/>
      <c r="OI9" s="97"/>
      <c r="OK9" s="97"/>
      <c r="OM9" s="97"/>
      <c r="ON9" s="97"/>
      <c r="OO9" s="97"/>
      <c r="OP9" s="97">
        <f>Stammdaten!$BR$7</f>
        <v>32</v>
      </c>
      <c r="OQ9" s="97">
        <f>Stammdaten!$BR$7</f>
        <v>32</v>
      </c>
      <c r="OR9" s="97">
        <f>Stammdaten!$L$41</f>
        <v>36</v>
      </c>
      <c r="OS9" s="97">
        <f>Stammdaten!$BR$7</f>
        <v>32</v>
      </c>
      <c r="OT9" s="97"/>
      <c r="OU9" s="91"/>
      <c r="OV9" s="91"/>
      <c r="OW9" s="91"/>
      <c r="OX9" s="91"/>
      <c r="OY9" s="97"/>
      <c r="OZ9" s="97"/>
      <c r="PA9" s="97">
        <v>32</v>
      </c>
      <c r="PB9" s="97"/>
      <c r="PC9" s="97"/>
      <c r="PD9" s="97"/>
      <c r="PE9" s="96"/>
      <c r="PF9" s="97"/>
      <c r="PG9" s="97"/>
      <c r="PH9" s="97"/>
      <c r="PI9" s="97"/>
      <c r="PJ9" s="97"/>
      <c r="PK9" s="97"/>
      <c r="PL9" s="97"/>
      <c r="PM9" s="97"/>
      <c r="PN9" s="97"/>
      <c r="PO9" s="97"/>
      <c r="PP9" s="97"/>
      <c r="PQ9" s="96"/>
      <c r="PR9" s="96"/>
      <c r="PS9" s="97"/>
      <c r="PT9" s="97"/>
      <c r="PU9" s="97"/>
      <c r="PV9" s="97"/>
      <c r="PW9" s="97"/>
      <c r="PX9" s="97"/>
      <c r="PY9" s="97"/>
      <c r="PZ9" s="97"/>
      <c r="QA9" s="97"/>
      <c r="QB9" s="97"/>
      <c r="QC9" s="97"/>
      <c r="QD9" s="96"/>
      <c r="QE9" s="97"/>
      <c r="QF9" s="97"/>
      <c r="QG9" s="97"/>
      <c r="QH9" s="97"/>
      <c r="QI9" s="97"/>
      <c r="QJ9" s="97"/>
      <c r="QK9" s="97"/>
      <c r="QL9" s="97"/>
      <c r="QM9" s="97"/>
      <c r="QN9" s="97">
        <f>$QN$4</f>
        <v>17</v>
      </c>
      <c r="QO9" s="97">
        <f>$QO$4</f>
        <v>18</v>
      </c>
      <c r="QP9" s="97">
        <f>$QP$4</f>
        <v>19</v>
      </c>
      <c r="QQ9" s="97">
        <f>$QQ$4</f>
        <v>17</v>
      </c>
      <c r="QR9" s="97">
        <f>$QR$4</f>
        <v>18</v>
      </c>
      <c r="QS9" s="97">
        <f>$QS$4</f>
        <v>19</v>
      </c>
      <c r="QT9" s="91"/>
      <c r="QU9" s="97"/>
      <c r="QV9" s="97"/>
      <c r="QW9" s="97"/>
      <c r="QX9" s="97"/>
      <c r="QY9" s="97"/>
      <c r="QZ9" s="97"/>
      <c r="RA9" s="97"/>
      <c r="RB9" s="91"/>
      <c r="RC9" s="97"/>
      <c r="RD9" s="97"/>
      <c r="RE9" s="97"/>
      <c r="RF9" s="97"/>
      <c r="RG9" s="97"/>
      <c r="RH9" s="97"/>
      <c r="RI9" s="97"/>
      <c r="RJ9" s="97">
        <f>Stammdaten!$BR$8</f>
        <v>33</v>
      </c>
      <c r="RK9" s="97"/>
      <c r="RL9" s="97">
        <v>33</v>
      </c>
      <c r="RM9" s="97"/>
      <c r="RN9" s="97"/>
      <c r="RO9" s="97"/>
      <c r="RP9" s="97"/>
      <c r="RQ9" s="97"/>
      <c r="RR9" s="97"/>
      <c r="RS9" s="97"/>
      <c r="RT9" s="97"/>
      <c r="RU9" s="97"/>
      <c r="RV9" s="97"/>
      <c r="RW9" s="97"/>
      <c r="RX9" s="97"/>
      <c r="RY9" s="97"/>
      <c r="RZ9" s="97"/>
      <c r="SA9" s="97"/>
      <c r="SB9" s="97"/>
      <c r="SC9" s="97"/>
      <c r="SD9" s="97"/>
      <c r="SE9" s="97"/>
      <c r="SF9" s="97"/>
      <c r="SG9" s="97"/>
      <c r="SH9" s="97"/>
      <c r="SI9" s="97"/>
      <c r="SJ9" s="97"/>
      <c r="SK9" s="97"/>
      <c r="SL9" s="97"/>
      <c r="SM9" s="97"/>
      <c r="SN9" s="97"/>
      <c r="SO9" s="97"/>
      <c r="SP9" s="97"/>
      <c r="SQ9" s="97"/>
      <c r="SR9" s="97"/>
      <c r="SS9" s="97"/>
      <c r="ST9" s="97"/>
      <c r="SU9" s="97"/>
      <c r="SV9" s="97"/>
      <c r="SW9" s="97"/>
      <c r="SX9" s="97"/>
      <c r="SY9" s="97"/>
      <c r="SZ9" s="97"/>
      <c r="TA9" s="97"/>
      <c r="TB9" s="97"/>
      <c r="TC9" s="97"/>
      <c r="TD9" s="97"/>
      <c r="TE9" s="97"/>
      <c r="TF9" s="97"/>
      <c r="TG9" s="97"/>
      <c r="TH9" s="97"/>
      <c r="TI9" s="97"/>
      <c r="TJ9" s="97"/>
      <c r="TK9" s="97"/>
      <c r="TL9" s="96"/>
      <c r="TM9" s="96"/>
      <c r="TN9" s="97"/>
      <c r="TO9" s="97"/>
      <c r="TP9" s="97"/>
      <c r="TQ9" s="97"/>
      <c r="TR9" s="97"/>
      <c r="TS9" s="97"/>
      <c r="TT9" s="97"/>
      <c r="TU9" s="97"/>
      <c r="TV9" s="97"/>
      <c r="TW9" s="97">
        <f>$TW$4</f>
        <v>20</v>
      </c>
      <c r="TX9" s="97">
        <f>$TX$4</f>
        <v>21</v>
      </c>
      <c r="TY9" s="97">
        <f>$TY$4</f>
        <v>22</v>
      </c>
      <c r="TZ9" s="97">
        <f>$TZ$4</f>
        <v>23</v>
      </c>
      <c r="UA9" s="97">
        <f>$UA$4</f>
        <v>24</v>
      </c>
      <c r="UB9" s="91"/>
      <c r="UC9" s="91"/>
      <c r="UD9" s="91"/>
      <c r="UE9" s="97"/>
      <c r="UF9" s="97"/>
      <c r="UG9" s="97"/>
      <c r="UH9" s="97"/>
      <c r="UI9" s="97"/>
      <c r="UJ9" s="97"/>
      <c r="UK9" s="97"/>
      <c r="UL9" s="97"/>
      <c r="UM9" s="97"/>
      <c r="UN9" s="97"/>
      <c r="UO9" s="97"/>
      <c r="UP9" s="97"/>
      <c r="UQ9" s="97"/>
      <c r="UR9" s="97"/>
      <c r="US9" s="97"/>
      <c r="UT9" s="97"/>
      <c r="UU9" s="97"/>
      <c r="UV9" s="97"/>
      <c r="UW9" s="97"/>
      <c r="UX9" s="97"/>
      <c r="UY9" s="97"/>
      <c r="UZ9" s="97"/>
      <c r="VA9" s="97"/>
      <c r="VB9" s="97"/>
      <c r="VC9" s="97"/>
      <c r="VD9" s="97"/>
      <c r="VE9" s="97"/>
      <c r="VF9" s="97"/>
      <c r="VG9" s="97"/>
      <c r="VH9" s="97"/>
      <c r="VI9" s="97"/>
      <c r="VJ9" s="97"/>
      <c r="VK9" s="97"/>
      <c r="VL9" s="97"/>
      <c r="VM9" s="97"/>
      <c r="VN9" s="91"/>
      <c r="VO9" s="97"/>
      <c r="VP9" s="97"/>
      <c r="VQ9" s="97"/>
      <c r="VR9" s="97"/>
      <c r="VS9" s="97"/>
      <c r="VT9" s="97"/>
      <c r="VU9" s="97"/>
      <c r="VV9" s="97"/>
      <c r="VW9" s="97"/>
      <c r="VX9" s="97"/>
      <c r="VY9" s="97"/>
      <c r="VZ9" s="91"/>
      <c r="WA9" s="97"/>
      <c r="WB9" s="97"/>
      <c r="WC9" s="97"/>
      <c r="WD9" s="97"/>
      <c r="WE9" s="97"/>
      <c r="WF9" s="97"/>
      <c r="WG9" s="97"/>
      <c r="WH9" s="97"/>
      <c r="WI9" s="97"/>
      <c r="WJ9" s="97"/>
      <c r="WK9" s="97"/>
      <c r="WL9" s="91"/>
      <c r="WM9" s="97"/>
      <c r="WN9" s="97"/>
      <c r="WO9" s="97"/>
      <c r="WP9" s="97"/>
      <c r="WQ9" s="97"/>
      <c r="WR9" s="97"/>
      <c r="WS9" s="97"/>
      <c r="WT9" s="97">
        <f>$WT$4</f>
        <v>20</v>
      </c>
      <c r="WU9" s="97">
        <f>$WU$4</f>
        <v>21</v>
      </c>
      <c r="WV9" s="97">
        <f>$WV$4</f>
        <v>22</v>
      </c>
      <c r="WW9" s="97">
        <f>$WW$4</f>
        <v>23</v>
      </c>
      <c r="WX9" s="97">
        <f>$WX$4</f>
        <v>24</v>
      </c>
      <c r="WY9" s="97">
        <f>$WY$4</f>
        <v>20</v>
      </c>
      <c r="WZ9" s="97">
        <f>$WZ$4</f>
        <v>21</v>
      </c>
      <c r="XA9" s="97">
        <f>$XA$4</f>
        <v>22</v>
      </c>
      <c r="XB9" s="97">
        <f>$XB$4</f>
        <v>23</v>
      </c>
      <c r="XC9" s="97">
        <f>$XC$4</f>
        <v>24</v>
      </c>
      <c r="XD9" s="91"/>
      <c r="XE9" s="91"/>
      <c r="XF9" s="91"/>
      <c r="XG9" s="91"/>
      <c r="XH9" s="97"/>
      <c r="XI9" s="97"/>
      <c r="XJ9" s="97"/>
      <c r="XK9" s="97">
        <f>Stammdaten!$BR$9</f>
        <v>34</v>
      </c>
      <c r="XL9" s="97">
        <f>Stammdaten!$BR$9</f>
        <v>34</v>
      </c>
      <c r="XM9" s="97">
        <f>Stammdaten!$BR$9</f>
        <v>34</v>
      </c>
      <c r="XN9" s="97">
        <f>Stammdaten!$BR$9</f>
        <v>34</v>
      </c>
      <c r="XO9" s="97">
        <f>Stammdaten!$BR$9</f>
        <v>34</v>
      </c>
      <c r="XP9" s="97"/>
      <c r="XQ9" s="91"/>
      <c r="XR9" s="91"/>
      <c r="XS9" s="91"/>
      <c r="XT9" s="91"/>
      <c r="XU9" s="97"/>
      <c r="XV9" s="97"/>
      <c r="XW9" s="97">
        <v>34</v>
      </c>
      <c r="XX9" s="97"/>
      <c r="XY9" s="91"/>
      <c r="XZ9" s="91"/>
      <c r="YA9" s="91"/>
      <c r="YB9" s="91"/>
      <c r="YC9" s="91"/>
      <c r="YD9" s="97"/>
      <c r="YE9" s="97"/>
      <c r="YF9" s="97"/>
      <c r="YG9" s="97">
        <f>Stammdaten!$L$40</f>
        <v>35</v>
      </c>
      <c r="YH9" s="97">
        <f>Stammdaten!$BR$6</f>
        <v>31</v>
      </c>
      <c r="YI9" s="97">
        <f>Stammdaten!$BR$7</f>
        <v>32</v>
      </c>
      <c r="YJ9" s="97">
        <f>Stammdaten!$BR$8</f>
        <v>33</v>
      </c>
      <c r="YK9" s="97">
        <f>Stammdaten!$BR$9</f>
        <v>34</v>
      </c>
      <c r="YL9" s="91"/>
      <c r="YM9" s="91"/>
      <c r="YN9" s="91"/>
      <c r="YO9" s="91"/>
      <c r="YP9" s="91"/>
      <c r="YQ9" s="91"/>
      <c r="YR9" s="91"/>
      <c r="YS9" s="91"/>
      <c r="YT9" s="91"/>
      <c r="YU9" s="97"/>
      <c r="YV9" s="97"/>
      <c r="YW9" s="97"/>
      <c r="YX9" s="97"/>
      <c r="YY9" s="97"/>
      <c r="YZ9" s="97"/>
      <c r="ZA9" s="97"/>
      <c r="ZB9" s="97"/>
      <c r="ZC9" s="97"/>
      <c r="ZD9" s="97"/>
      <c r="ZE9" s="97"/>
      <c r="ZF9" s="97"/>
      <c r="ZG9" s="97"/>
      <c r="ZH9" s="97"/>
      <c r="ZI9" s="97"/>
      <c r="ZJ9" s="97"/>
      <c r="ZK9" s="97"/>
      <c r="ZL9" s="97"/>
      <c r="ZM9" s="97"/>
      <c r="ZN9" s="97"/>
      <c r="ZO9" s="97"/>
      <c r="ZP9" s="97"/>
      <c r="ZQ9" s="97"/>
      <c r="ZR9" s="97"/>
      <c r="ZS9" s="97"/>
      <c r="ZT9" s="97"/>
      <c r="ZU9" s="97"/>
      <c r="ZV9" s="97"/>
      <c r="ZW9" s="97"/>
      <c r="ZX9" s="97"/>
      <c r="ZY9" s="97"/>
      <c r="ZZ9" s="97"/>
      <c r="AAA9" s="97"/>
      <c r="AAB9" s="97"/>
      <c r="AAC9" s="97"/>
      <c r="AAD9" s="97"/>
      <c r="AAE9" s="97"/>
      <c r="AAF9" s="97">
        <f>$AAF$3</f>
        <v>3</v>
      </c>
      <c r="AAG9" s="97"/>
      <c r="AAH9" s="97">
        <f>$AAF$3</f>
        <v>3</v>
      </c>
      <c r="AAI9" s="97"/>
      <c r="AAJ9" s="97">
        <f>$AAF$3</f>
        <v>3</v>
      </c>
      <c r="AAK9" s="97"/>
      <c r="AAL9" s="97">
        <f>$AAL$3</f>
        <v>4</v>
      </c>
      <c r="AAM9" s="97"/>
      <c r="AAN9" s="97">
        <f>$AAL$3</f>
        <v>4</v>
      </c>
      <c r="AAO9" s="97"/>
      <c r="AAP9" s="97">
        <f>$AAL$3</f>
        <v>4</v>
      </c>
      <c r="AAQ9" s="97"/>
      <c r="AAR9" s="97"/>
      <c r="AAS9" s="97"/>
      <c r="AAT9" s="96"/>
      <c r="AAU9" s="96"/>
      <c r="AAV9" s="97"/>
      <c r="AAW9" s="97"/>
      <c r="AAX9" s="97"/>
      <c r="AAY9" s="97"/>
      <c r="AAZ9" s="97"/>
      <c r="ABA9" s="97"/>
      <c r="ABB9" s="97"/>
      <c r="ABC9" s="97"/>
      <c r="ABD9" s="97"/>
      <c r="ABE9" s="97"/>
      <c r="ABF9" s="96"/>
      <c r="ABG9" s="96"/>
      <c r="ABH9" s="97"/>
      <c r="ABI9" s="97"/>
      <c r="ABJ9" s="97"/>
      <c r="ABK9" s="97"/>
      <c r="ABL9" s="97"/>
      <c r="ABM9" s="97"/>
      <c r="ABN9" s="97"/>
      <c r="ABO9" s="97"/>
      <c r="ABP9" s="97">
        <f>$ABP$3</f>
        <v>1</v>
      </c>
      <c r="ABQ9" s="97"/>
      <c r="ABR9" s="97">
        <f>$ABP$3</f>
        <v>1</v>
      </c>
      <c r="ABS9" s="97"/>
      <c r="ABT9" s="97">
        <f>$ABP$3</f>
        <v>1</v>
      </c>
      <c r="ABU9" s="97"/>
      <c r="ABV9" s="97">
        <f>$ABV$3</f>
        <v>2</v>
      </c>
      <c r="ABW9" s="97"/>
      <c r="ABX9" s="97">
        <f>$ABV$3</f>
        <v>2</v>
      </c>
      <c r="ABY9" s="97"/>
      <c r="ABZ9" s="97">
        <f>$ABV$3</f>
        <v>2</v>
      </c>
      <c r="ACA9" s="97"/>
      <c r="ACB9" s="97"/>
      <c r="ACC9" s="97"/>
      <c r="ACD9" s="96"/>
      <c r="ACE9" s="96"/>
      <c r="ACF9" s="97"/>
      <c r="ACG9" s="97"/>
      <c r="ACH9" s="97"/>
      <c r="ACI9" s="97"/>
      <c r="ACJ9" s="97"/>
      <c r="ACK9" s="97"/>
      <c r="ACL9" s="97"/>
      <c r="ACM9" s="97"/>
      <c r="ACN9" s="97"/>
    </row>
    <row r="10" spans="1:768" s="92" customFormat="1" hidden="1">
      <c r="A10" s="92" t="str">
        <f>Stammdaten!$CB$28</f>
        <v>Bed. F.</v>
      </c>
      <c r="B10" s="97" t="str">
        <f>Stammdaten!$BZ$5&amp;" konsolidiert"</f>
        <v>Disziplin konsolidiert</v>
      </c>
      <c r="C10" s="91"/>
      <c r="D10" s="91"/>
      <c r="E10" s="91"/>
      <c r="F10" s="97"/>
      <c r="G10" s="97">
        <f ca="1">IF(G$9&lt;&gt;"",G$9,G$8)</f>
        <v>1</v>
      </c>
      <c r="H10" s="97">
        <f t="shared" ref="H10:BS10" ca="1" si="25">IF(H$9&lt;&gt;"",H$9,H$8)</f>
        <v>1</v>
      </c>
      <c r="I10" s="97">
        <f t="shared" ca="1" si="25"/>
        <v>1</v>
      </c>
      <c r="J10" s="97">
        <f t="shared" ca="1" si="25"/>
        <v>1</v>
      </c>
      <c r="K10" s="97">
        <f t="shared" ca="1" si="25"/>
        <v>1</v>
      </c>
      <c r="L10" s="97">
        <f t="shared" ca="1" si="25"/>
        <v>1</v>
      </c>
      <c r="M10" s="97">
        <f t="shared" ca="1" si="25"/>
        <v>1</v>
      </c>
      <c r="N10" s="97">
        <f t="shared" ca="1" si="25"/>
        <v>1</v>
      </c>
      <c r="O10" s="97">
        <f t="shared" ca="1" si="25"/>
        <v>1</v>
      </c>
      <c r="P10" s="97">
        <f t="shared" ca="1" si="25"/>
        <v>1</v>
      </c>
      <c r="Q10" s="97">
        <f t="shared" ca="1" si="25"/>
        <v>1</v>
      </c>
      <c r="R10" s="97">
        <f t="shared" ca="1" si="25"/>
        <v>1</v>
      </c>
      <c r="S10" s="97">
        <f t="shared" ca="1" si="25"/>
        <v>2</v>
      </c>
      <c r="T10" s="97">
        <f t="shared" ca="1" si="25"/>
        <v>2</v>
      </c>
      <c r="U10" s="97">
        <f t="shared" ca="1" si="25"/>
        <v>2</v>
      </c>
      <c r="V10" s="97">
        <f t="shared" ca="1" si="25"/>
        <v>2</v>
      </c>
      <c r="W10" s="97">
        <f t="shared" ca="1" si="25"/>
        <v>2</v>
      </c>
      <c r="X10" s="97">
        <f t="shared" ca="1" si="25"/>
        <v>2</v>
      </c>
      <c r="Y10" s="97">
        <f t="shared" ca="1" si="25"/>
        <v>2</v>
      </c>
      <c r="Z10" s="97">
        <f t="shared" ca="1" si="25"/>
        <v>2</v>
      </c>
      <c r="AA10" s="97">
        <f t="shared" ca="1" si="25"/>
        <v>2</v>
      </c>
      <c r="AB10" s="97">
        <f t="shared" ca="1" si="25"/>
        <v>2</v>
      </c>
      <c r="AC10" s="97">
        <f t="shared" ca="1" si="25"/>
        <v>2</v>
      </c>
      <c r="AD10" s="97">
        <f t="shared" ca="1" si="25"/>
        <v>2</v>
      </c>
      <c r="AE10" s="97">
        <f t="shared" ca="1" si="25"/>
        <v>3</v>
      </c>
      <c r="AF10" s="97">
        <f t="shared" ca="1" si="25"/>
        <v>3</v>
      </c>
      <c r="AG10" s="97">
        <f t="shared" ca="1" si="25"/>
        <v>3</v>
      </c>
      <c r="AH10" s="97">
        <f t="shared" ca="1" si="25"/>
        <v>3</v>
      </c>
      <c r="AI10" s="97">
        <f t="shared" ca="1" si="25"/>
        <v>3</v>
      </c>
      <c r="AJ10" s="97">
        <f t="shared" ca="1" si="25"/>
        <v>3</v>
      </c>
      <c r="AK10" s="97">
        <f t="shared" ca="1" si="25"/>
        <v>3</v>
      </c>
      <c r="AL10" s="97">
        <f t="shared" ca="1" si="25"/>
        <v>3</v>
      </c>
      <c r="AM10" s="97">
        <f t="shared" ca="1" si="25"/>
        <v>3</v>
      </c>
      <c r="AN10" s="97">
        <f t="shared" ca="1" si="25"/>
        <v>3</v>
      </c>
      <c r="AO10" s="97">
        <f t="shared" ca="1" si="25"/>
        <v>3</v>
      </c>
      <c r="AP10" s="97">
        <f t="shared" ca="1" si="25"/>
        <v>3</v>
      </c>
      <c r="AQ10" s="97">
        <f t="shared" ca="1" si="25"/>
        <v>4</v>
      </c>
      <c r="AR10" s="97">
        <f t="shared" ca="1" si="25"/>
        <v>4</v>
      </c>
      <c r="AS10" s="97">
        <f t="shared" ca="1" si="25"/>
        <v>4</v>
      </c>
      <c r="AT10" s="97">
        <f t="shared" ca="1" si="25"/>
        <v>4</v>
      </c>
      <c r="AU10" s="97">
        <f t="shared" ca="1" si="25"/>
        <v>4</v>
      </c>
      <c r="AV10" s="97">
        <f t="shared" ca="1" si="25"/>
        <v>4</v>
      </c>
      <c r="AW10" s="97">
        <f t="shared" ca="1" si="25"/>
        <v>4</v>
      </c>
      <c r="AX10" s="97">
        <f t="shared" ca="1" si="25"/>
        <v>4</v>
      </c>
      <c r="AY10" s="97">
        <f t="shared" ca="1" si="25"/>
        <v>4</v>
      </c>
      <c r="AZ10" s="97">
        <f t="shared" ca="1" si="25"/>
        <v>4</v>
      </c>
      <c r="BA10" s="97">
        <f t="shared" ca="1" si="25"/>
        <v>4</v>
      </c>
      <c r="BB10" s="97">
        <f t="shared" ca="1" si="25"/>
        <v>4</v>
      </c>
      <c r="BC10" s="97">
        <f t="shared" ca="1" si="25"/>
        <v>5</v>
      </c>
      <c r="BD10" s="97">
        <f t="shared" ca="1" si="25"/>
        <v>5</v>
      </c>
      <c r="BE10" s="97">
        <f t="shared" ca="1" si="25"/>
        <v>5</v>
      </c>
      <c r="BF10" s="97">
        <f t="shared" ca="1" si="25"/>
        <v>5</v>
      </c>
      <c r="BG10" s="97">
        <f t="shared" ca="1" si="25"/>
        <v>5</v>
      </c>
      <c r="BH10" s="97">
        <f t="shared" ca="1" si="25"/>
        <v>5</v>
      </c>
      <c r="BI10" s="97">
        <f t="shared" ca="1" si="25"/>
        <v>5</v>
      </c>
      <c r="BJ10" s="97">
        <f t="shared" ca="1" si="25"/>
        <v>5</v>
      </c>
      <c r="BK10" s="97">
        <f t="shared" ca="1" si="25"/>
        <v>5</v>
      </c>
      <c r="BL10" s="97">
        <f t="shared" ca="1" si="25"/>
        <v>5</v>
      </c>
      <c r="BM10" s="97">
        <f t="shared" ca="1" si="25"/>
        <v>5</v>
      </c>
      <c r="BN10" s="97">
        <f t="shared" ca="1" si="25"/>
        <v>5</v>
      </c>
      <c r="BO10" s="97">
        <f t="shared" ca="1" si="25"/>
        <v>6</v>
      </c>
      <c r="BP10" s="97">
        <f t="shared" ca="1" si="25"/>
        <v>6</v>
      </c>
      <c r="BQ10" s="97">
        <f t="shared" ca="1" si="25"/>
        <v>6</v>
      </c>
      <c r="BR10" s="97">
        <f t="shared" ca="1" si="25"/>
        <v>6</v>
      </c>
      <c r="BS10" s="97">
        <f t="shared" ca="1" si="25"/>
        <v>6</v>
      </c>
      <c r="BT10" s="97">
        <f t="shared" ref="BT10:EE10" ca="1" si="26">IF(BT$9&lt;&gt;"",BT$9,BT$8)</f>
        <v>6</v>
      </c>
      <c r="BU10" s="97">
        <f t="shared" ca="1" si="26"/>
        <v>6</v>
      </c>
      <c r="BV10" s="97">
        <f t="shared" ca="1" si="26"/>
        <v>6</v>
      </c>
      <c r="BW10" s="97">
        <f t="shared" ca="1" si="26"/>
        <v>6</v>
      </c>
      <c r="BX10" s="97">
        <f t="shared" ca="1" si="26"/>
        <v>6</v>
      </c>
      <c r="BY10" s="97">
        <f t="shared" ca="1" si="26"/>
        <v>6</v>
      </c>
      <c r="BZ10" s="97">
        <f t="shared" ca="1" si="26"/>
        <v>6</v>
      </c>
      <c r="CA10" s="97">
        <f t="shared" ca="1" si="26"/>
        <v>7</v>
      </c>
      <c r="CB10" s="97">
        <f t="shared" ca="1" si="26"/>
        <v>7</v>
      </c>
      <c r="CC10" s="97">
        <f t="shared" ca="1" si="26"/>
        <v>7</v>
      </c>
      <c r="CD10" s="97">
        <f t="shared" ca="1" si="26"/>
        <v>7</v>
      </c>
      <c r="CE10" s="97">
        <f t="shared" ca="1" si="26"/>
        <v>7</v>
      </c>
      <c r="CF10" s="97">
        <f t="shared" ca="1" si="26"/>
        <v>7</v>
      </c>
      <c r="CG10" s="97">
        <f t="shared" ca="1" si="26"/>
        <v>7</v>
      </c>
      <c r="CH10" s="97">
        <f t="shared" ca="1" si="26"/>
        <v>7</v>
      </c>
      <c r="CI10" s="97">
        <f t="shared" ca="1" si="26"/>
        <v>7</v>
      </c>
      <c r="CJ10" s="97">
        <f t="shared" ca="1" si="26"/>
        <v>7</v>
      </c>
      <c r="CK10" s="97">
        <f t="shared" ca="1" si="26"/>
        <v>7</v>
      </c>
      <c r="CL10" s="97">
        <f t="shared" ca="1" si="26"/>
        <v>7</v>
      </c>
      <c r="CM10" s="97">
        <f t="shared" ca="1" si="26"/>
        <v>8</v>
      </c>
      <c r="CN10" s="97">
        <f t="shared" ca="1" si="26"/>
        <v>8</v>
      </c>
      <c r="CO10" s="97">
        <f t="shared" ca="1" si="26"/>
        <v>8</v>
      </c>
      <c r="CP10" s="97">
        <f t="shared" ca="1" si="26"/>
        <v>8</v>
      </c>
      <c r="CQ10" s="97">
        <f t="shared" ca="1" si="26"/>
        <v>8</v>
      </c>
      <c r="CR10" s="97">
        <f t="shared" ca="1" si="26"/>
        <v>8</v>
      </c>
      <c r="CS10" s="97">
        <f t="shared" ca="1" si="26"/>
        <v>8</v>
      </c>
      <c r="CT10" s="97">
        <f t="shared" ca="1" si="26"/>
        <v>8</v>
      </c>
      <c r="CU10" s="97">
        <f t="shared" ca="1" si="26"/>
        <v>8</v>
      </c>
      <c r="CV10" s="97">
        <f t="shared" ca="1" si="26"/>
        <v>8</v>
      </c>
      <c r="CW10" s="97">
        <f t="shared" ca="1" si="26"/>
        <v>8</v>
      </c>
      <c r="CX10" s="97">
        <f t="shared" ca="1" si="26"/>
        <v>8</v>
      </c>
      <c r="CY10" s="97">
        <f t="shared" ca="1" si="26"/>
        <v>9</v>
      </c>
      <c r="CZ10" s="97">
        <f t="shared" ca="1" si="26"/>
        <v>9</v>
      </c>
      <c r="DA10" s="97">
        <f t="shared" ca="1" si="26"/>
        <v>9</v>
      </c>
      <c r="DB10" s="97">
        <f t="shared" ca="1" si="26"/>
        <v>9</v>
      </c>
      <c r="DC10" s="97">
        <f t="shared" ca="1" si="26"/>
        <v>9</v>
      </c>
      <c r="DD10" s="97">
        <f t="shared" ca="1" si="26"/>
        <v>9</v>
      </c>
      <c r="DE10" s="97">
        <f t="shared" ca="1" si="26"/>
        <v>9</v>
      </c>
      <c r="DF10" s="97">
        <f t="shared" ca="1" si="26"/>
        <v>9</v>
      </c>
      <c r="DG10" s="97">
        <f t="shared" ca="1" si="26"/>
        <v>9</v>
      </c>
      <c r="DH10" s="97">
        <f t="shared" ca="1" si="26"/>
        <v>9</v>
      </c>
      <c r="DI10" s="97">
        <f t="shared" ca="1" si="26"/>
        <v>9</v>
      </c>
      <c r="DJ10" s="97">
        <f t="shared" ca="1" si="26"/>
        <v>9</v>
      </c>
      <c r="DK10" s="97">
        <f t="shared" si="26"/>
        <v>1</v>
      </c>
      <c r="DL10" s="97">
        <f t="shared" si="26"/>
        <v>2</v>
      </c>
      <c r="DM10" s="97">
        <f t="shared" si="26"/>
        <v>1</v>
      </c>
      <c r="DN10" s="97">
        <f t="shared" si="26"/>
        <v>2</v>
      </c>
      <c r="DO10" s="97">
        <f t="shared" ca="1" si="26"/>
        <v>9</v>
      </c>
      <c r="DP10" s="97">
        <f t="shared" ca="1" si="26"/>
        <v>9</v>
      </c>
      <c r="DQ10" s="97">
        <f t="shared" ca="1" si="26"/>
        <v>9</v>
      </c>
      <c r="DR10" s="97">
        <f t="shared" ca="1" si="26"/>
        <v>9</v>
      </c>
      <c r="DS10" s="97">
        <f t="shared" ca="1" si="26"/>
        <v>9</v>
      </c>
      <c r="DT10" s="97">
        <f t="shared" ca="1" si="26"/>
        <v>9</v>
      </c>
      <c r="DU10" s="97">
        <f t="shared" ca="1" si="26"/>
        <v>9</v>
      </c>
      <c r="DV10" s="97">
        <f t="shared" ca="1" si="26"/>
        <v>9</v>
      </c>
      <c r="DW10" s="97">
        <f t="shared" ca="1" si="26"/>
        <v>9</v>
      </c>
      <c r="DX10" s="97">
        <f t="shared" ca="1" si="26"/>
        <v>9</v>
      </c>
      <c r="DY10" s="97">
        <f t="shared" ca="1" si="26"/>
        <v>9</v>
      </c>
      <c r="DZ10" s="97">
        <f t="shared" ca="1" si="26"/>
        <v>9</v>
      </c>
      <c r="EA10" s="97">
        <f t="shared" ca="1" si="26"/>
        <v>9</v>
      </c>
      <c r="EB10" s="97">
        <f t="shared" ca="1" si="26"/>
        <v>9</v>
      </c>
      <c r="EC10" s="97">
        <f t="shared" ca="1" si="26"/>
        <v>9</v>
      </c>
      <c r="ED10" s="97">
        <f t="shared" ca="1" si="26"/>
        <v>9</v>
      </c>
      <c r="EE10" s="97">
        <f t="shared" ca="1" si="26"/>
        <v>9</v>
      </c>
      <c r="EF10" s="97">
        <f t="shared" ref="EF10:GQ10" si="27">IF(EF$9&lt;&gt;"",EF$9,EF$8)</f>
        <v>3</v>
      </c>
      <c r="EG10" s="97">
        <f t="shared" si="27"/>
        <v>4</v>
      </c>
      <c r="EH10" s="97">
        <f t="shared" si="27"/>
        <v>3</v>
      </c>
      <c r="EI10" s="97">
        <f t="shared" si="27"/>
        <v>4</v>
      </c>
      <c r="EJ10" s="97">
        <f t="shared" ca="1" si="27"/>
        <v>9</v>
      </c>
      <c r="EK10" s="97">
        <f t="shared" ca="1" si="27"/>
        <v>9</v>
      </c>
      <c r="EL10" s="97">
        <f t="shared" ca="1" si="27"/>
        <v>9</v>
      </c>
      <c r="EM10" s="97">
        <f t="shared" ca="1" si="27"/>
        <v>9</v>
      </c>
      <c r="EN10" s="97">
        <f t="shared" ca="1" si="27"/>
        <v>9</v>
      </c>
      <c r="EO10" s="97">
        <f t="shared" ca="1" si="27"/>
        <v>9</v>
      </c>
      <c r="EP10" s="97">
        <f t="shared" ca="1" si="27"/>
        <v>9</v>
      </c>
      <c r="EQ10" s="97">
        <f t="shared" ca="1" si="27"/>
        <v>9</v>
      </c>
      <c r="ER10" s="97">
        <f t="shared" ca="1" si="27"/>
        <v>9</v>
      </c>
      <c r="ES10" s="97">
        <f t="shared" ca="1" si="27"/>
        <v>9</v>
      </c>
      <c r="ET10" s="97">
        <f t="shared" ca="1" si="27"/>
        <v>9</v>
      </c>
      <c r="EU10" s="97">
        <f t="shared" ca="1" si="27"/>
        <v>9</v>
      </c>
      <c r="EV10" s="97">
        <f t="shared" ca="1" si="27"/>
        <v>9</v>
      </c>
      <c r="EW10" s="97">
        <f t="shared" ca="1" si="27"/>
        <v>9</v>
      </c>
      <c r="EX10" s="97">
        <f t="shared" ca="1" si="27"/>
        <v>9</v>
      </c>
      <c r="EY10" s="97">
        <f t="shared" ca="1" si="27"/>
        <v>9</v>
      </c>
      <c r="EZ10" s="97">
        <f t="shared" ca="1" si="27"/>
        <v>9</v>
      </c>
      <c r="FA10" s="97">
        <f t="shared" si="27"/>
        <v>5</v>
      </c>
      <c r="FB10" s="97">
        <f t="shared" si="27"/>
        <v>6</v>
      </c>
      <c r="FC10" s="97">
        <f t="shared" si="27"/>
        <v>5</v>
      </c>
      <c r="FD10" s="97">
        <f t="shared" si="27"/>
        <v>6</v>
      </c>
      <c r="FE10" s="97">
        <f t="shared" ca="1" si="27"/>
        <v>9</v>
      </c>
      <c r="FF10" s="97">
        <f t="shared" ca="1" si="27"/>
        <v>9</v>
      </c>
      <c r="FG10" s="97">
        <f t="shared" ca="1" si="27"/>
        <v>9</v>
      </c>
      <c r="FH10" s="97">
        <f t="shared" ca="1" si="27"/>
        <v>9</v>
      </c>
      <c r="FI10" s="97">
        <f t="shared" ca="1" si="27"/>
        <v>9</v>
      </c>
      <c r="FJ10" s="97">
        <f t="shared" ca="1" si="27"/>
        <v>9</v>
      </c>
      <c r="FK10" s="97">
        <f t="shared" ca="1" si="27"/>
        <v>9</v>
      </c>
      <c r="FL10" s="97">
        <f t="shared" ca="1" si="27"/>
        <v>9</v>
      </c>
      <c r="FM10" s="97">
        <f t="shared" ca="1" si="27"/>
        <v>9</v>
      </c>
      <c r="FN10" s="97">
        <f t="shared" ca="1" si="27"/>
        <v>9</v>
      </c>
      <c r="FO10" s="97">
        <f t="shared" ca="1" si="27"/>
        <v>9</v>
      </c>
      <c r="FP10" s="97">
        <f t="shared" ca="1" si="27"/>
        <v>9</v>
      </c>
      <c r="FQ10" s="97">
        <f t="shared" ca="1" si="27"/>
        <v>9</v>
      </c>
      <c r="FR10" s="97">
        <f t="shared" ca="1" si="27"/>
        <v>9</v>
      </c>
      <c r="FS10" s="97">
        <f t="shared" ca="1" si="27"/>
        <v>9</v>
      </c>
      <c r="FT10" s="97">
        <f t="shared" ca="1" si="27"/>
        <v>9</v>
      </c>
      <c r="FU10" s="97">
        <f t="shared" ca="1" si="27"/>
        <v>9</v>
      </c>
      <c r="FV10" s="97">
        <f t="shared" si="27"/>
        <v>7</v>
      </c>
      <c r="FW10" s="97">
        <f t="shared" si="27"/>
        <v>8</v>
      </c>
      <c r="FX10" s="97">
        <f t="shared" si="27"/>
        <v>9</v>
      </c>
      <c r="FY10" s="97">
        <f t="shared" si="27"/>
        <v>7</v>
      </c>
      <c r="FZ10" s="97">
        <f t="shared" si="27"/>
        <v>8</v>
      </c>
      <c r="GA10" s="97">
        <f t="shared" si="27"/>
        <v>9</v>
      </c>
      <c r="GB10" s="97">
        <f t="shared" ca="1" si="27"/>
        <v>9</v>
      </c>
      <c r="GC10" s="97">
        <f t="shared" ca="1" si="27"/>
        <v>9</v>
      </c>
      <c r="GD10" s="97">
        <f t="shared" ca="1" si="27"/>
        <v>9</v>
      </c>
      <c r="GE10" s="97">
        <f t="shared" ca="1" si="27"/>
        <v>9</v>
      </c>
      <c r="GF10" s="97">
        <f t="shared" ca="1" si="27"/>
        <v>9</v>
      </c>
      <c r="GG10" s="97">
        <f t="shared" ca="1" si="27"/>
        <v>9</v>
      </c>
      <c r="GH10" s="97">
        <f t="shared" ca="1" si="27"/>
        <v>9</v>
      </c>
      <c r="GI10" s="97">
        <f t="shared" ca="1" si="27"/>
        <v>9</v>
      </c>
      <c r="GJ10" s="97">
        <f t="shared" ca="1" si="27"/>
        <v>9</v>
      </c>
      <c r="GK10" s="97">
        <f t="shared" ca="1" si="27"/>
        <v>9</v>
      </c>
      <c r="GL10" s="97">
        <f t="shared" ca="1" si="27"/>
        <v>9</v>
      </c>
      <c r="GM10" s="97">
        <f t="shared" ca="1" si="27"/>
        <v>9</v>
      </c>
      <c r="GN10" s="97">
        <f t="shared" ca="1" si="27"/>
        <v>9</v>
      </c>
      <c r="GO10" s="97">
        <f t="shared" ca="1" si="27"/>
        <v>9</v>
      </c>
      <c r="GP10" s="97">
        <f t="shared" ca="1" si="27"/>
        <v>9</v>
      </c>
      <c r="GQ10" s="97">
        <f t="shared" ca="1" si="27"/>
        <v>9</v>
      </c>
      <c r="GR10" s="97">
        <f t="shared" ref="GR10:JC10" ca="1" si="28">IF(GR$9&lt;&gt;"",GR$9,GR$8)</f>
        <v>9</v>
      </c>
      <c r="GS10" s="97">
        <f t="shared" ca="1" si="28"/>
        <v>9</v>
      </c>
      <c r="GT10" s="97">
        <f t="shared" ca="1" si="28"/>
        <v>9</v>
      </c>
      <c r="GU10" s="97">
        <f t="shared" ca="1" si="28"/>
        <v>9</v>
      </c>
      <c r="GV10" s="97">
        <f t="shared" ca="1" si="28"/>
        <v>9</v>
      </c>
      <c r="GW10" s="97">
        <f t="shared" ca="1" si="28"/>
        <v>9</v>
      </c>
      <c r="GX10" s="97">
        <f t="shared" ca="1" si="28"/>
        <v>9</v>
      </c>
      <c r="GY10" s="97">
        <f t="shared" ca="1" si="28"/>
        <v>9</v>
      </c>
      <c r="GZ10" s="97">
        <f t="shared" ca="1" si="28"/>
        <v>9</v>
      </c>
      <c r="HA10" s="97">
        <f t="shared" si="28"/>
        <v>31</v>
      </c>
      <c r="HB10" s="97">
        <f t="shared" si="28"/>
        <v>31</v>
      </c>
      <c r="HC10" s="97">
        <f t="shared" si="28"/>
        <v>31</v>
      </c>
      <c r="HD10" s="97">
        <f t="shared" si="28"/>
        <v>31</v>
      </c>
      <c r="HE10" s="97">
        <f t="shared" si="28"/>
        <v>31</v>
      </c>
      <c r="HF10" s="97">
        <f t="shared" si="28"/>
        <v>31</v>
      </c>
      <c r="HG10" s="97">
        <f t="shared" ca="1" si="28"/>
        <v>9</v>
      </c>
      <c r="HH10" s="97">
        <f t="shared" ca="1" si="28"/>
        <v>9</v>
      </c>
      <c r="HI10" s="97">
        <f t="shared" ca="1" si="28"/>
        <v>9</v>
      </c>
      <c r="HJ10" s="97">
        <f t="shared" ca="1" si="28"/>
        <v>9</v>
      </c>
      <c r="HK10" s="97">
        <f t="shared" ca="1" si="28"/>
        <v>9</v>
      </c>
      <c r="HL10" s="97">
        <f t="shared" ca="1" si="28"/>
        <v>9</v>
      </c>
      <c r="HM10" s="97">
        <f t="shared" ca="1" si="28"/>
        <v>9</v>
      </c>
      <c r="HN10" s="97">
        <f t="shared" si="28"/>
        <v>31</v>
      </c>
      <c r="HO10" s="97">
        <f t="shared" ca="1" si="28"/>
        <v>9</v>
      </c>
      <c r="HP10" s="97">
        <f t="shared" ca="1" si="28"/>
        <v>10</v>
      </c>
      <c r="HQ10" s="97">
        <f t="shared" ca="1" si="28"/>
        <v>10</v>
      </c>
      <c r="HR10" s="97">
        <f t="shared" ca="1" si="28"/>
        <v>10</v>
      </c>
      <c r="HS10" s="97">
        <f t="shared" ca="1" si="28"/>
        <v>10</v>
      </c>
      <c r="HT10" s="97">
        <f t="shared" ca="1" si="28"/>
        <v>10</v>
      </c>
      <c r="HU10" s="97">
        <f t="shared" ca="1" si="28"/>
        <v>10</v>
      </c>
      <c r="HV10" s="97">
        <f t="shared" ca="1" si="28"/>
        <v>10</v>
      </c>
      <c r="HW10" s="97">
        <f t="shared" ca="1" si="28"/>
        <v>10</v>
      </c>
      <c r="HX10" s="97">
        <f t="shared" ca="1" si="28"/>
        <v>10</v>
      </c>
      <c r="HY10" s="97">
        <f t="shared" ca="1" si="28"/>
        <v>11</v>
      </c>
      <c r="HZ10" s="97">
        <f t="shared" ca="1" si="28"/>
        <v>11</v>
      </c>
      <c r="IA10" s="97">
        <f t="shared" ca="1" si="28"/>
        <v>11</v>
      </c>
      <c r="IB10" s="97">
        <f t="shared" ca="1" si="28"/>
        <v>11</v>
      </c>
      <c r="IC10" s="97">
        <f t="shared" ca="1" si="28"/>
        <v>11</v>
      </c>
      <c r="ID10" s="97">
        <f t="shared" ca="1" si="28"/>
        <v>11</v>
      </c>
      <c r="IE10" s="97">
        <f t="shared" ca="1" si="28"/>
        <v>11</v>
      </c>
      <c r="IF10" s="97">
        <f t="shared" ca="1" si="28"/>
        <v>11</v>
      </c>
      <c r="IG10" s="97">
        <f t="shared" ca="1" si="28"/>
        <v>11</v>
      </c>
      <c r="IH10" s="97">
        <f t="shared" ca="1" si="28"/>
        <v>12</v>
      </c>
      <c r="II10" s="97">
        <f t="shared" ca="1" si="28"/>
        <v>12</v>
      </c>
      <c r="IJ10" s="97">
        <f t="shared" ca="1" si="28"/>
        <v>12</v>
      </c>
      <c r="IK10" s="97">
        <f t="shared" ca="1" si="28"/>
        <v>12</v>
      </c>
      <c r="IL10" s="97">
        <f t="shared" ca="1" si="28"/>
        <v>12</v>
      </c>
      <c r="IM10" s="97">
        <f t="shared" ca="1" si="28"/>
        <v>12</v>
      </c>
      <c r="IN10" s="97">
        <f t="shared" ca="1" si="28"/>
        <v>12</v>
      </c>
      <c r="IO10" s="97">
        <f t="shared" ca="1" si="28"/>
        <v>12</v>
      </c>
      <c r="IP10" s="97">
        <f t="shared" ca="1" si="28"/>
        <v>12</v>
      </c>
      <c r="IQ10" s="97">
        <f t="shared" ca="1" si="28"/>
        <v>13</v>
      </c>
      <c r="IR10" s="97">
        <f t="shared" ca="1" si="28"/>
        <v>13</v>
      </c>
      <c r="IS10" s="97">
        <f t="shared" ca="1" si="28"/>
        <v>13</v>
      </c>
      <c r="IT10" s="97">
        <f t="shared" ca="1" si="28"/>
        <v>13</v>
      </c>
      <c r="IU10" s="97">
        <f t="shared" ca="1" si="28"/>
        <v>13</v>
      </c>
      <c r="IV10" s="97">
        <f t="shared" ca="1" si="28"/>
        <v>13</v>
      </c>
      <c r="IW10" s="97">
        <f t="shared" ca="1" si="28"/>
        <v>13</v>
      </c>
      <c r="IX10" s="97">
        <f t="shared" ca="1" si="28"/>
        <v>13</v>
      </c>
      <c r="IY10" s="97">
        <f t="shared" ca="1" si="28"/>
        <v>13</v>
      </c>
      <c r="IZ10" s="97">
        <f t="shared" ca="1" si="28"/>
        <v>14</v>
      </c>
      <c r="JA10" s="97">
        <f t="shared" ca="1" si="28"/>
        <v>14</v>
      </c>
      <c r="JB10" s="97">
        <f t="shared" ca="1" si="28"/>
        <v>14</v>
      </c>
      <c r="JC10" s="97">
        <f t="shared" ca="1" si="28"/>
        <v>14</v>
      </c>
      <c r="JD10" s="97">
        <f t="shared" ref="JD10:LO10" ca="1" si="29">IF(JD$9&lt;&gt;"",JD$9,JD$8)</f>
        <v>14</v>
      </c>
      <c r="JE10" s="97">
        <f t="shared" ca="1" si="29"/>
        <v>14</v>
      </c>
      <c r="JF10" s="97">
        <f t="shared" ca="1" si="29"/>
        <v>14</v>
      </c>
      <c r="JG10" s="97">
        <f t="shared" ca="1" si="29"/>
        <v>14</v>
      </c>
      <c r="JH10" s="97">
        <f t="shared" ca="1" si="29"/>
        <v>14</v>
      </c>
      <c r="JI10" s="97">
        <f t="shared" ca="1" si="29"/>
        <v>15</v>
      </c>
      <c r="JJ10" s="97">
        <f t="shared" ca="1" si="29"/>
        <v>15</v>
      </c>
      <c r="JK10" s="97">
        <f t="shared" ca="1" si="29"/>
        <v>15</v>
      </c>
      <c r="JL10" s="97">
        <f t="shared" ca="1" si="29"/>
        <v>15</v>
      </c>
      <c r="JM10" s="97">
        <f t="shared" ca="1" si="29"/>
        <v>15</v>
      </c>
      <c r="JN10" s="97">
        <f t="shared" ca="1" si="29"/>
        <v>15</v>
      </c>
      <c r="JO10" s="97">
        <f t="shared" ca="1" si="29"/>
        <v>15</v>
      </c>
      <c r="JP10" s="97">
        <f t="shared" ca="1" si="29"/>
        <v>15</v>
      </c>
      <c r="JQ10" s="97">
        <f t="shared" ca="1" si="29"/>
        <v>15</v>
      </c>
      <c r="JR10" s="97">
        <f t="shared" si="29"/>
        <v>10</v>
      </c>
      <c r="JS10" s="97">
        <f t="shared" si="29"/>
        <v>11</v>
      </c>
      <c r="JT10" s="97">
        <f t="shared" si="29"/>
        <v>12</v>
      </c>
      <c r="JU10" s="97">
        <f t="shared" si="29"/>
        <v>13</v>
      </c>
      <c r="JV10" s="97">
        <f t="shared" si="29"/>
        <v>14</v>
      </c>
      <c r="JW10" s="97">
        <f t="shared" si="29"/>
        <v>15</v>
      </c>
      <c r="JX10" s="97">
        <f t="shared" ca="1" si="29"/>
        <v>15</v>
      </c>
      <c r="JY10" s="97">
        <f t="shared" ca="1" si="29"/>
        <v>15</v>
      </c>
      <c r="JZ10" s="97">
        <f t="shared" ca="1" si="29"/>
        <v>15</v>
      </c>
      <c r="KA10" s="97">
        <f t="shared" ca="1" si="29"/>
        <v>15</v>
      </c>
      <c r="KB10" s="97">
        <f t="shared" ca="1" si="29"/>
        <v>15</v>
      </c>
      <c r="KC10" s="97">
        <f t="shared" ca="1" si="29"/>
        <v>15</v>
      </c>
      <c r="KD10" s="97">
        <f t="shared" ca="1" si="29"/>
        <v>15</v>
      </c>
      <c r="KE10" s="97">
        <f t="shared" ca="1" si="29"/>
        <v>15</v>
      </c>
      <c r="KF10" s="97">
        <f t="shared" ca="1" si="29"/>
        <v>15</v>
      </c>
      <c r="KG10" s="97">
        <f t="shared" ca="1" si="29"/>
        <v>15</v>
      </c>
      <c r="KH10" s="97">
        <f t="shared" ca="1" si="29"/>
        <v>15</v>
      </c>
      <c r="KI10" s="97">
        <f t="shared" ca="1" si="29"/>
        <v>15</v>
      </c>
      <c r="KJ10" s="97">
        <f t="shared" ca="1" si="29"/>
        <v>15</v>
      </c>
      <c r="KK10" s="97">
        <f t="shared" ca="1" si="29"/>
        <v>15</v>
      </c>
      <c r="KL10" s="97">
        <f t="shared" ca="1" si="29"/>
        <v>15</v>
      </c>
      <c r="KM10" s="97">
        <f t="shared" ca="1" si="29"/>
        <v>15</v>
      </c>
      <c r="KN10" s="97">
        <f t="shared" ca="1" si="29"/>
        <v>15</v>
      </c>
      <c r="KO10" s="97">
        <f t="shared" ca="1" si="29"/>
        <v>15</v>
      </c>
      <c r="KP10" s="97">
        <f t="shared" ca="1" si="29"/>
        <v>15</v>
      </c>
      <c r="KQ10" s="97">
        <f t="shared" ca="1" si="29"/>
        <v>15</v>
      </c>
      <c r="KR10" s="97">
        <f t="shared" ca="1" si="29"/>
        <v>15</v>
      </c>
      <c r="KS10" s="97">
        <f t="shared" ca="1" si="29"/>
        <v>15</v>
      </c>
      <c r="KT10" s="97">
        <f t="shared" ca="1" si="29"/>
        <v>15</v>
      </c>
      <c r="KU10" s="97">
        <f t="shared" ca="1" si="29"/>
        <v>15</v>
      </c>
      <c r="KV10" s="97">
        <f t="shared" ca="1" si="29"/>
        <v>15</v>
      </c>
      <c r="KW10" s="97">
        <f t="shared" ca="1" si="29"/>
        <v>15</v>
      </c>
      <c r="KX10" s="97">
        <f t="shared" ca="1" si="29"/>
        <v>15</v>
      </c>
      <c r="KY10" s="97">
        <f t="shared" ca="1" si="29"/>
        <v>15</v>
      </c>
      <c r="KZ10" s="97">
        <f t="shared" ca="1" si="29"/>
        <v>15</v>
      </c>
      <c r="LA10" s="97">
        <f t="shared" ca="1" si="29"/>
        <v>15</v>
      </c>
      <c r="LB10" s="97">
        <f t="shared" ca="1" si="29"/>
        <v>15</v>
      </c>
      <c r="LC10" s="97">
        <f t="shared" ca="1" si="29"/>
        <v>15</v>
      </c>
      <c r="LD10" s="97">
        <f t="shared" ca="1" si="29"/>
        <v>15</v>
      </c>
      <c r="LE10" s="97">
        <f t="shared" ca="1" si="29"/>
        <v>15</v>
      </c>
      <c r="LF10" s="97">
        <f t="shared" ca="1" si="29"/>
        <v>15</v>
      </c>
      <c r="LG10" s="97">
        <f t="shared" ca="1" si="29"/>
        <v>15</v>
      </c>
      <c r="LH10" s="97">
        <f t="shared" ca="1" si="29"/>
        <v>15</v>
      </c>
      <c r="LI10" s="97">
        <f t="shared" ca="1" si="29"/>
        <v>15</v>
      </c>
      <c r="LJ10" s="97">
        <f t="shared" ca="1" si="29"/>
        <v>15</v>
      </c>
      <c r="LK10" s="97">
        <f t="shared" ca="1" si="29"/>
        <v>15</v>
      </c>
      <c r="LL10" s="97">
        <f t="shared" ca="1" si="29"/>
        <v>15</v>
      </c>
      <c r="LM10" s="97">
        <f t="shared" ca="1" si="29"/>
        <v>15</v>
      </c>
      <c r="LN10" s="97">
        <f t="shared" ca="1" si="29"/>
        <v>15</v>
      </c>
      <c r="LO10" s="97">
        <f t="shared" ca="1" si="29"/>
        <v>15</v>
      </c>
      <c r="LP10" s="97">
        <f t="shared" ref="LP10:OA10" ca="1" si="30">IF(LP$9&lt;&gt;"",LP$9,LP$8)</f>
        <v>15</v>
      </c>
      <c r="LQ10" s="97">
        <f t="shared" ca="1" si="30"/>
        <v>15</v>
      </c>
      <c r="LR10" s="97">
        <f t="shared" ca="1" si="30"/>
        <v>15</v>
      </c>
      <c r="LS10" s="97">
        <f t="shared" ca="1" si="30"/>
        <v>15</v>
      </c>
      <c r="LT10" s="97">
        <f t="shared" ca="1" si="30"/>
        <v>15</v>
      </c>
      <c r="LU10" s="97">
        <f t="shared" ca="1" si="30"/>
        <v>15</v>
      </c>
      <c r="LV10" s="97">
        <f t="shared" ca="1" si="30"/>
        <v>15</v>
      </c>
      <c r="LW10" s="97">
        <f t="shared" ca="1" si="30"/>
        <v>15</v>
      </c>
      <c r="LX10" s="97">
        <f t="shared" ca="1" si="30"/>
        <v>15</v>
      </c>
      <c r="LY10" s="97">
        <f t="shared" ca="1" si="30"/>
        <v>15</v>
      </c>
      <c r="LZ10" s="97">
        <f t="shared" ca="1" si="30"/>
        <v>15</v>
      </c>
      <c r="MA10" s="97">
        <f t="shared" ca="1" si="30"/>
        <v>15</v>
      </c>
      <c r="MB10" s="97">
        <f t="shared" ca="1" si="30"/>
        <v>15</v>
      </c>
      <c r="MC10" s="97">
        <f t="shared" ca="1" si="30"/>
        <v>15</v>
      </c>
      <c r="MD10" s="97">
        <f t="shared" ca="1" si="30"/>
        <v>15</v>
      </c>
      <c r="ME10" s="97">
        <f t="shared" ca="1" si="30"/>
        <v>15</v>
      </c>
      <c r="MF10" s="97">
        <f t="shared" ca="1" si="30"/>
        <v>15</v>
      </c>
      <c r="MG10" s="97">
        <f t="shared" ca="1" si="30"/>
        <v>15</v>
      </c>
      <c r="MH10" s="97">
        <f t="shared" ca="1" si="30"/>
        <v>15</v>
      </c>
      <c r="MI10" s="97">
        <f t="shared" ca="1" si="30"/>
        <v>15</v>
      </c>
      <c r="MJ10" s="97">
        <f t="shared" ca="1" si="30"/>
        <v>15</v>
      </c>
      <c r="MK10" s="97">
        <f t="shared" ca="1" si="30"/>
        <v>15</v>
      </c>
      <c r="ML10" s="97">
        <f t="shared" ca="1" si="30"/>
        <v>15</v>
      </c>
      <c r="MM10" s="97">
        <f t="shared" ca="1" si="30"/>
        <v>15</v>
      </c>
      <c r="MN10" s="97">
        <f t="shared" ca="1" si="30"/>
        <v>15</v>
      </c>
      <c r="MO10" s="97">
        <f t="shared" ca="1" si="30"/>
        <v>15</v>
      </c>
      <c r="MP10" s="97">
        <f t="shared" ca="1" si="30"/>
        <v>15</v>
      </c>
      <c r="MQ10" s="97">
        <f t="shared" ca="1" si="30"/>
        <v>15</v>
      </c>
      <c r="MR10" s="97">
        <f t="shared" ca="1" si="30"/>
        <v>15</v>
      </c>
      <c r="MS10" s="97">
        <f t="shared" ca="1" si="30"/>
        <v>15</v>
      </c>
      <c r="MT10" s="97">
        <f t="shared" ca="1" si="30"/>
        <v>15</v>
      </c>
      <c r="MU10" s="97">
        <f t="shared" ca="1" si="30"/>
        <v>15</v>
      </c>
      <c r="MV10" s="97">
        <f t="shared" ca="1" si="30"/>
        <v>15</v>
      </c>
      <c r="MW10" s="97">
        <f t="shared" ca="1" si="30"/>
        <v>15</v>
      </c>
      <c r="MX10" s="97">
        <f t="shared" ca="1" si="30"/>
        <v>15</v>
      </c>
      <c r="MY10" s="97">
        <f t="shared" si="30"/>
        <v>36</v>
      </c>
      <c r="MZ10" s="97">
        <f t="shared" ca="1" si="30"/>
        <v>15</v>
      </c>
      <c r="NA10" s="97">
        <f t="shared" ca="1" si="30"/>
        <v>15</v>
      </c>
      <c r="NB10" s="97">
        <f t="shared" si="30"/>
        <v>36</v>
      </c>
      <c r="NC10" s="97">
        <f t="shared" ca="1" si="30"/>
        <v>15</v>
      </c>
      <c r="ND10" s="97">
        <f t="shared" ca="1" si="30"/>
        <v>15</v>
      </c>
      <c r="NE10" s="97">
        <f t="shared" si="30"/>
        <v>36</v>
      </c>
      <c r="NF10" s="97">
        <f t="shared" ca="1" si="30"/>
        <v>15</v>
      </c>
      <c r="NG10" s="97">
        <f t="shared" ca="1" si="30"/>
        <v>16</v>
      </c>
      <c r="NH10" s="97">
        <f t="shared" ca="1" si="30"/>
        <v>16</v>
      </c>
      <c r="NI10" s="97">
        <f t="shared" ca="1" si="30"/>
        <v>16</v>
      </c>
      <c r="NJ10" s="97">
        <f t="shared" ca="1" si="30"/>
        <v>16</v>
      </c>
      <c r="NK10" s="97">
        <f t="shared" ca="1" si="30"/>
        <v>16</v>
      </c>
      <c r="NL10" s="97">
        <f t="shared" ca="1" si="30"/>
        <v>16</v>
      </c>
      <c r="NM10" s="97">
        <f t="shared" ca="1" si="30"/>
        <v>16</v>
      </c>
      <c r="NN10" s="97">
        <f t="shared" ca="1" si="30"/>
        <v>16</v>
      </c>
      <c r="NO10" s="97">
        <f t="shared" ca="1" si="30"/>
        <v>16</v>
      </c>
      <c r="NP10" s="97">
        <f t="shared" ca="1" si="30"/>
        <v>16</v>
      </c>
      <c r="NQ10" s="97">
        <f t="shared" ca="1" si="30"/>
        <v>16</v>
      </c>
      <c r="NR10" s="97">
        <f t="shared" ca="1" si="30"/>
        <v>16</v>
      </c>
      <c r="NS10" s="97">
        <f t="shared" ca="1" si="30"/>
        <v>16</v>
      </c>
      <c r="NT10" s="97">
        <f t="shared" si="30"/>
        <v>36</v>
      </c>
      <c r="NU10" s="97">
        <f t="shared" si="30"/>
        <v>16</v>
      </c>
      <c r="NV10" s="97">
        <f t="shared" si="30"/>
        <v>36</v>
      </c>
      <c r="NW10" s="97">
        <f t="shared" si="30"/>
        <v>16</v>
      </c>
      <c r="NX10" s="97">
        <f t="shared" ca="1" si="30"/>
        <v>16</v>
      </c>
      <c r="NY10" s="97">
        <f t="shared" ca="1" si="30"/>
        <v>16</v>
      </c>
      <c r="NZ10" s="97">
        <f t="shared" ca="1" si="30"/>
        <v>16</v>
      </c>
      <c r="OA10" s="97">
        <f t="shared" ca="1" si="30"/>
        <v>16</v>
      </c>
      <c r="OB10" s="97">
        <f t="shared" ref="OB10:QM10" ca="1" si="31">IF(OB$9&lt;&gt;"",OB$9,OB$8)</f>
        <v>16</v>
      </c>
      <c r="OC10" s="97">
        <f t="shared" ca="1" si="31"/>
        <v>16</v>
      </c>
      <c r="OD10" s="97">
        <f t="shared" ca="1" si="31"/>
        <v>16</v>
      </c>
      <c r="OE10" s="97">
        <f t="shared" ca="1" si="31"/>
        <v>16</v>
      </c>
      <c r="OF10" s="97">
        <f t="shared" ca="1" si="31"/>
        <v>16</v>
      </c>
      <c r="OG10" s="97">
        <f t="shared" ca="1" si="31"/>
        <v>16</v>
      </c>
      <c r="OH10" s="97">
        <f t="shared" ca="1" si="31"/>
        <v>16</v>
      </c>
      <c r="OI10" s="97">
        <f t="shared" ca="1" si="31"/>
        <v>16</v>
      </c>
      <c r="OJ10" s="97">
        <f t="shared" ca="1" si="31"/>
        <v>16</v>
      </c>
      <c r="OK10" s="97">
        <f t="shared" ca="1" si="31"/>
        <v>16</v>
      </c>
      <c r="OL10" s="97">
        <f t="shared" ca="1" si="31"/>
        <v>16</v>
      </c>
      <c r="OM10" s="97">
        <f t="shared" ca="1" si="31"/>
        <v>16</v>
      </c>
      <c r="ON10" s="97">
        <f t="shared" ca="1" si="31"/>
        <v>16</v>
      </c>
      <c r="OO10" s="97">
        <f t="shared" ca="1" si="31"/>
        <v>16</v>
      </c>
      <c r="OP10" s="97">
        <f t="shared" si="31"/>
        <v>32</v>
      </c>
      <c r="OQ10" s="97">
        <f t="shared" si="31"/>
        <v>32</v>
      </c>
      <c r="OR10" s="97">
        <f t="shared" si="31"/>
        <v>36</v>
      </c>
      <c r="OS10" s="97">
        <f t="shared" si="31"/>
        <v>32</v>
      </c>
      <c r="OT10" s="97">
        <f t="shared" ca="1" si="31"/>
        <v>16</v>
      </c>
      <c r="OU10" s="97">
        <f t="shared" ca="1" si="31"/>
        <v>16</v>
      </c>
      <c r="OV10" s="97">
        <f t="shared" ca="1" si="31"/>
        <v>16</v>
      </c>
      <c r="OW10" s="97">
        <f t="shared" ca="1" si="31"/>
        <v>16</v>
      </c>
      <c r="OX10" s="97">
        <f t="shared" ca="1" si="31"/>
        <v>16</v>
      </c>
      <c r="OY10" s="97">
        <f t="shared" ca="1" si="31"/>
        <v>16</v>
      </c>
      <c r="OZ10" s="97">
        <f t="shared" ca="1" si="31"/>
        <v>16</v>
      </c>
      <c r="PA10" s="97">
        <f t="shared" si="31"/>
        <v>32</v>
      </c>
      <c r="PB10" s="97">
        <f t="shared" ca="1" si="31"/>
        <v>16</v>
      </c>
      <c r="PC10" s="97">
        <f t="shared" ca="1" si="31"/>
        <v>17</v>
      </c>
      <c r="PD10" s="97">
        <f t="shared" ca="1" si="31"/>
        <v>17</v>
      </c>
      <c r="PE10" s="97">
        <f t="shared" ca="1" si="31"/>
        <v>17</v>
      </c>
      <c r="PF10" s="97">
        <f t="shared" ca="1" si="31"/>
        <v>17</v>
      </c>
      <c r="PG10" s="97">
        <f t="shared" ca="1" si="31"/>
        <v>17</v>
      </c>
      <c r="PH10" s="97">
        <f t="shared" ca="1" si="31"/>
        <v>17</v>
      </c>
      <c r="PI10" s="97">
        <f t="shared" ca="1" si="31"/>
        <v>17</v>
      </c>
      <c r="PJ10" s="97">
        <f t="shared" ca="1" si="31"/>
        <v>17</v>
      </c>
      <c r="PK10" s="97">
        <f t="shared" ca="1" si="31"/>
        <v>17</v>
      </c>
      <c r="PL10" s="97">
        <f t="shared" ca="1" si="31"/>
        <v>17</v>
      </c>
      <c r="PM10" s="97">
        <f t="shared" ca="1" si="31"/>
        <v>17</v>
      </c>
      <c r="PN10" s="97">
        <f t="shared" ca="1" si="31"/>
        <v>17</v>
      </c>
      <c r="PO10" s="97">
        <f t="shared" ca="1" si="31"/>
        <v>18</v>
      </c>
      <c r="PP10" s="97">
        <f t="shared" ca="1" si="31"/>
        <v>18</v>
      </c>
      <c r="PQ10" s="97">
        <f t="shared" ca="1" si="31"/>
        <v>18</v>
      </c>
      <c r="PR10" s="97">
        <f t="shared" ca="1" si="31"/>
        <v>18</v>
      </c>
      <c r="PS10" s="97">
        <f t="shared" ca="1" si="31"/>
        <v>18</v>
      </c>
      <c r="PT10" s="97">
        <f t="shared" ca="1" si="31"/>
        <v>18</v>
      </c>
      <c r="PU10" s="97">
        <f t="shared" ca="1" si="31"/>
        <v>18</v>
      </c>
      <c r="PV10" s="97">
        <f t="shared" ca="1" si="31"/>
        <v>18</v>
      </c>
      <c r="PW10" s="97">
        <f t="shared" ca="1" si="31"/>
        <v>18</v>
      </c>
      <c r="PX10" s="97">
        <f t="shared" ca="1" si="31"/>
        <v>18</v>
      </c>
      <c r="PY10" s="97">
        <f t="shared" ca="1" si="31"/>
        <v>18</v>
      </c>
      <c r="PZ10" s="97">
        <f t="shared" ca="1" si="31"/>
        <v>18</v>
      </c>
      <c r="QA10" s="97">
        <f t="shared" ca="1" si="31"/>
        <v>18</v>
      </c>
      <c r="QB10" s="97">
        <f t="shared" ca="1" si="31"/>
        <v>19</v>
      </c>
      <c r="QC10" s="97">
        <f t="shared" ca="1" si="31"/>
        <v>19</v>
      </c>
      <c r="QD10" s="97">
        <f t="shared" ca="1" si="31"/>
        <v>19</v>
      </c>
      <c r="QE10" s="97">
        <f t="shared" ca="1" si="31"/>
        <v>19</v>
      </c>
      <c r="QF10" s="97">
        <f t="shared" ca="1" si="31"/>
        <v>19</v>
      </c>
      <c r="QG10" s="97">
        <f t="shared" ca="1" si="31"/>
        <v>19</v>
      </c>
      <c r="QH10" s="97">
        <f t="shared" ca="1" si="31"/>
        <v>19</v>
      </c>
      <c r="QI10" s="97">
        <f t="shared" ca="1" si="31"/>
        <v>19</v>
      </c>
      <c r="QJ10" s="97">
        <f t="shared" ca="1" si="31"/>
        <v>19</v>
      </c>
      <c r="QK10" s="97">
        <f t="shared" ca="1" si="31"/>
        <v>19</v>
      </c>
      <c r="QL10" s="97">
        <f t="shared" ca="1" si="31"/>
        <v>19</v>
      </c>
      <c r="QM10" s="97">
        <f t="shared" ca="1" si="31"/>
        <v>19</v>
      </c>
      <c r="QN10" s="97">
        <f t="shared" ref="QN10:SY10" si="32">IF(QN$9&lt;&gt;"",QN$9,QN$8)</f>
        <v>17</v>
      </c>
      <c r="QO10" s="97">
        <f t="shared" si="32"/>
        <v>18</v>
      </c>
      <c r="QP10" s="97">
        <f t="shared" si="32"/>
        <v>19</v>
      </c>
      <c r="QQ10" s="97">
        <f t="shared" si="32"/>
        <v>17</v>
      </c>
      <c r="QR10" s="97">
        <f t="shared" si="32"/>
        <v>18</v>
      </c>
      <c r="QS10" s="97">
        <f t="shared" si="32"/>
        <v>19</v>
      </c>
      <c r="QT10" s="97">
        <f t="shared" ca="1" si="32"/>
        <v>19</v>
      </c>
      <c r="QU10" s="97">
        <f t="shared" ca="1" si="32"/>
        <v>19</v>
      </c>
      <c r="QV10" s="97">
        <f t="shared" ca="1" si="32"/>
        <v>19</v>
      </c>
      <c r="QW10" s="97">
        <f t="shared" ca="1" si="32"/>
        <v>19</v>
      </c>
      <c r="QX10" s="97">
        <f t="shared" ca="1" si="32"/>
        <v>19</v>
      </c>
      <c r="QY10" s="97">
        <f t="shared" ca="1" si="32"/>
        <v>19</v>
      </c>
      <c r="QZ10" s="97">
        <f t="shared" ca="1" si="32"/>
        <v>19</v>
      </c>
      <c r="RA10" s="97">
        <f t="shared" ca="1" si="32"/>
        <v>19</v>
      </c>
      <c r="RB10" s="97">
        <f t="shared" ca="1" si="32"/>
        <v>19</v>
      </c>
      <c r="RC10" s="97">
        <f t="shared" ca="1" si="32"/>
        <v>19</v>
      </c>
      <c r="RD10" s="97">
        <f t="shared" ca="1" si="32"/>
        <v>19</v>
      </c>
      <c r="RE10" s="97">
        <f t="shared" ca="1" si="32"/>
        <v>19</v>
      </c>
      <c r="RF10" s="97">
        <f t="shared" ca="1" si="32"/>
        <v>19</v>
      </c>
      <c r="RG10" s="97">
        <f t="shared" ca="1" si="32"/>
        <v>19</v>
      </c>
      <c r="RH10" s="97">
        <f t="shared" ca="1" si="32"/>
        <v>19</v>
      </c>
      <c r="RI10" s="97">
        <f t="shared" ca="1" si="32"/>
        <v>19</v>
      </c>
      <c r="RJ10" s="97">
        <f t="shared" si="32"/>
        <v>33</v>
      </c>
      <c r="RK10" s="97">
        <f t="shared" ca="1" si="32"/>
        <v>19</v>
      </c>
      <c r="RL10" s="97">
        <f t="shared" si="32"/>
        <v>33</v>
      </c>
      <c r="RM10" s="97">
        <f t="shared" ca="1" si="32"/>
        <v>19</v>
      </c>
      <c r="RN10" s="97">
        <f t="shared" ca="1" si="32"/>
        <v>20</v>
      </c>
      <c r="RO10" s="97">
        <f t="shared" ca="1" si="32"/>
        <v>20</v>
      </c>
      <c r="RP10" s="97">
        <f t="shared" ca="1" si="32"/>
        <v>20</v>
      </c>
      <c r="RQ10" s="97">
        <f t="shared" ca="1" si="32"/>
        <v>20</v>
      </c>
      <c r="RR10" s="97">
        <f t="shared" ca="1" si="32"/>
        <v>20</v>
      </c>
      <c r="RS10" s="97">
        <f t="shared" ca="1" si="32"/>
        <v>20</v>
      </c>
      <c r="RT10" s="97">
        <f t="shared" ca="1" si="32"/>
        <v>20</v>
      </c>
      <c r="RU10" s="97">
        <f t="shared" ca="1" si="32"/>
        <v>20</v>
      </c>
      <c r="RV10" s="97">
        <f t="shared" ca="1" si="32"/>
        <v>20</v>
      </c>
      <c r="RW10" s="97">
        <f t="shared" ca="1" si="32"/>
        <v>20</v>
      </c>
      <c r="RX10" s="97">
        <f t="shared" ca="1" si="32"/>
        <v>20</v>
      </c>
      <c r="RY10" s="97">
        <f t="shared" ca="1" si="32"/>
        <v>20</v>
      </c>
      <c r="RZ10" s="97">
        <f t="shared" ca="1" si="32"/>
        <v>21</v>
      </c>
      <c r="SA10" s="97">
        <f t="shared" ca="1" si="32"/>
        <v>21</v>
      </c>
      <c r="SB10" s="97">
        <f t="shared" ca="1" si="32"/>
        <v>21</v>
      </c>
      <c r="SC10" s="97">
        <f t="shared" ca="1" si="32"/>
        <v>21</v>
      </c>
      <c r="SD10" s="97">
        <f t="shared" ca="1" si="32"/>
        <v>21</v>
      </c>
      <c r="SE10" s="97">
        <f t="shared" ca="1" si="32"/>
        <v>21</v>
      </c>
      <c r="SF10" s="97">
        <f t="shared" ca="1" si="32"/>
        <v>21</v>
      </c>
      <c r="SG10" s="97">
        <f t="shared" ca="1" si="32"/>
        <v>21</v>
      </c>
      <c r="SH10" s="97">
        <f t="shared" ca="1" si="32"/>
        <v>21</v>
      </c>
      <c r="SI10" s="97">
        <f t="shared" ca="1" si="32"/>
        <v>21</v>
      </c>
      <c r="SJ10" s="97">
        <f t="shared" ca="1" si="32"/>
        <v>21</v>
      </c>
      <c r="SK10" s="97">
        <f t="shared" ca="1" si="32"/>
        <v>21</v>
      </c>
      <c r="SL10" s="97">
        <f t="shared" ca="1" si="32"/>
        <v>22</v>
      </c>
      <c r="SM10" s="97">
        <f t="shared" ca="1" si="32"/>
        <v>22</v>
      </c>
      <c r="SN10" s="97">
        <f t="shared" ca="1" si="32"/>
        <v>22</v>
      </c>
      <c r="SO10" s="97">
        <f t="shared" ca="1" si="32"/>
        <v>22</v>
      </c>
      <c r="SP10" s="97">
        <f t="shared" ca="1" si="32"/>
        <v>22</v>
      </c>
      <c r="SQ10" s="97">
        <f t="shared" ca="1" si="32"/>
        <v>22</v>
      </c>
      <c r="SR10" s="97">
        <f t="shared" ca="1" si="32"/>
        <v>22</v>
      </c>
      <c r="SS10" s="97">
        <f t="shared" ca="1" si="32"/>
        <v>22</v>
      </c>
      <c r="ST10" s="97">
        <f t="shared" ca="1" si="32"/>
        <v>22</v>
      </c>
      <c r="SU10" s="97">
        <f t="shared" ca="1" si="32"/>
        <v>22</v>
      </c>
      <c r="SV10" s="97">
        <f t="shared" ca="1" si="32"/>
        <v>22</v>
      </c>
      <c r="SW10" s="97">
        <f t="shared" ca="1" si="32"/>
        <v>22</v>
      </c>
      <c r="SX10" s="97">
        <f t="shared" ca="1" si="32"/>
        <v>23</v>
      </c>
      <c r="SY10" s="97">
        <f t="shared" ca="1" si="32"/>
        <v>23</v>
      </c>
      <c r="SZ10" s="97">
        <f t="shared" ref="SZ10:VK10" ca="1" si="33">IF(SZ$9&lt;&gt;"",SZ$9,SZ$8)</f>
        <v>23</v>
      </c>
      <c r="TA10" s="97">
        <f t="shared" ca="1" si="33"/>
        <v>23</v>
      </c>
      <c r="TB10" s="97">
        <f t="shared" ca="1" si="33"/>
        <v>23</v>
      </c>
      <c r="TC10" s="97">
        <f t="shared" ca="1" si="33"/>
        <v>23</v>
      </c>
      <c r="TD10" s="97">
        <f t="shared" ca="1" si="33"/>
        <v>23</v>
      </c>
      <c r="TE10" s="97">
        <f t="shared" ca="1" si="33"/>
        <v>23</v>
      </c>
      <c r="TF10" s="97">
        <f t="shared" ca="1" si="33"/>
        <v>23</v>
      </c>
      <c r="TG10" s="97">
        <f t="shared" ca="1" si="33"/>
        <v>23</v>
      </c>
      <c r="TH10" s="97">
        <f t="shared" ca="1" si="33"/>
        <v>23</v>
      </c>
      <c r="TI10" s="97">
        <f t="shared" ca="1" si="33"/>
        <v>23</v>
      </c>
      <c r="TJ10" s="97">
        <f t="shared" ca="1" si="33"/>
        <v>24</v>
      </c>
      <c r="TK10" s="97">
        <f t="shared" ca="1" si="33"/>
        <v>24</v>
      </c>
      <c r="TL10" s="97">
        <f t="shared" ca="1" si="33"/>
        <v>24</v>
      </c>
      <c r="TM10" s="97">
        <f t="shared" ca="1" si="33"/>
        <v>24</v>
      </c>
      <c r="TN10" s="97">
        <f t="shared" ca="1" si="33"/>
        <v>24</v>
      </c>
      <c r="TO10" s="97">
        <f t="shared" ca="1" si="33"/>
        <v>24</v>
      </c>
      <c r="TP10" s="97">
        <f t="shared" ca="1" si="33"/>
        <v>24</v>
      </c>
      <c r="TQ10" s="97">
        <f t="shared" ca="1" si="33"/>
        <v>24</v>
      </c>
      <c r="TR10" s="97">
        <f t="shared" ca="1" si="33"/>
        <v>24</v>
      </c>
      <c r="TS10" s="97">
        <f t="shared" ca="1" si="33"/>
        <v>24</v>
      </c>
      <c r="TT10" s="97">
        <f t="shared" ca="1" si="33"/>
        <v>24</v>
      </c>
      <c r="TU10" s="97">
        <f t="shared" ca="1" si="33"/>
        <v>24</v>
      </c>
      <c r="TV10" s="97">
        <f t="shared" ca="1" si="33"/>
        <v>24</v>
      </c>
      <c r="TW10" s="97">
        <f t="shared" si="33"/>
        <v>20</v>
      </c>
      <c r="TX10" s="97">
        <f t="shared" si="33"/>
        <v>21</v>
      </c>
      <c r="TY10" s="97">
        <f t="shared" si="33"/>
        <v>22</v>
      </c>
      <c r="TZ10" s="97">
        <f t="shared" si="33"/>
        <v>23</v>
      </c>
      <c r="UA10" s="97">
        <f t="shared" si="33"/>
        <v>24</v>
      </c>
      <c r="UB10" s="97">
        <f t="shared" ca="1" si="33"/>
        <v>24</v>
      </c>
      <c r="UC10" s="97">
        <f t="shared" ca="1" si="33"/>
        <v>24</v>
      </c>
      <c r="UD10" s="97">
        <f t="shared" ca="1" si="33"/>
        <v>24</v>
      </c>
      <c r="UE10" s="97">
        <f t="shared" ca="1" si="33"/>
        <v>24</v>
      </c>
      <c r="UF10" s="97">
        <f t="shared" ca="1" si="33"/>
        <v>24</v>
      </c>
      <c r="UG10" s="97">
        <f t="shared" ca="1" si="33"/>
        <v>24</v>
      </c>
      <c r="UH10" s="97">
        <f t="shared" ca="1" si="33"/>
        <v>24</v>
      </c>
      <c r="UI10" s="97">
        <f t="shared" ca="1" si="33"/>
        <v>24</v>
      </c>
      <c r="UJ10" s="97">
        <f t="shared" ca="1" si="33"/>
        <v>24</v>
      </c>
      <c r="UK10" s="97">
        <f t="shared" ca="1" si="33"/>
        <v>24</v>
      </c>
      <c r="UL10" s="97">
        <f t="shared" ca="1" si="33"/>
        <v>24</v>
      </c>
      <c r="UM10" s="97">
        <f t="shared" ca="1" si="33"/>
        <v>24</v>
      </c>
      <c r="UN10" s="97">
        <f t="shared" ca="1" si="33"/>
        <v>24</v>
      </c>
      <c r="UO10" s="97">
        <f t="shared" ca="1" si="33"/>
        <v>24</v>
      </c>
      <c r="UP10" s="97">
        <f t="shared" ca="1" si="33"/>
        <v>24</v>
      </c>
      <c r="UQ10" s="97">
        <f t="shared" ca="1" si="33"/>
        <v>24</v>
      </c>
      <c r="UR10" s="97">
        <f t="shared" ca="1" si="33"/>
        <v>24</v>
      </c>
      <c r="US10" s="97">
        <f t="shared" ca="1" si="33"/>
        <v>24</v>
      </c>
      <c r="UT10" s="97">
        <f t="shared" ca="1" si="33"/>
        <v>24</v>
      </c>
      <c r="UU10" s="97">
        <f t="shared" ca="1" si="33"/>
        <v>24</v>
      </c>
      <c r="UV10" s="97">
        <f t="shared" ca="1" si="33"/>
        <v>24</v>
      </c>
      <c r="UW10" s="97">
        <f t="shared" ca="1" si="33"/>
        <v>24</v>
      </c>
      <c r="UX10" s="97">
        <f t="shared" ca="1" si="33"/>
        <v>24</v>
      </c>
      <c r="UY10" s="97">
        <f t="shared" ca="1" si="33"/>
        <v>24</v>
      </c>
      <c r="UZ10" s="97">
        <f t="shared" ca="1" si="33"/>
        <v>24</v>
      </c>
      <c r="VA10" s="97">
        <f t="shared" ca="1" si="33"/>
        <v>24</v>
      </c>
      <c r="VB10" s="97">
        <f t="shared" ca="1" si="33"/>
        <v>24</v>
      </c>
      <c r="VC10" s="97">
        <f t="shared" ca="1" si="33"/>
        <v>24</v>
      </c>
      <c r="VD10" s="97">
        <f t="shared" ca="1" si="33"/>
        <v>24</v>
      </c>
      <c r="VE10" s="97">
        <f t="shared" ca="1" si="33"/>
        <v>24</v>
      </c>
      <c r="VF10" s="97">
        <f t="shared" ca="1" si="33"/>
        <v>24</v>
      </c>
      <c r="VG10" s="97">
        <f t="shared" ca="1" si="33"/>
        <v>24</v>
      </c>
      <c r="VH10" s="97">
        <f t="shared" ca="1" si="33"/>
        <v>24</v>
      </c>
      <c r="VI10" s="97">
        <f t="shared" ca="1" si="33"/>
        <v>24</v>
      </c>
      <c r="VJ10" s="97">
        <f t="shared" ca="1" si="33"/>
        <v>24</v>
      </c>
      <c r="VK10" s="97">
        <f t="shared" ca="1" si="33"/>
        <v>24</v>
      </c>
      <c r="VL10" s="97">
        <f t="shared" ref="VL10:XW10" ca="1" si="34">IF(VL$9&lt;&gt;"",VL$9,VL$8)</f>
        <v>24</v>
      </c>
      <c r="VM10" s="97">
        <f t="shared" ca="1" si="34"/>
        <v>24</v>
      </c>
      <c r="VN10" s="97">
        <f t="shared" ca="1" si="34"/>
        <v>24</v>
      </c>
      <c r="VO10" s="97">
        <f t="shared" ca="1" si="34"/>
        <v>24</v>
      </c>
      <c r="VP10" s="97">
        <f t="shared" ca="1" si="34"/>
        <v>24</v>
      </c>
      <c r="VQ10" s="97">
        <f t="shared" ca="1" si="34"/>
        <v>24</v>
      </c>
      <c r="VR10" s="97">
        <f t="shared" ca="1" si="34"/>
        <v>24</v>
      </c>
      <c r="VS10" s="97">
        <f t="shared" ca="1" si="34"/>
        <v>24</v>
      </c>
      <c r="VT10" s="97">
        <f t="shared" ca="1" si="34"/>
        <v>24</v>
      </c>
      <c r="VU10" s="97">
        <f t="shared" ca="1" si="34"/>
        <v>24</v>
      </c>
      <c r="VV10" s="97">
        <f t="shared" ca="1" si="34"/>
        <v>24</v>
      </c>
      <c r="VW10" s="97">
        <f t="shared" ca="1" si="34"/>
        <v>24</v>
      </c>
      <c r="VX10" s="97">
        <f t="shared" ca="1" si="34"/>
        <v>24</v>
      </c>
      <c r="VY10" s="97">
        <f t="shared" ca="1" si="34"/>
        <v>24</v>
      </c>
      <c r="VZ10" s="97">
        <f t="shared" ca="1" si="34"/>
        <v>24</v>
      </c>
      <c r="WA10" s="97">
        <f t="shared" ca="1" si="34"/>
        <v>24</v>
      </c>
      <c r="WB10" s="97">
        <f t="shared" ca="1" si="34"/>
        <v>24</v>
      </c>
      <c r="WC10" s="97">
        <f t="shared" ca="1" si="34"/>
        <v>24</v>
      </c>
      <c r="WD10" s="97">
        <f t="shared" ca="1" si="34"/>
        <v>24</v>
      </c>
      <c r="WE10" s="97">
        <f t="shared" ca="1" si="34"/>
        <v>24</v>
      </c>
      <c r="WF10" s="97">
        <f t="shared" ca="1" si="34"/>
        <v>24</v>
      </c>
      <c r="WG10" s="97">
        <f t="shared" ca="1" si="34"/>
        <v>24</v>
      </c>
      <c r="WH10" s="97">
        <f t="shared" ca="1" si="34"/>
        <v>24</v>
      </c>
      <c r="WI10" s="97">
        <f t="shared" ca="1" si="34"/>
        <v>24</v>
      </c>
      <c r="WJ10" s="97">
        <f t="shared" ca="1" si="34"/>
        <v>24</v>
      </c>
      <c r="WK10" s="97">
        <f t="shared" ca="1" si="34"/>
        <v>24</v>
      </c>
      <c r="WL10" s="97">
        <f t="shared" ca="1" si="34"/>
        <v>24</v>
      </c>
      <c r="WM10" s="97">
        <f t="shared" ca="1" si="34"/>
        <v>24</v>
      </c>
      <c r="WN10" s="97">
        <f t="shared" ca="1" si="34"/>
        <v>24</v>
      </c>
      <c r="WO10" s="97">
        <f t="shared" ca="1" si="34"/>
        <v>24</v>
      </c>
      <c r="WP10" s="97">
        <f t="shared" ca="1" si="34"/>
        <v>24</v>
      </c>
      <c r="WQ10" s="97">
        <f t="shared" ca="1" si="34"/>
        <v>24</v>
      </c>
      <c r="WR10" s="97">
        <f t="shared" ca="1" si="34"/>
        <v>24</v>
      </c>
      <c r="WS10" s="97">
        <f t="shared" ca="1" si="34"/>
        <v>24</v>
      </c>
      <c r="WT10" s="97">
        <f t="shared" si="34"/>
        <v>20</v>
      </c>
      <c r="WU10" s="97">
        <f t="shared" si="34"/>
        <v>21</v>
      </c>
      <c r="WV10" s="97">
        <f t="shared" si="34"/>
        <v>22</v>
      </c>
      <c r="WW10" s="97">
        <f t="shared" si="34"/>
        <v>23</v>
      </c>
      <c r="WX10" s="97">
        <f t="shared" si="34"/>
        <v>24</v>
      </c>
      <c r="WY10" s="97">
        <f t="shared" si="34"/>
        <v>20</v>
      </c>
      <c r="WZ10" s="97">
        <f t="shared" si="34"/>
        <v>21</v>
      </c>
      <c r="XA10" s="97">
        <f t="shared" si="34"/>
        <v>22</v>
      </c>
      <c r="XB10" s="97">
        <f t="shared" si="34"/>
        <v>23</v>
      </c>
      <c r="XC10" s="97">
        <f t="shared" si="34"/>
        <v>24</v>
      </c>
      <c r="XD10" s="97">
        <f t="shared" ca="1" si="34"/>
        <v>24</v>
      </c>
      <c r="XE10" s="97">
        <f t="shared" ca="1" si="34"/>
        <v>24</v>
      </c>
      <c r="XF10" s="97">
        <f t="shared" ca="1" si="34"/>
        <v>24</v>
      </c>
      <c r="XG10" s="97">
        <f t="shared" ca="1" si="34"/>
        <v>24</v>
      </c>
      <c r="XH10" s="97">
        <f t="shared" ca="1" si="34"/>
        <v>24</v>
      </c>
      <c r="XI10" s="97">
        <f t="shared" ca="1" si="34"/>
        <v>24</v>
      </c>
      <c r="XJ10" s="97">
        <f t="shared" ca="1" si="34"/>
        <v>24</v>
      </c>
      <c r="XK10" s="97">
        <f t="shared" si="34"/>
        <v>34</v>
      </c>
      <c r="XL10" s="97">
        <f t="shared" si="34"/>
        <v>34</v>
      </c>
      <c r="XM10" s="97">
        <f t="shared" si="34"/>
        <v>34</v>
      </c>
      <c r="XN10" s="97">
        <f t="shared" si="34"/>
        <v>34</v>
      </c>
      <c r="XO10" s="97">
        <f t="shared" si="34"/>
        <v>34</v>
      </c>
      <c r="XP10" s="97">
        <f t="shared" ca="1" si="34"/>
        <v>24</v>
      </c>
      <c r="XQ10" s="97">
        <f t="shared" ca="1" si="34"/>
        <v>24</v>
      </c>
      <c r="XR10" s="97">
        <f t="shared" ca="1" si="34"/>
        <v>24</v>
      </c>
      <c r="XS10" s="97">
        <f t="shared" ca="1" si="34"/>
        <v>24</v>
      </c>
      <c r="XT10" s="97">
        <f t="shared" ca="1" si="34"/>
        <v>24</v>
      </c>
      <c r="XU10" s="97">
        <f t="shared" ca="1" si="34"/>
        <v>24</v>
      </c>
      <c r="XV10" s="97">
        <f t="shared" ca="1" si="34"/>
        <v>24</v>
      </c>
      <c r="XW10" s="97">
        <f t="shared" si="34"/>
        <v>34</v>
      </c>
      <c r="XX10" s="97">
        <f t="shared" ref="XX10:AAI10" ca="1" si="35">IF(XX$9&lt;&gt;"",XX$9,XX$8)</f>
        <v>24</v>
      </c>
      <c r="XY10" s="97">
        <f t="shared" ca="1" si="35"/>
        <v>24</v>
      </c>
      <c r="XZ10" s="97">
        <f t="shared" ca="1" si="35"/>
        <v>24</v>
      </c>
      <c r="YA10" s="97">
        <f t="shared" ca="1" si="35"/>
        <v>24</v>
      </c>
      <c r="YB10" s="97">
        <f t="shared" ca="1" si="35"/>
        <v>24</v>
      </c>
      <c r="YC10" s="97">
        <f t="shared" ca="1" si="35"/>
        <v>24</v>
      </c>
      <c r="YD10" s="97">
        <f t="shared" ca="1" si="35"/>
        <v>24</v>
      </c>
      <c r="YE10" s="97">
        <f t="shared" ca="1" si="35"/>
        <v>24</v>
      </c>
      <c r="YF10" s="97">
        <f t="shared" ca="1" si="35"/>
        <v>24</v>
      </c>
      <c r="YG10" s="97">
        <f t="shared" si="35"/>
        <v>35</v>
      </c>
      <c r="YH10" s="97">
        <f t="shared" si="35"/>
        <v>31</v>
      </c>
      <c r="YI10" s="97">
        <f t="shared" si="35"/>
        <v>32</v>
      </c>
      <c r="YJ10" s="97">
        <f t="shared" si="35"/>
        <v>33</v>
      </c>
      <c r="YK10" s="97">
        <f t="shared" si="35"/>
        <v>34</v>
      </c>
      <c r="YL10" s="97">
        <f t="shared" ca="1" si="35"/>
        <v>24</v>
      </c>
      <c r="YM10" s="97">
        <f t="shared" ca="1" si="35"/>
        <v>24</v>
      </c>
      <c r="YN10" s="97">
        <f t="shared" ca="1" si="35"/>
        <v>24</v>
      </c>
      <c r="YO10" s="97">
        <f t="shared" ca="1" si="35"/>
        <v>24</v>
      </c>
      <c r="YP10" s="97">
        <f t="shared" ca="1" si="35"/>
        <v>24</v>
      </c>
      <c r="YQ10" s="97">
        <f t="shared" ca="1" si="35"/>
        <v>24</v>
      </c>
      <c r="YR10" s="97">
        <f t="shared" ca="1" si="35"/>
        <v>24</v>
      </c>
      <c r="YS10" s="97">
        <f t="shared" ca="1" si="35"/>
        <v>24</v>
      </c>
      <c r="YT10" s="97">
        <f t="shared" ca="1" si="35"/>
        <v>24</v>
      </c>
      <c r="YU10" s="97">
        <f t="shared" ca="1" si="35"/>
        <v>24</v>
      </c>
      <c r="YV10" s="97">
        <f t="shared" ca="1" si="35"/>
        <v>24</v>
      </c>
      <c r="YW10" s="97">
        <f t="shared" ca="1" si="35"/>
        <v>24</v>
      </c>
      <c r="YX10" s="97">
        <f t="shared" ca="1" si="35"/>
        <v>24</v>
      </c>
      <c r="YY10" s="97">
        <f t="shared" ca="1" si="35"/>
        <v>24</v>
      </c>
      <c r="YZ10" s="97">
        <f t="shared" ca="1" si="35"/>
        <v>24</v>
      </c>
      <c r="ZA10" s="97">
        <f t="shared" ca="1" si="35"/>
        <v>24</v>
      </c>
      <c r="ZB10" s="97">
        <f t="shared" ca="1" si="35"/>
        <v>24</v>
      </c>
      <c r="ZC10" s="97">
        <f t="shared" ca="1" si="35"/>
        <v>24</v>
      </c>
      <c r="ZD10" s="97">
        <f t="shared" ca="1" si="35"/>
        <v>24</v>
      </c>
      <c r="ZE10" s="97">
        <f t="shared" ca="1" si="35"/>
        <v>24</v>
      </c>
      <c r="ZF10" s="97">
        <f t="shared" ca="1" si="35"/>
        <v>24</v>
      </c>
      <c r="ZG10" s="97">
        <f t="shared" ca="1" si="35"/>
        <v>24</v>
      </c>
      <c r="ZH10" s="97">
        <f t="shared" ca="1" si="35"/>
        <v>25</v>
      </c>
      <c r="ZI10" s="97">
        <f t="shared" ca="1" si="35"/>
        <v>25</v>
      </c>
      <c r="ZJ10" s="97">
        <f t="shared" ca="1" si="35"/>
        <v>25</v>
      </c>
      <c r="ZK10" s="97">
        <f t="shared" ca="1" si="35"/>
        <v>25</v>
      </c>
      <c r="ZL10" s="97">
        <f t="shared" ca="1" si="35"/>
        <v>25</v>
      </c>
      <c r="ZM10" s="97">
        <f t="shared" ca="1" si="35"/>
        <v>26</v>
      </c>
      <c r="ZN10" s="97">
        <f t="shared" ca="1" si="35"/>
        <v>26</v>
      </c>
      <c r="ZO10" s="97">
        <f t="shared" ca="1" si="35"/>
        <v>26</v>
      </c>
      <c r="ZP10" s="97">
        <f t="shared" ca="1" si="35"/>
        <v>26</v>
      </c>
      <c r="ZQ10" s="97">
        <f t="shared" ca="1" si="35"/>
        <v>26</v>
      </c>
      <c r="ZR10" s="97">
        <f t="shared" ca="1" si="35"/>
        <v>26</v>
      </c>
      <c r="ZS10" s="97">
        <f t="shared" ca="1" si="35"/>
        <v>26</v>
      </c>
      <c r="ZT10" s="97">
        <f t="shared" ca="1" si="35"/>
        <v>26</v>
      </c>
      <c r="ZU10" s="97">
        <f t="shared" ca="1" si="35"/>
        <v>26</v>
      </c>
      <c r="ZV10" s="97">
        <f t="shared" ca="1" si="35"/>
        <v>26</v>
      </c>
      <c r="ZW10" s="97">
        <f t="shared" ca="1" si="35"/>
        <v>26</v>
      </c>
      <c r="ZX10" s="97">
        <f t="shared" ca="1" si="35"/>
        <v>26</v>
      </c>
      <c r="ZY10" s="97">
        <f t="shared" ca="1" si="35"/>
        <v>26</v>
      </c>
      <c r="ZZ10" s="97">
        <f t="shared" ca="1" si="35"/>
        <v>26</v>
      </c>
      <c r="AAA10" s="97">
        <f t="shared" ca="1" si="35"/>
        <v>26</v>
      </c>
      <c r="AAB10" s="97">
        <f t="shared" ca="1" si="35"/>
        <v>26</v>
      </c>
      <c r="AAC10" s="97">
        <f t="shared" ca="1" si="35"/>
        <v>26</v>
      </c>
      <c r="AAD10" s="97">
        <f t="shared" ca="1" si="35"/>
        <v>26</v>
      </c>
      <c r="AAE10" s="97">
        <f t="shared" ca="1" si="35"/>
        <v>26</v>
      </c>
      <c r="AAF10" s="97">
        <f t="shared" si="35"/>
        <v>3</v>
      </c>
      <c r="AAG10" s="97">
        <f t="shared" ca="1" si="35"/>
        <v>26</v>
      </c>
      <c r="AAH10" s="97">
        <f t="shared" si="35"/>
        <v>3</v>
      </c>
      <c r="AAI10" s="97">
        <f t="shared" ca="1" si="35"/>
        <v>26</v>
      </c>
      <c r="AAJ10" s="97">
        <f t="shared" ref="AAJ10:ACM10" si="36">IF(AAJ$9&lt;&gt;"",AAJ$9,AAJ$8)</f>
        <v>3</v>
      </c>
      <c r="AAK10" s="97">
        <f t="shared" ca="1" si="36"/>
        <v>26</v>
      </c>
      <c r="AAL10" s="97">
        <f t="shared" si="36"/>
        <v>4</v>
      </c>
      <c r="AAM10" s="97">
        <f t="shared" ca="1" si="36"/>
        <v>26</v>
      </c>
      <c r="AAN10" s="97">
        <f t="shared" si="36"/>
        <v>4</v>
      </c>
      <c r="AAO10" s="97">
        <f t="shared" ca="1" si="36"/>
        <v>26</v>
      </c>
      <c r="AAP10" s="97">
        <f t="shared" si="36"/>
        <v>4</v>
      </c>
      <c r="AAQ10" s="97">
        <f t="shared" ca="1" si="36"/>
        <v>26</v>
      </c>
      <c r="AAR10" s="97">
        <f t="shared" ca="1" si="36"/>
        <v>27</v>
      </c>
      <c r="AAS10" s="97">
        <f t="shared" ca="1" si="36"/>
        <v>27</v>
      </c>
      <c r="AAT10" s="97">
        <f t="shared" ca="1" si="36"/>
        <v>27</v>
      </c>
      <c r="AAU10" s="97">
        <f t="shared" ca="1" si="36"/>
        <v>27</v>
      </c>
      <c r="AAV10" s="97">
        <f t="shared" ca="1" si="36"/>
        <v>27</v>
      </c>
      <c r="AAW10" s="97">
        <f t="shared" ca="1" si="36"/>
        <v>27</v>
      </c>
      <c r="AAX10" s="97">
        <f t="shared" ca="1" si="36"/>
        <v>27</v>
      </c>
      <c r="AAY10" s="97">
        <f t="shared" ca="1" si="36"/>
        <v>27</v>
      </c>
      <c r="AAZ10" s="97">
        <f t="shared" ca="1" si="36"/>
        <v>27</v>
      </c>
      <c r="ABA10" s="97">
        <f t="shared" ca="1" si="36"/>
        <v>27</v>
      </c>
      <c r="ABB10" s="97">
        <f t="shared" ca="1" si="36"/>
        <v>27</v>
      </c>
      <c r="ABC10" s="97">
        <f t="shared" ca="1" si="36"/>
        <v>27</v>
      </c>
      <c r="ABD10" s="97">
        <f t="shared" ca="1" si="36"/>
        <v>28</v>
      </c>
      <c r="ABE10" s="97">
        <f t="shared" ca="1" si="36"/>
        <v>28</v>
      </c>
      <c r="ABF10" s="97">
        <f t="shared" ca="1" si="36"/>
        <v>28</v>
      </c>
      <c r="ABG10" s="97">
        <f t="shared" ca="1" si="36"/>
        <v>28</v>
      </c>
      <c r="ABH10" s="97">
        <f t="shared" ca="1" si="36"/>
        <v>28</v>
      </c>
      <c r="ABI10" s="97">
        <f t="shared" ca="1" si="36"/>
        <v>28</v>
      </c>
      <c r="ABJ10" s="97">
        <f t="shared" ca="1" si="36"/>
        <v>28</v>
      </c>
      <c r="ABK10" s="97">
        <f t="shared" ca="1" si="36"/>
        <v>28</v>
      </c>
      <c r="ABL10" s="97">
        <f t="shared" ca="1" si="36"/>
        <v>28</v>
      </c>
      <c r="ABM10" s="97">
        <f t="shared" ca="1" si="36"/>
        <v>28</v>
      </c>
      <c r="ABN10" s="97">
        <f t="shared" ca="1" si="36"/>
        <v>28</v>
      </c>
      <c r="ABO10" s="97">
        <f t="shared" ca="1" si="36"/>
        <v>28</v>
      </c>
      <c r="ABP10" s="97">
        <f t="shared" si="36"/>
        <v>1</v>
      </c>
      <c r="ABQ10" s="97">
        <f t="shared" ca="1" si="36"/>
        <v>28</v>
      </c>
      <c r="ABR10" s="97">
        <f t="shared" si="36"/>
        <v>1</v>
      </c>
      <c r="ABS10" s="97">
        <f t="shared" ca="1" si="36"/>
        <v>28</v>
      </c>
      <c r="ABT10" s="97">
        <f t="shared" si="36"/>
        <v>1</v>
      </c>
      <c r="ABU10" s="97">
        <f t="shared" ca="1" si="36"/>
        <v>28</v>
      </c>
      <c r="ABV10" s="97">
        <f t="shared" si="36"/>
        <v>2</v>
      </c>
      <c r="ABW10" s="97">
        <f t="shared" ca="1" si="36"/>
        <v>28</v>
      </c>
      <c r="ABX10" s="97">
        <f t="shared" si="36"/>
        <v>2</v>
      </c>
      <c r="ABY10" s="97">
        <f t="shared" ca="1" si="36"/>
        <v>28</v>
      </c>
      <c r="ABZ10" s="97">
        <f t="shared" si="36"/>
        <v>2</v>
      </c>
      <c r="ACA10" s="97">
        <f t="shared" ca="1" si="36"/>
        <v>28</v>
      </c>
      <c r="ACB10" s="97">
        <f t="shared" ca="1" si="36"/>
        <v>29</v>
      </c>
      <c r="ACC10" s="97">
        <f t="shared" ca="1" si="36"/>
        <v>29</v>
      </c>
      <c r="ACD10" s="97">
        <f t="shared" ca="1" si="36"/>
        <v>29</v>
      </c>
      <c r="ACE10" s="97">
        <f t="shared" ca="1" si="36"/>
        <v>29</v>
      </c>
      <c r="ACF10" s="97">
        <f t="shared" ca="1" si="36"/>
        <v>29</v>
      </c>
      <c r="ACG10" s="97">
        <f t="shared" ca="1" si="36"/>
        <v>29</v>
      </c>
      <c r="ACH10" s="97">
        <f t="shared" ca="1" si="36"/>
        <v>29</v>
      </c>
      <c r="ACI10" s="97">
        <f t="shared" ca="1" si="36"/>
        <v>29</v>
      </c>
      <c r="ACJ10" s="97">
        <f t="shared" ca="1" si="36"/>
        <v>29</v>
      </c>
      <c r="ACK10" s="97">
        <f t="shared" ca="1" si="36"/>
        <v>29</v>
      </c>
      <c r="ACL10" s="97">
        <f t="shared" ca="1" si="36"/>
        <v>29</v>
      </c>
      <c r="ACM10" s="97">
        <f t="shared" ca="1" si="36"/>
        <v>29</v>
      </c>
      <c r="ACN10" s="97"/>
    </row>
    <row r="11" spans="1:768" s="92" customFormat="1" hidden="1">
      <c r="A11" s="92" t="str">
        <f>Stammdaten!$CB$28</f>
        <v>Bed. F.</v>
      </c>
      <c r="B11" s="97" t="str">
        <f>Stammdaten!$BU$17&amp;Stammdaten!$BZ$35</f>
        <v>Anzahl Stellen</v>
      </c>
      <c r="C11" s="91"/>
      <c r="D11" s="97"/>
      <c r="E11" s="97" t="str">
        <f>Stammdaten!$AV$4</f>
        <v>StdDisziplinen[Res_Code]</v>
      </c>
      <c r="F11" s="97"/>
      <c r="G11" s="97" t="str" cm="1">
        <f t="array" aca="1" ref="G11" ca="1">IFERROR(INDEX(INDIRECT(REPLACE($E$11,FIND("[",$E$11,1)+1,3,G$7)),G$10),"")</f>
        <v/>
      </c>
      <c r="H11" s="97" cm="1">
        <f t="array" aca="1" ref="H11" ca="1">IFERROR(INDEX(INDIRECT(REPLACE($E$11,FIND("[",$E$11,1)+1,3,H$7)),H$10),"")</f>
        <v>2</v>
      </c>
      <c r="I11" s="97" t="str" cm="1">
        <f t="array" aca="1" ref="I11" ca="1">IFERROR(INDEX(INDIRECT(REPLACE($E$11,FIND("[",$E$11,1)+1,3,I$7)),I$10),"")</f>
        <v/>
      </c>
      <c r="J11" s="97" t="str" cm="1">
        <f t="array" aca="1" ref="J11" ca="1">IFERROR(INDEX(INDIRECT(REPLACE($E$11,FIND("[",$E$11,1)+1,3,J$7)),J$10),"")</f>
        <v/>
      </c>
      <c r="K11" s="97" cm="1">
        <f t="array" aca="1" ref="K11" ca="1">IFERROR(INDEX(INDIRECT(REPLACE($E$11,FIND("[",$E$11,1)+1,3,K$7)),K$10),"")</f>
        <v>2</v>
      </c>
      <c r="L11" s="97" t="str" cm="1">
        <f t="array" aca="1" ref="L11" ca="1">IFERROR(INDEX(INDIRECT(REPLACE($E$11,FIND("[",$E$11,1)+1,3,L$7)),L$10),"")</f>
        <v/>
      </c>
      <c r="M11" s="97" t="str" cm="1">
        <f t="array" aca="1" ref="M11" ca="1">IFERROR(INDEX(INDIRECT(REPLACE($E$11,FIND("[",$E$11,1)+1,3,M$7)),M$10),"")</f>
        <v/>
      </c>
      <c r="N11" s="97" cm="1">
        <f t="array" aca="1" ref="N11" ca="1">IFERROR(INDEX(INDIRECT(REPLACE($E$11,FIND("[",$E$11,1)+1,3,N$7)),N$10),"")</f>
        <v>2</v>
      </c>
      <c r="O11" s="97" t="str" cm="1">
        <f t="array" aca="1" ref="O11" ca="1">IFERROR(INDEX(INDIRECT(REPLACE($E$11,FIND("[",$E$11,1)+1,3,O$7)),O$10),"")</f>
        <v/>
      </c>
      <c r="P11" s="97" t="str" cm="1">
        <f t="array" aca="1" ref="P11" ca="1">IFERROR(INDEX(INDIRECT(REPLACE($E$11,FIND("[",$E$11,1)+1,3,P$7)),P$10),"")</f>
        <v/>
      </c>
      <c r="Q11" s="97" cm="1">
        <f t="array" aca="1" ref="Q11" ca="1">IFERROR(INDEX(INDIRECT(REPLACE($E$11,FIND("[",$E$11,1)+1,3,Q$7)),Q$10),"")</f>
        <v>1</v>
      </c>
      <c r="R11" s="97" t="str" cm="1">
        <f t="array" aca="1" ref="R11" ca="1">IFERROR(INDEX(INDIRECT(REPLACE($E$11,FIND("[",$E$11,1)+1,3,R$7)),R$10),"")</f>
        <v/>
      </c>
      <c r="S11" s="97" t="str" cm="1">
        <f t="array" aca="1" ref="S11" ca="1">IFERROR(INDEX(INDIRECT(REPLACE($E$11,FIND("[",$E$11,1)+1,3,S$7)),S$10),"")</f>
        <v/>
      </c>
      <c r="T11" s="97" cm="1">
        <f t="array" aca="1" ref="T11" ca="1">IFERROR(INDEX(INDIRECT(REPLACE($E$11,FIND("[",$E$11,1)+1,3,T$7)),T$10),"")</f>
        <v>2</v>
      </c>
      <c r="U11" s="97" t="str" cm="1">
        <f t="array" aca="1" ref="U11" ca="1">IFERROR(INDEX(INDIRECT(REPLACE($E$11,FIND("[",$E$11,1)+1,3,U$7)),U$10),"")</f>
        <v/>
      </c>
      <c r="V11" s="97" t="str" cm="1">
        <f t="array" aca="1" ref="V11" ca="1">IFERROR(INDEX(INDIRECT(REPLACE($E$11,FIND("[",$E$11,1)+1,3,V$7)),V$10),"")</f>
        <v/>
      </c>
      <c r="W11" s="97" cm="1">
        <f t="array" aca="1" ref="W11" ca="1">IFERROR(INDEX(INDIRECT(REPLACE($E$11,FIND("[",$E$11,1)+1,3,W$7)),W$10),"")</f>
        <v>2</v>
      </c>
      <c r="X11" s="97" t="str" cm="1">
        <f t="array" aca="1" ref="X11" ca="1">IFERROR(INDEX(INDIRECT(REPLACE($E$11,FIND("[",$E$11,1)+1,3,X$7)),X$10),"")</f>
        <v/>
      </c>
      <c r="Y11" s="97" t="str" cm="1">
        <f t="array" aca="1" ref="Y11" ca="1">IFERROR(INDEX(INDIRECT(REPLACE($E$11,FIND("[",$E$11,1)+1,3,Y$7)),Y$10),"")</f>
        <v/>
      </c>
      <c r="Z11" s="97" cm="1">
        <f t="array" aca="1" ref="Z11" ca="1">IFERROR(INDEX(INDIRECT(REPLACE($E$11,FIND("[",$E$11,1)+1,3,Z$7)),Z$10),"")</f>
        <v>2</v>
      </c>
      <c r="AA11" s="97" t="str" cm="1">
        <f t="array" aca="1" ref="AA11" ca="1">IFERROR(INDEX(INDIRECT(REPLACE($E$11,FIND("[",$E$11,1)+1,3,AA$7)),AA$10),"")</f>
        <v/>
      </c>
      <c r="AB11" s="97" t="str" cm="1">
        <f t="array" aca="1" ref="AB11" ca="1">IFERROR(INDEX(INDIRECT(REPLACE($E$11,FIND("[",$E$11,1)+1,3,AB$7)),AB$10),"")</f>
        <v/>
      </c>
      <c r="AC11" s="97" cm="1">
        <f t="array" aca="1" ref="AC11" ca="1">IFERROR(INDEX(INDIRECT(REPLACE($E$11,FIND("[",$E$11,1)+1,3,AC$7)),AC$10),"")</f>
        <v>1</v>
      </c>
      <c r="AD11" s="97" t="str" cm="1">
        <f t="array" aca="1" ref="AD11" ca="1">IFERROR(INDEX(INDIRECT(REPLACE($E$11,FIND("[",$E$11,1)+1,3,AD$7)),AD$10),"")</f>
        <v/>
      </c>
      <c r="AE11" s="97" t="str" cm="1">
        <f t="array" aca="1" ref="AE11" ca="1">IFERROR(INDEX(INDIRECT(REPLACE($E$11,FIND("[",$E$11,1)+1,3,AE$7)),AE$10),"")</f>
        <v/>
      </c>
      <c r="AF11" s="97" cm="1">
        <f t="array" aca="1" ref="AF11" ca="1">IFERROR(INDEX(INDIRECT(REPLACE($E$11,FIND("[",$E$11,1)+1,3,AF$7)),AF$10),"")</f>
        <v>1</v>
      </c>
      <c r="AG11" s="97" t="str" cm="1">
        <f t="array" aca="1" ref="AG11" ca="1">IFERROR(INDEX(INDIRECT(REPLACE($E$11,FIND("[",$E$11,1)+1,3,AG$7)),AG$10),"")</f>
        <v/>
      </c>
      <c r="AH11" s="97" t="str" cm="1">
        <f t="array" aca="1" ref="AH11" ca="1">IFERROR(INDEX(INDIRECT(REPLACE($E$11,FIND("[",$E$11,1)+1,3,AH$7)),AH$10),"")</f>
        <v/>
      </c>
      <c r="AI11" s="97" cm="1">
        <f t="array" aca="1" ref="AI11" ca="1">IFERROR(INDEX(INDIRECT(REPLACE($E$11,FIND("[",$E$11,1)+1,3,AI$7)),AI$10),"")</f>
        <v>1</v>
      </c>
      <c r="AJ11" s="97" t="str" cm="1">
        <f t="array" aca="1" ref="AJ11" ca="1">IFERROR(INDEX(INDIRECT(REPLACE($E$11,FIND("[",$E$11,1)+1,3,AJ$7)),AJ$10),"")</f>
        <v/>
      </c>
      <c r="AK11" s="97" t="str" cm="1">
        <f t="array" aca="1" ref="AK11" ca="1">IFERROR(INDEX(INDIRECT(REPLACE($E$11,FIND("[",$E$11,1)+1,3,AK$7)),AK$10),"")</f>
        <v/>
      </c>
      <c r="AL11" s="97" cm="1">
        <f t="array" aca="1" ref="AL11" ca="1">IFERROR(INDEX(INDIRECT(REPLACE($E$11,FIND("[",$E$11,1)+1,3,AL$7)),AL$10),"")</f>
        <v>1</v>
      </c>
      <c r="AM11" s="97" t="str" cm="1">
        <f t="array" aca="1" ref="AM11" ca="1">IFERROR(INDEX(INDIRECT(REPLACE($E$11,FIND("[",$E$11,1)+1,3,AM$7)),AM$10),"")</f>
        <v/>
      </c>
      <c r="AN11" s="97" t="str" cm="1">
        <f t="array" aca="1" ref="AN11" ca="1">IFERROR(INDEX(INDIRECT(REPLACE($E$11,FIND("[",$E$11,1)+1,3,AN$7)),AN$10),"")</f>
        <v/>
      </c>
      <c r="AO11" s="97" cm="1">
        <f t="array" aca="1" ref="AO11" ca="1">IFERROR(INDEX(INDIRECT(REPLACE($E$11,FIND("[",$E$11,1)+1,3,AO$7)),AO$10),"")</f>
        <v>1</v>
      </c>
      <c r="AP11" s="97" t="str" cm="1">
        <f t="array" aca="1" ref="AP11" ca="1">IFERROR(INDEX(INDIRECT(REPLACE($E$11,FIND("[",$E$11,1)+1,3,AP$7)),AP$10),"")</f>
        <v/>
      </c>
      <c r="AQ11" s="97" t="str" cm="1">
        <f t="array" aca="1" ref="AQ11" ca="1">IFERROR(INDEX(INDIRECT(REPLACE($E$11,FIND("[",$E$11,1)+1,3,AQ$7)),AQ$10),"")</f>
        <v/>
      </c>
      <c r="AR11" s="97" cm="1">
        <f t="array" aca="1" ref="AR11" ca="1">IFERROR(INDEX(INDIRECT(REPLACE($E$11,FIND("[",$E$11,1)+1,3,AR$7)),AR$10),"")</f>
        <v>0</v>
      </c>
      <c r="AS11" s="97" t="str" cm="1">
        <f t="array" aca="1" ref="AS11" ca="1">IFERROR(INDEX(INDIRECT(REPLACE($E$11,FIND("[",$E$11,1)+1,3,AS$7)),AS$10),"")</f>
        <v/>
      </c>
      <c r="AT11" s="97" t="str" cm="1">
        <f t="array" aca="1" ref="AT11" ca="1">IFERROR(INDEX(INDIRECT(REPLACE($E$11,FIND("[",$E$11,1)+1,3,AT$7)),AT$10),"")</f>
        <v/>
      </c>
      <c r="AU11" s="97" cm="1">
        <f t="array" aca="1" ref="AU11" ca="1">IFERROR(INDEX(INDIRECT(REPLACE($E$11,FIND("[",$E$11,1)+1,3,AU$7)),AU$10),"")</f>
        <v>0</v>
      </c>
      <c r="AV11" s="97" t="str" cm="1">
        <f t="array" aca="1" ref="AV11" ca="1">IFERROR(INDEX(INDIRECT(REPLACE($E$11,FIND("[",$E$11,1)+1,3,AV$7)),AV$10),"")</f>
        <v/>
      </c>
      <c r="AW11" s="97" t="str" cm="1">
        <f t="array" aca="1" ref="AW11" ca="1">IFERROR(INDEX(INDIRECT(REPLACE($E$11,FIND("[",$E$11,1)+1,3,AW$7)),AW$10),"")</f>
        <v/>
      </c>
      <c r="AX11" s="97" cm="1">
        <f t="array" aca="1" ref="AX11" ca="1">IFERROR(INDEX(INDIRECT(REPLACE($E$11,FIND("[",$E$11,1)+1,3,AX$7)),AX$10),"")</f>
        <v>0</v>
      </c>
      <c r="AY11" s="97" t="str" cm="1">
        <f t="array" aca="1" ref="AY11" ca="1">IFERROR(INDEX(INDIRECT(REPLACE($E$11,FIND("[",$E$11,1)+1,3,AY$7)),AY$10),"")</f>
        <v/>
      </c>
      <c r="AZ11" s="97" t="str" cm="1">
        <f t="array" aca="1" ref="AZ11" ca="1">IFERROR(INDEX(INDIRECT(REPLACE($E$11,FIND("[",$E$11,1)+1,3,AZ$7)),AZ$10),"")</f>
        <v/>
      </c>
      <c r="BA11" s="97" cm="1">
        <f t="array" aca="1" ref="BA11" ca="1">IFERROR(INDEX(INDIRECT(REPLACE($E$11,FIND("[",$E$11,1)+1,3,BA$7)),BA$10),"")</f>
        <v>1</v>
      </c>
      <c r="BB11" s="97" t="str" cm="1">
        <f t="array" aca="1" ref="BB11" ca="1">IFERROR(INDEX(INDIRECT(REPLACE($E$11,FIND("[",$E$11,1)+1,3,BB$7)),BB$10),"")</f>
        <v/>
      </c>
      <c r="BC11" s="97" t="str" cm="1">
        <f t="array" aca="1" ref="BC11" ca="1">IFERROR(INDEX(INDIRECT(REPLACE($E$11,FIND("[",$E$11,1)+1,3,BC$7)),BC$10),"")</f>
        <v/>
      </c>
      <c r="BD11" s="97" cm="1">
        <f t="array" aca="1" ref="BD11" ca="1">IFERROR(INDEX(INDIRECT(REPLACE($E$11,FIND("[",$E$11,1)+1,3,BD$7)),BD$10),"")</f>
        <v>0</v>
      </c>
      <c r="BE11" s="97" t="str" cm="1">
        <f t="array" aca="1" ref="BE11" ca="1">IFERROR(INDEX(INDIRECT(REPLACE($E$11,FIND("[",$E$11,1)+1,3,BE$7)),BE$10),"")</f>
        <v/>
      </c>
      <c r="BF11" s="97" t="str" cm="1">
        <f t="array" aca="1" ref="BF11" ca="1">IFERROR(INDEX(INDIRECT(REPLACE($E$11,FIND("[",$E$11,1)+1,3,BF$7)),BF$10),"")</f>
        <v/>
      </c>
      <c r="BG11" s="97" cm="1">
        <f t="array" aca="1" ref="BG11" ca="1">IFERROR(INDEX(INDIRECT(REPLACE($E$11,FIND("[",$E$11,1)+1,3,BG$7)),BG$10),"")</f>
        <v>0</v>
      </c>
      <c r="BH11" s="97" t="str" cm="1">
        <f t="array" aca="1" ref="BH11" ca="1">IFERROR(INDEX(INDIRECT(REPLACE($E$11,FIND("[",$E$11,1)+1,3,BH$7)),BH$10),"")</f>
        <v/>
      </c>
      <c r="BI11" s="97" t="str" cm="1">
        <f t="array" aca="1" ref="BI11" ca="1">IFERROR(INDEX(INDIRECT(REPLACE($E$11,FIND("[",$E$11,1)+1,3,BI$7)),BI$10),"")</f>
        <v/>
      </c>
      <c r="BJ11" s="97" cm="1">
        <f t="array" aca="1" ref="BJ11" ca="1">IFERROR(INDEX(INDIRECT(REPLACE($E$11,FIND("[",$E$11,1)+1,3,BJ$7)),BJ$10),"")</f>
        <v>0</v>
      </c>
      <c r="BK11" s="97" t="str" cm="1">
        <f t="array" aca="1" ref="BK11" ca="1">IFERROR(INDEX(INDIRECT(REPLACE($E$11,FIND("[",$E$11,1)+1,3,BK$7)),BK$10),"")</f>
        <v/>
      </c>
      <c r="BL11" s="97" t="str" cm="1">
        <f t="array" aca="1" ref="BL11" ca="1">IFERROR(INDEX(INDIRECT(REPLACE($E$11,FIND("[",$E$11,1)+1,3,BL$7)),BL$10),"")</f>
        <v/>
      </c>
      <c r="BM11" s="97" cm="1">
        <f t="array" aca="1" ref="BM11" ca="1">IFERROR(INDEX(INDIRECT(REPLACE($E$11,FIND("[",$E$11,1)+1,3,BM$7)),BM$10),"")</f>
        <v>1</v>
      </c>
      <c r="BN11" s="97" t="str" cm="1">
        <f t="array" aca="1" ref="BN11" ca="1">IFERROR(INDEX(INDIRECT(REPLACE($E$11,FIND("[",$E$11,1)+1,3,BN$7)),BN$10),"")</f>
        <v/>
      </c>
      <c r="BO11" s="97" t="str" cm="1">
        <f t="array" aca="1" ref="BO11" ca="1">IFERROR(INDEX(INDIRECT(REPLACE($E$11,FIND("[",$E$11,1)+1,3,BO$7)),BO$10),"")</f>
        <v/>
      </c>
      <c r="BP11" s="97" cm="1">
        <f t="array" aca="1" ref="BP11" ca="1">IFERROR(INDEX(INDIRECT(REPLACE($E$11,FIND("[",$E$11,1)+1,3,BP$7)),BP$10),"")</f>
        <v>0</v>
      </c>
      <c r="BQ11" s="97" t="str" cm="1">
        <f t="array" aca="1" ref="BQ11" ca="1">IFERROR(INDEX(INDIRECT(REPLACE($E$11,FIND("[",$E$11,1)+1,3,BQ$7)),BQ$10),"")</f>
        <v/>
      </c>
      <c r="BR11" s="97" t="str" cm="1">
        <f t="array" aca="1" ref="BR11" ca="1">IFERROR(INDEX(INDIRECT(REPLACE($E$11,FIND("[",$E$11,1)+1,3,BR$7)),BR$10),"")</f>
        <v/>
      </c>
      <c r="BS11" s="97" cm="1">
        <f t="array" aca="1" ref="BS11" ca="1">IFERROR(INDEX(INDIRECT(REPLACE($E$11,FIND("[",$E$11,1)+1,3,BS$7)),BS$10),"")</f>
        <v>0</v>
      </c>
      <c r="BT11" s="97" t="str" cm="1">
        <f t="array" aca="1" ref="BT11" ca="1">IFERROR(INDEX(INDIRECT(REPLACE($E$11,FIND("[",$E$11,1)+1,3,BT$7)),BT$10),"")</f>
        <v/>
      </c>
      <c r="BU11" s="97" t="str" cm="1">
        <f t="array" aca="1" ref="BU11" ca="1">IFERROR(INDEX(INDIRECT(REPLACE($E$11,FIND("[",$E$11,1)+1,3,BU$7)),BU$10),"")</f>
        <v/>
      </c>
      <c r="BV11" s="97" cm="1">
        <f t="array" aca="1" ref="BV11" ca="1">IFERROR(INDEX(INDIRECT(REPLACE($E$11,FIND("[",$E$11,1)+1,3,BV$7)),BV$10),"")</f>
        <v>0</v>
      </c>
      <c r="BW11" s="97" t="str" cm="1">
        <f t="array" aca="1" ref="BW11" ca="1">IFERROR(INDEX(INDIRECT(REPLACE($E$11,FIND("[",$E$11,1)+1,3,BW$7)),BW$10),"")</f>
        <v/>
      </c>
      <c r="BX11" s="97" t="str" cm="1">
        <f t="array" aca="1" ref="BX11" ca="1">IFERROR(INDEX(INDIRECT(REPLACE($E$11,FIND("[",$E$11,1)+1,3,BX$7)),BX$10),"")</f>
        <v/>
      </c>
      <c r="BY11" s="97" cm="1">
        <f t="array" aca="1" ref="BY11" ca="1">IFERROR(INDEX(INDIRECT(REPLACE($E$11,FIND("[",$E$11,1)+1,3,BY$7)),BY$10),"")</f>
        <v>1</v>
      </c>
      <c r="BZ11" s="97" t="str" cm="1">
        <f t="array" aca="1" ref="BZ11" ca="1">IFERROR(INDEX(INDIRECT(REPLACE($E$11,FIND("[",$E$11,1)+1,3,BZ$7)),BZ$10),"")</f>
        <v/>
      </c>
      <c r="CA11" s="97" t="str" cm="1">
        <f t="array" aca="1" ref="CA11" ca="1">IFERROR(INDEX(INDIRECT(REPLACE($E$11,FIND("[",$E$11,1)+1,3,CA$7)),CA$10),"")</f>
        <v/>
      </c>
      <c r="CB11" s="97" cm="1">
        <f t="array" aca="1" ref="CB11" ca="1">IFERROR(INDEX(INDIRECT(REPLACE($E$11,FIND("[",$E$11,1)+1,3,CB$7)),CB$10),"")</f>
        <v>2</v>
      </c>
      <c r="CC11" s="97" t="str" cm="1">
        <f t="array" aca="1" ref="CC11" ca="1">IFERROR(INDEX(INDIRECT(REPLACE($E$11,FIND("[",$E$11,1)+1,3,CC$7)),CC$10),"")</f>
        <v/>
      </c>
      <c r="CD11" s="97" t="str" cm="1">
        <f t="array" aca="1" ref="CD11" ca="1">IFERROR(INDEX(INDIRECT(REPLACE($E$11,FIND("[",$E$11,1)+1,3,CD$7)),CD$10),"")</f>
        <v/>
      </c>
      <c r="CE11" s="97" cm="1">
        <f t="array" aca="1" ref="CE11" ca="1">IFERROR(INDEX(INDIRECT(REPLACE($E$11,FIND("[",$E$11,1)+1,3,CE$7)),CE$10),"")</f>
        <v>2</v>
      </c>
      <c r="CF11" s="97" t="str" cm="1">
        <f t="array" aca="1" ref="CF11" ca="1">IFERROR(INDEX(INDIRECT(REPLACE($E$11,FIND("[",$E$11,1)+1,3,CF$7)),CF$10),"")</f>
        <v/>
      </c>
      <c r="CG11" s="97" t="str" cm="1">
        <f t="array" aca="1" ref="CG11" ca="1">IFERROR(INDEX(INDIRECT(REPLACE($E$11,FIND("[",$E$11,1)+1,3,CG$7)),CG$10),"")</f>
        <v/>
      </c>
      <c r="CH11" s="97" cm="1">
        <f t="array" aca="1" ref="CH11" ca="1">IFERROR(INDEX(INDIRECT(REPLACE($E$11,FIND("[",$E$11,1)+1,3,CH$7)),CH$10),"")</f>
        <v>2</v>
      </c>
      <c r="CI11" s="97" t="str" cm="1">
        <f t="array" aca="1" ref="CI11" ca="1">IFERROR(INDEX(INDIRECT(REPLACE($E$11,FIND("[",$E$11,1)+1,3,CI$7)),CI$10),"")</f>
        <v/>
      </c>
      <c r="CJ11" s="97" t="str" cm="1">
        <f t="array" aca="1" ref="CJ11" ca="1">IFERROR(INDEX(INDIRECT(REPLACE($E$11,FIND("[",$E$11,1)+1,3,CJ$7)),CJ$10),"")</f>
        <v/>
      </c>
      <c r="CK11" s="97" cm="1">
        <f t="array" aca="1" ref="CK11" ca="1">IFERROR(INDEX(INDIRECT(REPLACE($E$11,FIND("[",$E$11,1)+1,3,CK$7)),CK$10),"")</f>
        <v>1</v>
      </c>
      <c r="CL11" s="97" t="str" cm="1">
        <f t="array" aca="1" ref="CL11" ca="1">IFERROR(INDEX(INDIRECT(REPLACE($E$11,FIND("[",$E$11,1)+1,3,CL$7)),CL$10),"")</f>
        <v/>
      </c>
      <c r="CM11" s="97" t="str" cm="1">
        <f t="array" aca="1" ref="CM11" ca="1">IFERROR(INDEX(INDIRECT(REPLACE($E$11,FIND("[",$E$11,1)+1,3,CM$7)),CM$10),"")</f>
        <v/>
      </c>
      <c r="CN11" s="97" cm="1">
        <f t="array" aca="1" ref="CN11" ca="1">IFERROR(INDEX(INDIRECT(REPLACE($E$11,FIND("[",$E$11,1)+1,3,CN$7)),CN$10),"")</f>
        <v>2</v>
      </c>
      <c r="CO11" s="97" t="str" cm="1">
        <f t="array" aca="1" ref="CO11" ca="1">IFERROR(INDEX(INDIRECT(REPLACE($E$11,FIND("[",$E$11,1)+1,3,CO$7)),CO$10),"")</f>
        <v/>
      </c>
      <c r="CP11" s="97" t="str" cm="1">
        <f t="array" aca="1" ref="CP11" ca="1">IFERROR(INDEX(INDIRECT(REPLACE($E$11,FIND("[",$E$11,1)+1,3,CP$7)),CP$10),"")</f>
        <v/>
      </c>
      <c r="CQ11" s="97" cm="1">
        <f t="array" aca="1" ref="CQ11" ca="1">IFERROR(INDEX(INDIRECT(REPLACE($E$11,FIND("[",$E$11,1)+1,3,CQ$7)),CQ$10),"")</f>
        <v>2</v>
      </c>
      <c r="CR11" s="97" t="str" cm="1">
        <f t="array" aca="1" ref="CR11" ca="1">IFERROR(INDEX(INDIRECT(REPLACE($E$11,FIND("[",$E$11,1)+1,3,CR$7)),CR$10),"")</f>
        <v/>
      </c>
      <c r="CS11" s="97" t="str" cm="1">
        <f t="array" aca="1" ref="CS11" ca="1">IFERROR(INDEX(INDIRECT(REPLACE($E$11,FIND("[",$E$11,1)+1,3,CS$7)),CS$10),"")</f>
        <v/>
      </c>
      <c r="CT11" s="97" cm="1">
        <f t="array" aca="1" ref="CT11" ca="1">IFERROR(INDEX(INDIRECT(REPLACE($E$11,FIND("[",$E$11,1)+1,3,CT$7)),CT$10),"")</f>
        <v>2</v>
      </c>
      <c r="CU11" s="97" t="str" cm="1">
        <f t="array" aca="1" ref="CU11" ca="1">IFERROR(INDEX(INDIRECT(REPLACE($E$11,FIND("[",$E$11,1)+1,3,CU$7)),CU$10),"")</f>
        <v/>
      </c>
      <c r="CV11" s="97" t="str" cm="1">
        <f t="array" aca="1" ref="CV11" ca="1">IFERROR(INDEX(INDIRECT(REPLACE($E$11,FIND("[",$E$11,1)+1,3,CV$7)),CV$10),"")</f>
        <v/>
      </c>
      <c r="CW11" s="97" cm="1">
        <f t="array" aca="1" ref="CW11" ca="1">IFERROR(INDEX(INDIRECT(REPLACE($E$11,FIND("[",$E$11,1)+1,3,CW$7)),CW$10),"")</f>
        <v>1</v>
      </c>
      <c r="CX11" s="97" t="str" cm="1">
        <f t="array" aca="1" ref="CX11" ca="1">IFERROR(INDEX(INDIRECT(REPLACE($E$11,FIND("[",$E$11,1)+1,3,CX$7)),CX$10),"")</f>
        <v/>
      </c>
      <c r="CY11" s="97" t="str" cm="1">
        <f t="array" aca="1" ref="CY11" ca="1">IFERROR(INDEX(INDIRECT(REPLACE($E$11,FIND("[",$E$11,1)+1,3,CY$7)),CY$10),"")</f>
        <v/>
      </c>
      <c r="CZ11" s="97" cm="1">
        <f t="array" aca="1" ref="CZ11" ca="1">IFERROR(INDEX(INDIRECT(REPLACE($E$11,FIND("[",$E$11,1)+1,3,CZ$7)),CZ$10),"")</f>
        <v>2</v>
      </c>
      <c r="DA11" s="97" t="str" cm="1">
        <f t="array" aca="1" ref="DA11" ca="1">IFERROR(INDEX(INDIRECT(REPLACE($E$11,FIND("[",$E$11,1)+1,3,DA$7)),DA$10),"")</f>
        <v/>
      </c>
      <c r="DB11" s="97" t="str" cm="1">
        <f t="array" aca="1" ref="DB11" ca="1">IFERROR(INDEX(INDIRECT(REPLACE($E$11,FIND("[",$E$11,1)+1,3,DB$7)),DB$10),"")</f>
        <v/>
      </c>
      <c r="DC11" s="97" cm="1">
        <f t="array" aca="1" ref="DC11" ca="1">IFERROR(INDEX(INDIRECT(REPLACE($E$11,FIND("[",$E$11,1)+1,3,DC$7)),DC$10),"")</f>
        <v>2</v>
      </c>
      <c r="DD11" s="97" t="str" cm="1">
        <f t="array" aca="1" ref="DD11" ca="1">IFERROR(INDEX(INDIRECT(REPLACE($E$11,FIND("[",$E$11,1)+1,3,DD$7)),DD$10),"")</f>
        <v/>
      </c>
      <c r="DE11" s="97" t="str" cm="1">
        <f t="array" aca="1" ref="DE11" ca="1">IFERROR(INDEX(INDIRECT(REPLACE($E$11,FIND("[",$E$11,1)+1,3,DE$7)),DE$10),"")</f>
        <v/>
      </c>
      <c r="DF11" s="97" cm="1">
        <f t="array" aca="1" ref="DF11" ca="1">IFERROR(INDEX(INDIRECT(REPLACE($E$11,FIND("[",$E$11,1)+1,3,DF$7)),DF$10),"")</f>
        <v>2</v>
      </c>
      <c r="DG11" s="97" t="str" cm="1">
        <f t="array" aca="1" ref="DG11" ca="1">IFERROR(INDEX(INDIRECT(REPLACE($E$11,FIND("[",$E$11,1)+1,3,DG$7)),DG$10),"")</f>
        <v/>
      </c>
      <c r="DH11" s="97" t="str" cm="1">
        <f t="array" aca="1" ref="DH11" ca="1">IFERROR(INDEX(INDIRECT(REPLACE($E$11,FIND("[",$E$11,1)+1,3,DH$7)),DH$10),"")</f>
        <v/>
      </c>
      <c r="DI11" s="97" cm="1">
        <f t="array" aca="1" ref="DI11" ca="1">IFERROR(INDEX(INDIRECT(REPLACE($E$11,FIND("[",$E$11,1)+1,3,DI$7)),DI$10),"")</f>
        <v>1</v>
      </c>
      <c r="DJ11" s="97" t="str" cm="1">
        <f t="array" aca="1" ref="DJ11" ca="1">IFERROR(INDEX(INDIRECT(REPLACE($E$11,FIND("[",$E$11,1)+1,3,DJ$7)),DJ$10),"")</f>
        <v/>
      </c>
      <c r="DK11" s="97" cm="1">
        <f t="array" aca="1" ref="DK11" ca="1">IFERROR(INDEX(INDIRECT(REPLACE($E$11,FIND("[",$E$11,1)+1,3,DK$7)),DK$10),"")</f>
        <v>2</v>
      </c>
      <c r="DL11" s="97" cm="1">
        <f t="array" aca="1" ref="DL11" ca="1">IFERROR(INDEX(INDIRECT(REPLACE($E$11,FIND("[",$E$11,1)+1,3,DL$7)),DL$10),"")</f>
        <v>2</v>
      </c>
      <c r="DM11" s="97" cm="1">
        <f t="array" aca="1" ref="DM11" ca="1">IFERROR(INDEX(INDIRECT(REPLACE($E$11,FIND("[",$E$11,1)+1,3,DM$7)),DM$10),"")</f>
        <v>1</v>
      </c>
      <c r="DN11" s="97" cm="1">
        <f t="array" aca="1" ref="DN11" ca="1">IFERROR(INDEX(INDIRECT(REPLACE($E$11,FIND("[",$E$11,1)+1,3,DN$7)),DN$10),"")</f>
        <v>1</v>
      </c>
      <c r="DO11" s="97" t="str" cm="1">
        <f t="array" aca="1" ref="DO11" ca="1">IFERROR(INDEX(INDIRECT(REPLACE($E$11,FIND("[",$E$11,1)+1,3,DO$7)),DO$10),"")</f>
        <v/>
      </c>
      <c r="DP11" s="97" t="str" cm="1">
        <f t="array" aca="1" ref="DP11" ca="1">IFERROR(INDEX(INDIRECT(REPLACE($E$11,FIND("[",$E$11,1)+1,3,DP$7)),DP$10),"")</f>
        <v/>
      </c>
      <c r="DQ11" s="97" t="str" cm="1">
        <f t="array" aca="1" ref="DQ11" ca="1">IFERROR(INDEX(INDIRECT(REPLACE($E$11,FIND("[",$E$11,1)+1,3,DQ$7)),DQ$10),"")</f>
        <v/>
      </c>
      <c r="DR11" s="97" t="str" cm="1">
        <f t="array" aca="1" ref="DR11" ca="1">IFERROR(INDEX(INDIRECT(REPLACE($E$11,FIND("[",$E$11,1)+1,3,DR$7)),DR$10),"")</f>
        <v/>
      </c>
      <c r="DS11" s="97" t="str" cm="1">
        <f t="array" aca="1" ref="DS11" ca="1">IFERROR(INDEX(INDIRECT(REPLACE($E$11,FIND("[",$E$11,1)+1,3,DS$7)),DS$10),"")</f>
        <v/>
      </c>
      <c r="DT11" s="97" t="str" cm="1">
        <f t="array" aca="1" ref="DT11" ca="1">IFERROR(INDEX(INDIRECT(REPLACE($E$11,FIND("[",$E$11,1)+1,3,DT$7)),DT$10),"")</f>
        <v/>
      </c>
      <c r="DU11" s="97" t="str" cm="1">
        <f t="array" aca="1" ref="DU11" ca="1">IFERROR(INDEX(INDIRECT(REPLACE($E$11,FIND("[",$E$11,1)+1,3,DU$7)),DU$10),"")</f>
        <v/>
      </c>
      <c r="DV11" s="97" t="str" cm="1">
        <f t="array" aca="1" ref="DV11" ca="1">IFERROR(INDEX(INDIRECT(REPLACE($E$11,FIND("[",$E$11,1)+1,3,DV$7)),DV$10),"")</f>
        <v/>
      </c>
      <c r="DW11" s="97" t="str" cm="1">
        <f t="array" aca="1" ref="DW11" ca="1">IFERROR(INDEX(INDIRECT(REPLACE($E$11,FIND("[",$E$11,1)+1,3,DW$7)),DW$10),"")</f>
        <v/>
      </c>
      <c r="DX11" s="97" t="str" cm="1">
        <f t="array" aca="1" ref="DX11" ca="1">IFERROR(INDEX(INDIRECT(REPLACE($E$11,FIND("[",$E$11,1)+1,3,DX$7)),DX$10),"")</f>
        <v/>
      </c>
      <c r="DY11" s="97" t="str" cm="1">
        <f t="array" aca="1" ref="DY11" ca="1">IFERROR(INDEX(INDIRECT(REPLACE($E$11,FIND("[",$E$11,1)+1,3,DY$7)),DY$10),"")</f>
        <v/>
      </c>
      <c r="DZ11" s="97" t="str" cm="1">
        <f t="array" aca="1" ref="DZ11" ca="1">IFERROR(INDEX(INDIRECT(REPLACE($E$11,FIND("[",$E$11,1)+1,3,DZ$7)),DZ$10),"")</f>
        <v/>
      </c>
      <c r="EA11" s="97" t="str" cm="1">
        <f t="array" aca="1" ref="EA11" ca="1">IFERROR(INDEX(INDIRECT(REPLACE($E$11,FIND("[",$E$11,1)+1,3,EA$7)),EA$10),"")</f>
        <v/>
      </c>
      <c r="EB11" s="97" t="str" cm="1">
        <f t="array" aca="1" ref="EB11" ca="1">IFERROR(INDEX(INDIRECT(REPLACE($E$11,FIND("[",$E$11,1)+1,3,EB$7)),EB$10),"")</f>
        <v/>
      </c>
      <c r="EC11" s="97" t="str" cm="1">
        <f t="array" aca="1" ref="EC11" ca="1">IFERROR(INDEX(INDIRECT(REPLACE($E$11,FIND("[",$E$11,1)+1,3,EC$7)),EC$10),"")</f>
        <v/>
      </c>
      <c r="ED11" s="97" t="str" cm="1">
        <f t="array" aca="1" ref="ED11" ca="1">IFERROR(INDEX(INDIRECT(REPLACE($E$11,FIND("[",$E$11,1)+1,3,ED$7)),ED$10),"")</f>
        <v/>
      </c>
      <c r="EE11" s="97" t="str" cm="1">
        <f t="array" aca="1" ref="EE11" ca="1">IFERROR(INDEX(INDIRECT(REPLACE($E$11,FIND("[",$E$11,1)+1,3,EE$7)),EE$10),"")</f>
        <v/>
      </c>
      <c r="EF11" s="97" cm="1">
        <f t="array" aca="1" ref="EF11" ca="1">IFERROR(INDEX(INDIRECT(REPLACE($E$11,FIND("[",$E$11,1)+1,3,EF$7)),EF$10),"")</f>
        <v>1</v>
      </c>
      <c r="EG11" s="97" cm="1">
        <f t="array" aca="1" ref="EG11" ca="1">IFERROR(INDEX(INDIRECT(REPLACE($E$11,FIND("[",$E$11,1)+1,3,EG$7)),EG$10),"")</f>
        <v>0</v>
      </c>
      <c r="EH11" s="97" cm="1">
        <f t="array" aca="1" ref="EH11" ca="1">IFERROR(INDEX(INDIRECT(REPLACE($E$11,FIND("[",$E$11,1)+1,3,EH$7)),EH$10),"")</f>
        <v>1</v>
      </c>
      <c r="EI11" s="97" cm="1">
        <f t="array" aca="1" ref="EI11" ca="1">IFERROR(INDEX(INDIRECT(REPLACE($E$11,FIND("[",$E$11,1)+1,3,EI$7)),EI$10),"")</f>
        <v>1</v>
      </c>
      <c r="EJ11" s="97" t="str" cm="1">
        <f t="array" aca="1" ref="EJ11" ca="1">IFERROR(INDEX(INDIRECT(REPLACE($E$11,FIND("[",$E$11,1)+1,3,EJ$7)),EJ$10),"")</f>
        <v/>
      </c>
      <c r="EK11" s="97" t="str" cm="1">
        <f t="array" aca="1" ref="EK11" ca="1">IFERROR(INDEX(INDIRECT(REPLACE($E$11,FIND("[",$E$11,1)+1,3,EK$7)),EK$10),"")</f>
        <v/>
      </c>
      <c r="EL11" s="97" t="str" cm="1">
        <f t="array" aca="1" ref="EL11" ca="1">IFERROR(INDEX(INDIRECT(REPLACE($E$11,FIND("[",$E$11,1)+1,3,EL$7)),EL$10),"")</f>
        <v/>
      </c>
      <c r="EM11" s="97" t="str" cm="1">
        <f t="array" aca="1" ref="EM11" ca="1">IFERROR(INDEX(INDIRECT(REPLACE($E$11,FIND("[",$E$11,1)+1,3,EM$7)),EM$10),"")</f>
        <v/>
      </c>
      <c r="EN11" s="97" t="str" cm="1">
        <f t="array" aca="1" ref="EN11" ca="1">IFERROR(INDEX(INDIRECT(REPLACE($E$11,FIND("[",$E$11,1)+1,3,EN$7)),EN$10),"")</f>
        <v/>
      </c>
      <c r="EO11" s="97" t="str" cm="1">
        <f t="array" aca="1" ref="EO11" ca="1">IFERROR(INDEX(INDIRECT(REPLACE($E$11,FIND("[",$E$11,1)+1,3,EO$7)),EO$10),"")</f>
        <v/>
      </c>
      <c r="EP11" s="97" t="str" cm="1">
        <f t="array" aca="1" ref="EP11" ca="1">IFERROR(INDEX(INDIRECT(REPLACE($E$11,FIND("[",$E$11,1)+1,3,EP$7)),EP$10),"")</f>
        <v/>
      </c>
      <c r="EQ11" s="97" t="str" cm="1">
        <f t="array" aca="1" ref="EQ11" ca="1">IFERROR(INDEX(INDIRECT(REPLACE($E$11,FIND("[",$E$11,1)+1,3,EQ$7)),EQ$10),"")</f>
        <v/>
      </c>
      <c r="ER11" s="97" t="str" cm="1">
        <f t="array" aca="1" ref="ER11" ca="1">IFERROR(INDEX(INDIRECT(REPLACE($E$11,FIND("[",$E$11,1)+1,3,ER$7)),ER$10),"")</f>
        <v/>
      </c>
      <c r="ES11" s="97" t="str" cm="1">
        <f t="array" aca="1" ref="ES11" ca="1">IFERROR(INDEX(INDIRECT(REPLACE($E$11,FIND("[",$E$11,1)+1,3,ES$7)),ES$10),"")</f>
        <v/>
      </c>
      <c r="ET11" s="97" t="str" cm="1">
        <f t="array" aca="1" ref="ET11" ca="1">IFERROR(INDEX(INDIRECT(REPLACE($E$11,FIND("[",$E$11,1)+1,3,ET$7)),ET$10),"")</f>
        <v/>
      </c>
      <c r="EU11" s="97" t="str" cm="1">
        <f t="array" aca="1" ref="EU11" ca="1">IFERROR(INDEX(INDIRECT(REPLACE($E$11,FIND("[",$E$11,1)+1,3,EU$7)),EU$10),"")</f>
        <v/>
      </c>
      <c r="EV11" s="97" t="str" cm="1">
        <f t="array" aca="1" ref="EV11" ca="1">IFERROR(INDEX(INDIRECT(REPLACE($E$11,FIND("[",$E$11,1)+1,3,EV$7)),EV$10),"")</f>
        <v/>
      </c>
      <c r="EW11" s="97" t="str" cm="1">
        <f t="array" aca="1" ref="EW11" ca="1">IFERROR(INDEX(INDIRECT(REPLACE($E$11,FIND("[",$E$11,1)+1,3,EW$7)),EW$10),"")</f>
        <v/>
      </c>
      <c r="EX11" s="97" t="str" cm="1">
        <f t="array" aca="1" ref="EX11" ca="1">IFERROR(INDEX(INDIRECT(REPLACE($E$11,FIND("[",$E$11,1)+1,3,EX$7)),EX$10),"")</f>
        <v/>
      </c>
      <c r="EY11" s="97" t="str" cm="1">
        <f t="array" aca="1" ref="EY11" ca="1">IFERROR(INDEX(INDIRECT(REPLACE($E$11,FIND("[",$E$11,1)+1,3,EY$7)),EY$10),"")</f>
        <v/>
      </c>
      <c r="EZ11" s="97" t="str" cm="1">
        <f t="array" aca="1" ref="EZ11" ca="1">IFERROR(INDEX(INDIRECT(REPLACE($E$11,FIND("[",$E$11,1)+1,3,EZ$7)),EZ$10),"")</f>
        <v/>
      </c>
      <c r="FA11" s="97" cm="1">
        <f t="array" aca="1" ref="FA11" ca="1">IFERROR(INDEX(INDIRECT(REPLACE($E$11,FIND("[",$E$11,1)+1,3,FA$7)),FA$10),"")</f>
        <v>0</v>
      </c>
      <c r="FB11" s="97" cm="1">
        <f t="array" aca="1" ref="FB11" ca="1">IFERROR(INDEX(INDIRECT(REPLACE($E$11,FIND("[",$E$11,1)+1,3,FB$7)),FB$10),"")</f>
        <v>0</v>
      </c>
      <c r="FC11" s="97" cm="1">
        <f t="array" aca="1" ref="FC11" ca="1">IFERROR(INDEX(INDIRECT(REPLACE($E$11,FIND("[",$E$11,1)+1,3,FC$7)),FC$10),"")</f>
        <v>1</v>
      </c>
      <c r="FD11" s="97" cm="1">
        <f t="array" aca="1" ref="FD11" ca="1">IFERROR(INDEX(INDIRECT(REPLACE($E$11,FIND("[",$E$11,1)+1,3,FD$7)),FD$10),"")</f>
        <v>1</v>
      </c>
      <c r="FE11" s="97" t="str" cm="1">
        <f t="array" aca="1" ref="FE11" ca="1">IFERROR(INDEX(INDIRECT(REPLACE($E$11,FIND("[",$E$11,1)+1,3,FE$7)),FE$10),"")</f>
        <v/>
      </c>
      <c r="FF11" s="97" t="str" cm="1">
        <f t="array" aca="1" ref="FF11" ca="1">IFERROR(INDEX(INDIRECT(REPLACE($E$11,FIND("[",$E$11,1)+1,3,FF$7)),FF$10),"")</f>
        <v/>
      </c>
      <c r="FG11" s="97" t="str" cm="1">
        <f t="array" aca="1" ref="FG11" ca="1">IFERROR(INDEX(INDIRECT(REPLACE($E$11,FIND("[",$E$11,1)+1,3,FG$7)),FG$10),"")</f>
        <v/>
      </c>
      <c r="FH11" s="97" t="str" cm="1">
        <f t="array" aca="1" ref="FH11" ca="1">IFERROR(INDEX(INDIRECT(REPLACE($E$11,FIND("[",$E$11,1)+1,3,FH$7)),FH$10),"")</f>
        <v/>
      </c>
      <c r="FI11" s="97" t="str" cm="1">
        <f t="array" aca="1" ref="FI11" ca="1">IFERROR(INDEX(INDIRECT(REPLACE($E$11,FIND("[",$E$11,1)+1,3,FI$7)),FI$10),"")</f>
        <v/>
      </c>
      <c r="FJ11" s="97" t="str" cm="1">
        <f t="array" aca="1" ref="FJ11" ca="1">IFERROR(INDEX(INDIRECT(REPLACE($E$11,FIND("[",$E$11,1)+1,3,FJ$7)),FJ$10),"")</f>
        <v/>
      </c>
      <c r="FK11" s="97" t="str" cm="1">
        <f t="array" aca="1" ref="FK11" ca="1">IFERROR(INDEX(INDIRECT(REPLACE($E$11,FIND("[",$E$11,1)+1,3,FK$7)),FK$10),"")</f>
        <v/>
      </c>
      <c r="FL11" s="97" t="str" cm="1">
        <f t="array" aca="1" ref="FL11" ca="1">IFERROR(INDEX(INDIRECT(REPLACE($E$11,FIND("[",$E$11,1)+1,3,FL$7)),FL$10),"")</f>
        <v/>
      </c>
      <c r="FM11" s="97" t="str" cm="1">
        <f t="array" aca="1" ref="FM11" ca="1">IFERROR(INDEX(INDIRECT(REPLACE($E$11,FIND("[",$E$11,1)+1,3,FM$7)),FM$10),"")</f>
        <v/>
      </c>
      <c r="FN11" s="97" t="str" cm="1">
        <f t="array" aca="1" ref="FN11" ca="1">IFERROR(INDEX(INDIRECT(REPLACE($E$11,FIND("[",$E$11,1)+1,3,FN$7)),FN$10),"")</f>
        <v/>
      </c>
      <c r="FO11" s="97" t="str" cm="1">
        <f t="array" aca="1" ref="FO11" ca="1">IFERROR(INDEX(INDIRECT(REPLACE($E$11,FIND("[",$E$11,1)+1,3,FO$7)),FO$10),"")</f>
        <v/>
      </c>
      <c r="FP11" s="97" t="str" cm="1">
        <f t="array" aca="1" ref="FP11" ca="1">IFERROR(INDEX(INDIRECT(REPLACE($E$11,FIND("[",$E$11,1)+1,3,FP$7)),FP$10),"")</f>
        <v/>
      </c>
      <c r="FQ11" s="97" t="str" cm="1">
        <f t="array" aca="1" ref="FQ11" ca="1">IFERROR(INDEX(INDIRECT(REPLACE($E$11,FIND("[",$E$11,1)+1,3,FQ$7)),FQ$10),"")</f>
        <v/>
      </c>
      <c r="FR11" s="97" t="str" cm="1">
        <f t="array" aca="1" ref="FR11" ca="1">IFERROR(INDEX(INDIRECT(REPLACE($E$11,FIND("[",$E$11,1)+1,3,FR$7)),FR$10),"")</f>
        <v/>
      </c>
      <c r="FS11" s="97" t="str" cm="1">
        <f t="array" aca="1" ref="FS11" ca="1">IFERROR(INDEX(INDIRECT(REPLACE($E$11,FIND("[",$E$11,1)+1,3,FS$7)),FS$10),"")</f>
        <v/>
      </c>
      <c r="FT11" s="97" t="str" cm="1">
        <f t="array" aca="1" ref="FT11" ca="1">IFERROR(INDEX(INDIRECT(REPLACE($E$11,FIND("[",$E$11,1)+1,3,FT$7)),FT$10),"")</f>
        <v/>
      </c>
      <c r="FU11" s="97" t="str" cm="1">
        <f t="array" aca="1" ref="FU11" ca="1">IFERROR(INDEX(INDIRECT(REPLACE($E$11,FIND("[",$E$11,1)+1,3,FU$7)),FU$10),"")</f>
        <v/>
      </c>
      <c r="FV11" s="97" cm="1">
        <f t="array" aca="1" ref="FV11" ca="1">IFERROR(INDEX(INDIRECT(REPLACE($E$11,FIND("[",$E$11,1)+1,3,FV$7)),FV$10),"")</f>
        <v>2</v>
      </c>
      <c r="FW11" s="97" cm="1">
        <f t="array" aca="1" ref="FW11" ca="1">IFERROR(INDEX(INDIRECT(REPLACE($E$11,FIND("[",$E$11,1)+1,3,FW$7)),FW$10),"")</f>
        <v>2</v>
      </c>
      <c r="FX11" s="97" cm="1">
        <f t="array" aca="1" ref="FX11" ca="1">IFERROR(INDEX(INDIRECT(REPLACE($E$11,FIND("[",$E$11,1)+1,3,FX$7)),FX$10),"")</f>
        <v>2</v>
      </c>
      <c r="FY11" s="97" cm="1">
        <f t="array" aca="1" ref="FY11" ca="1">IFERROR(INDEX(INDIRECT(REPLACE($E$11,FIND("[",$E$11,1)+1,3,FY$7)),FY$10),"")</f>
        <v>1</v>
      </c>
      <c r="FZ11" s="97" cm="1">
        <f t="array" aca="1" ref="FZ11" ca="1">IFERROR(INDEX(INDIRECT(REPLACE($E$11,FIND("[",$E$11,1)+1,3,FZ$7)),FZ$10),"")</f>
        <v>1</v>
      </c>
      <c r="GA11" s="97" cm="1">
        <f t="array" aca="1" ref="GA11" ca="1">IFERROR(INDEX(INDIRECT(REPLACE($E$11,FIND("[",$E$11,1)+1,3,GA$7)),GA$10),"")</f>
        <v>1</v>
      </c>
      <c r="GB11" s="97" t="str" cm="1">
        <f t="array" aca="1" ref="GB11" ca="1">IFERROR(INDEX(INDIRECT(REPLACE($E$11,FIND("[",$E$11,1)+1,3,GB$7)),GB$10),"")</f>
        <v/>
      </c>
      <c r="GC11" s="97" t="str" cm="1">
        <f t="array" aca="1" ref="GC11" ca="1">IFERROR(INDEX(INDIRECT(REPLACE($E$11,FIND("[",$E$11,1)+1,3,GC$7)),GC$10),"")</f>
        <v/>
      </c>
      <c r="GD11" s="97" t="str" cm="1">
        <f t="array" aca="1" ref="GD11" ca="1">IFERROR(INDEX(INDIRECT(REPLACE($E$11,FIND("[",$E$11,1)+1,3,GD$7)),GD$10),"")</f>
        <v/>
      </c>
      <c r="GE11" s="97" t="str" cm="1">
        <f t="array" aca="1" ref="GE11" ca="1">IFERROR(INDEX(INDIRECT(REPLACE($E$11,FIND("[",$E$11,1)+1,3,GE$7)),GE$10),"")</f>
        <v/>
      </c>
      <c r="GF11" s="97" t="str" cm="1">
        <f t="array" aca="1" ref="GF11" ca="1">IFERROR(INDEX(INDIRECT(REPLACE($E$11,FIND("[",$E$11,1)+1,3,GF$7)),GF$10),"")</f>
        <v/>
      </c>
      <c r="GG11" s="97" t="str" cm="1">
        <f t="array" aca="1" ref="GG11" ca="1">IFERROR(INDEX(INDIRECT(REPLACE($E$11,FIND("[",$E$11,1)+1,3,GG$7)),GG$10),"")</f>
        <v/>
      </c>
      <c r="GH11" s="97" t="str" cm="1">
        <f t="array" aca="1" ref="GH11" ca="1">IFERROR(INDEX(INDIRECT(REPLACE($E$11,FIND("[",$E$11,1)+1,3,GH$7)),GH$10),"")</f>
        <v/>
      </c>
      <c r="GI11" s="97" t="str" cm="1">
        <f t="array" aca="1" ref="GI11" ca="1">IFERROR(INDEX(INDIRECT(REPLACE($E$11,FIND("[",$E$11,1)+1,3,GI$7)),GI$10),"")</f>
        <v/>
      </c>
      <c r="GJ11" s="97" t="str" cm="1">
        <f t="array" aca="1" ref="GJ11" ca="1">IFERROR(INDEX(INDIRECT(REPLACE($E$11,FIND("[",$E$11,1)+1,3,GJ$7)),GJ$10),"")</f>
        <v/>
      </c>
      <c r="GK11" s="97" t="str" cm="1">
        <f t="array" aca="1" ref="GK11" ca="1">IFERROR(INDEX(INDIRECT(REPLACE($E$11,FIND("[",$E$11,1)+1,3,GK$7)),GK$10),"")</f>
        <v/>
      </c>
      <c r="GL11" s="97" t="str" cm="1">
        <f t="array" aca="1" ref="GL11" ca="1">IFERROR(INDEX(INDIRECT(REPLACE($E$11,FIND("[",$E$11,1)+1,3,GL$7)),GL$10),"")</f>
        <v/>
      </c>
      <c r="GM11" s="97" t="str" cm="1">
        <f t="array" aca="1" ref="GM11" ca="1">IFERROR(INDEX(INDIRECT(REPLACE($E$11,FIND("[",$E$11,1)+1,3,GM$7)),GM$10),"")</f>
        <v/>
      </c>
      <c r="GN11" s="97" t="str" cm="1">
        <f t="array" aca="1" ref="GN11" ca="1">IFERROR(INDEX(INDIRECT(REPLACE($E$11,FIND("[",$E$11,1)+1,3,GN$7)),GN$10),"")</f>
        <v/>
      </c>
      <c r="GO11" s="97" t="str" cm="1">
        <f t="array" aca="1" ref="GO11" ca="1">IFERROR(INDEX(INDIRECT(REPLACE($E$11,FIND("[",$E$11,1)+1,3,GO$7)),GO$10),"")</f>
        <v/>
      </c>
      <c r="GP11" s="97" t="str" cm="1">
        <f t="array" aca="1" ref="GP11" ca="1">IFERROR(INDEX(INDIRECT(REPLACE($E$11,FIND("[",$E$11,1)+1,3,GP$7)),GP$10),"")</f>
        <v/>
      </c>
      <c r="GQ11" s="97" t="str" cm="1">
        <f t="array" aca="1" ref="GQ11" ca="1">IFERROR(INDEX(INDIRECT(REPLACE($E$11,FIND("[",$E$11,1)+1,3,GQ$7)),GQ$10),"")</f>
        <v/>
      </c>
      <c r="GR11" s="97" t="str" cm="1">
        <f t="array" aca="1" ref="GR11" ca="1">IFERROR(INDEX(INDIRECT(REPLACE($E$11,FIND("[",$E$11,1)+1,3,GR$7)),GR$10),"")</f>
        <v/>
      </c>
      <c r="GS11" s="97" t="str" cm="1">
        <f t="array" aca="1" ref="GS11" ca="1">IFERROR(INDEX(INDIRECT(REPLACE($E$11,FIND("[",$E$11,1)+1,3,GS$7)),GS$10),"")</f>
        <v/>
      </c>
      <c r="GT11" s="97" t="str" cm="1">
        <f t="array" aca="1" ref="GT11" ca="1">IFERROR(INDEX(INDIRECT(REPLACE($E$11,FIND("[",$E$11,1)+1,3,GT$7)),GT$10),"")</f>
        <v/>
      </c>
      <c r="GU11" s="97" t="str" cm="1">
        <f t="array" aca="1" ref="GU11" ca="1">IFERROR(INDEX(INDIRECT(REPLACE($E$11,FIND("[",$E$11,1)+1,3,GU$7)),GU$10),"")</f>
        <v/>
      </c>
      <c r="GV11" s="97" t="str" cm="1">
        <f t="array" aca="1" ref="GV11" ca="1">IFERROR(INDEX(INDIRECT(REPLACE($E$11,FIND("[",$E$11,1)+1,3,GV$7)),GV$10),"")</f>
        <v/>
      </c>
      <c r="GW11" s="97" t="str" cm="1">
        <f t="array" aca="1" ref="GW11" ca="1">IFERROR(INDEX(INDIRECT(REPLACE($E$11,FIND("[",$E$11,1)+1,3,GW$7)),GW$10),"")</f>
        <v/>
      </c>
      <c r="GX11" s="97" t="str" cm="1">
        <f t="array" aca="1" ref="GX11" ca="1">IFERROR(INDEX(INDIRECT(REPLACE($E$11,FIND("[",$E$11,1)+1,3,GX$7)),GX$10),"")</f>
        <v/>
      </c>
      <c r="GY11" s="97" t="str" cm="1">
        <f t="array" aca="1" ref="GY11" ca="1">IFERROR(INDEX(INDIRECT(REPLACE($E$11,FIND("[",$E$11,1)+1,3,GY$7)),GY$10),"")</f>
        <v/>
      </c>
      <c r="GZ11" s="97" t="str" cm="1">
        <f t="array" aca="1" ref="GZ11" ca="1">IFERROR(INDEX(INDIRECT(REPLACE($E$11,FIND("[",$E$11,1)+1,3,GZ$7)),GZ$10),"")</f>
        <v/>
      </c>
      <c r="HA11" s="97" cm="1">
        <f t="array" aca="1" ref="HA11" ca="1">IFERROR(INDEX(INDIRECT(REPLACE($E$11,FIND("[",$E$11,1)+1,3,HA$7)),HA$10),"")</f>
        <v>1</v>
      </c>
      <c r="HB11" s="97" t="str" cm="1">
        <f t="array" aca="1" ref="HB11" ca="1">IFERROR(INDEX(INDIRECT(REPLACE($E$11,FIND("[",$E$11,1)+1,3,HB$7)),HB$10),"")</f>
        <v>0,0</v>
      </c>
      <c r="HC11" s="97" t="str" cm="1">
        <f t="array" aca="1" ref="HC11" ca="1">IFERROR(INDEX(INDIRECT(REPLACE($E$11,FIND("[",$E$11,1)+1,3,HC$7)),HC$10),"")</f>
        <v>0,0</v>
      </c>
      <c r="HD11" s="97" t="str" cm="1">
        <f t="array" aca="1" ref="HD11" ca="1">IFERROR(INDEX(INDIRECT(REPLACE($E$11,FIND("[",$E$11,1)+1,3,HD$7)),HD$10),"")</f>
        <v>0,0</v>
      </c>
      <c r="HE11" s="97" t="str" cm="1">
        <f t="array" aca="1" ref="HE11" ca="1">IFERROR(INDEX(INDIRECT(REPLACE($E$11,FIND("[",$E$11,1)+1,3,HE$7)),HE$10),"")</f>
        <v>0,0</v>
      </c>
      <c r="HF11" s="97" t="str" cm="1">
        <f t="array" aca="1" ref="HF11" ca="1">IFERROR(INDEX(INDIRECT(REPLACE($E$11,FIND("[",$E$11,1)+1,3,HF$7)),HF$10),"")</f>
        <v>0,0</v>
      </c>
      <c r="HG11" s="97" t="str" cm="1">
        <f t="array" aca="1" ref="HG11" ca="1">IFERROR(INDEX(INDIRECT(REPLACE($E$11,FIND("[",$E$11,1)+1,3,HG$7)),HG$10),"")</f>
        <v/>
      </c>
      <c r="HH11" s="97" t="str" cm="1">
        <f t="array" aca="1" ref="HH11" ca="1">IFERROR(INDEX(INDIRECT(REPLACE($E$11,FIND("[",$E$11,1)+1,3,HH$7)),HH$10),"")</f>
        <v/>
      </c>
      <c r="HI11" s="97" t="str" cm="1">
        <f t="array" aca="1" ref="HI11" ca="1">IFERROR(INDEX(INDIRECT(REPLACE($E$11,FIND("[",$E$11,1)+1,3,HI$7)),HI$10),"")</f>
        <v/>
      </c>
      <c r="HJ11" s="97" t="str" cm="1">
        <f t="array" aca="1" ref="HJ11" ca="1">IFERROR(INDEX(INDIRECT(REPLACE($E$11,FIND("[",$E$11,1)+1,3,HJ$7)),HJ$10),"")</f>
        <v/>
      </c>
      <c r="HK11" s="97" t="str" cm="1">
        <f t="array" aca="1" ref="HK11" ca="1">IFERROR(INDEX(INDIRECT(REPLACE($E$11,FIND("[",$E$11,1)+1,3,HK$7)),HK$10),"")</f>
        <v/>
      </c>
      <c r="HL11" s="97" t="str" cm="1">
        <f t="array" aca="1" ref="HL11" ca="1">IFERROR(INDEX(INDIRECT(REPLACE($E$11,FIND("[",$E$11,1)+1,3,HL$7)),HL$10),"")</f>
        <v/>
      </c>
      <c r="HM11" s="97" t="str" cm="1">
        <f t="array" aca="1" ref="HM11" ca="1">IFERROR(INDEX(INDIRECT(REPLACE($E$11,FIND("[",$E$11,1)+1,3,HM$7)),HM$10),"")</f>
        <v/>
      </c>
      <c r="HN11" s="97" cm="1">
        <f t="array" aca="1" ref="HN11" ca="1">IFERROR(INDEX(INDIRECT(REPLACE($E$11,FIND("[",$E$11,1)+1,3,HN$7)),HN$10),"")</f>
        <v>1</v>
      </c>
      <c r="HO11" s="97" t="str" cm="1">
        <f t="array" aca="1" ref="HO11" ca="1">IFERROR(INDEX(INDIRECT(REPLACE($E$11,FIND("[",$E$11,1)+1,3,HO$7)),HO$10),"")</f>
        <v/>
      </c>
      <c r="HP11" s="97" t="str" cm="1">
        <f t="array" aca="1" ref="HP11" ca="1">IFERROR(INDEX(INDIRECT(REPLACE($E$11,FIND("[",$E$11,1)+1,3,HP$7)),HP$10),"")</f>
        <v/>
      </c>
      <c r="HQ11" s="97" cm="1">
        <f t="array" aca="1" ref="HQ11" ca="1">IFERROR(INDEX(INDIRECT(REPLACE($E$11,FIND("[",$E$11,1)+1,3,HQ$7)),HQ$10),"")</f>
        <v>0</v>
      </c>
      <c r="HR11" s="97" t="str" cm="1">
        <f t="array" aca="1" ref="HR11" ca="1">IFERROR(INDEX(INDIRECT(REPLACE($E$11,FIND("[",$E$11,1)+1,3,HR$7)),HR$10),"")</f>
        <v/>
      </c>
      <c r="HS11" s="97" t="str" cm="1">
        <f t="array" aca="1" ref="HS11" ca="1">IFERROR(INDEX(INDIRECT(REPLACE($E$11,FIND("[",$E$11,1)+1,3,HS$7)),HS$10),"")</f>
        <v/>
      </c>
      <c r="HT11" s="97" t="str" cm="1">
        <f t="array" aca="1" ref="HT11" ca="1">IFERROR(INDEX(INDIRECT(REPLACE($E$11,FIND("[",$E$11,1)+1,3,HT$7)),HT$10),"")</f>
        <v/>
      </c>
      <c r="HU11" s="97" t="str" cm="1">
        <f t="array" aca="1" ref="HU11" ca="1">IFERROR(INDEX(INDIRECT(REPLACE($E$11,FIND("[",$E$11,1)+1,3,HU$7)),HU$10),"")</f>
        <v/>
      </c>
      <c r="HV11" s="97" t="str" cm="1">
        <f t="array" aca="1" ref="HV11" ca="1">IFERROR(INDEX(INDIRECT(REPLACE($E$11,FIND("[",$E$11,1)+1,3,HV$7)),HV$10),"")</f>
        <v/>
      </c>
      <c r="HW11" s="97" t="str" cm="1">
        <f t="array" aca="1" ref="HW11" ca="1">IFERROR(INDEX(INDIRECT(REPLACE($E$11,FIND("[",$E$11,1)+1,3,HW$7)),HW$10),"")</f>
        <v/>
      </c>
      <c r="HX11" s="97" t="str" cm="1">
        <f t="array" aca="1" ref="HX11" ca="1">IFERROR(INDEX(INDIRECT(REPLACE($E$11,FIND("[",$E$11,1)+1,3,HX$7)),HX$10),"")</f>
        <v/>
      </c>
      <c r="HY11" s="97" t="str" cm="1">
        <f t="array" aca="1" ref="HY11" ca="1">IFERROR(INDEX(INDIRECT(REPLACE($E$11,FIND("[",$E$11,1)+1,3,HY$7)),HY$10),"")</f>
        <v/>
      </c>
      <c r="HZ11" s="97" cm="1">
        <f t="array" aca="1" ref="HZ11" ca="1">IFERROR(INDEX(INDIRECT(REPLACE($E$11,FIND("[",$E$11,1)+1,3,HZ$7)),HZ$10),"")</f>
        <v>0</v>
      </c>
      <c r="IA11" s="97" t="str" cm="1">
        <f t="array" aca="1" ref="IA11" ca="1">IFERROR(INDEX(INDIRECT(REPLACE($E$11,FIND("[",$E$11,1)+1,3,IA$7)),IA$10),"")</f>
        <v/>
      </c>
      <c r="IB11" s="97" t="str" cm="1">
        <f t="array" aca="1" ref="IB11" ca="1">IFERROR(INDEX(INDIRECT(REPLACE($E$11,FIND("[",$E$11,1)+1,3,IB$7)),IB$10),"")</f>
        <v/>
      </c>
      <c r="IC11" s="97" t="str" cm="1">
        <f t="array" aca="1" ref="IC11" ca="1">IFERROR(INDEX(INDIRECT(REPLACE($E$11,FIND("[",$E$11,1)+1,3,IC$7)),IC$10),"")</f>
        <v/>
      </c>
      <c r="ID11" s="97" t="str" cm="1">
        <f t="array" aca="1" ref="ID11" ca="1">IFERROR(INDEX(INDIRECT(REPLACE($E$11,FIND("[",$E$11,1)+1,3,ID$7)),ID$10),"")</f>
        <v/>
      </c>
      <c r="IE11" s="97" t="str" cm="1">
        <f t="array" aca="1" ref="IE11" ca="1">IFERROR(INDEX(INDIRECT(REPLACE($E$11,FIND("[",$E$11,1)+1,3,IE$7)),IE$10),"")</f>
        <v/>
      </c>
      <c r="IF11" s="97" t="str" cm="1">
        <f t="array" aca="1" ref="IF11" ca="1">IFERROR(INDEX(INDIRECT(REPLACE($E$11,FIND("[",$E$11,1)+1,3,IF$7)),IF$10),"")</f>
        <v/>
      </c>
      <c r="IG11" s="97" t="str" cm="1">
        <f t="array" aca="1" ref="IG11" ca="1">IFERROR(INDEX(INDIRECT(REPLACE($E$11,FIND("[",$E$11,1)+1,3,IG$7)),IG$10),"")</f>
        <v/>
      </c>
      <c r="IH11" s="97" t="str" cm="1">
        <f t="array" aca="1" ref="IH11" ca="1">IFERROR(INDEX(INDIRECT(REPLACE($E$11,FIND("[",$E$11,1)+1,3,IH$7)),IH$10),"")</f>
        <v/>
      </c>
      <c r="II11" s="97" cm="1">
        <f t="array" aca="1" ref="II11" ca="1">IFERROR(INDEX(INDIRECT(REPLACE($E$11,FIND("[",$E$11,1)+1,3,II$7)),II$10),"")</f>
        <v>0</v>
      </c>
      <c r="IJ11" s="97" t="str" cm="1">
        <f t="array" aca="1" ref="IJ11" ca="1">IFERROR(INDEX(INDIRECT(REPLACE($E$11,FIND("[",$E$11,1)+1,3,IJ$7)),IJ$10),"")</f>
        <v/>
      </c>
      <c r="IK11" s="97" t="str" cm="1">
        <f t="array" aca="1" ref="IK11" ca="1">IFERROR(INDEX(INDIRECT(REPLACE($E$11,FIND("[",$E$11,1)+1,3,IK$7)),IK$10),"")</f>
        <v/>
      </c>
      <c r="IL11" s="97" t="str" cm="1">
        <f t="array" aca="1" ref="IL11" ca="1">IFERROR(INDEX(INDIRECT(REPLACE($E$11,FIND("[",$E$11,1)+1,3,IL$7)),IL$10),"")</f>
        <v/>
      </c>
      <c r="IM11" s="97" t="str" cm="1">
        <f t="array" aca="1" ref="IM11" ca="1">IFERROR(INDEX(INDIRECT(REPLACE($E$11,FIND("[",$E$11,1)+1,3,IM$7)),IM$10),"")</f>
        <v/>
      </c>
      <c r="IN11" s="97" t="str" cm="1">
        <f t="array" aca="1" ref="IN11" ca="1">IFERROR(INDEX(INDIRECT(REPLACE($E$11,FIND("[",$E$11,1)+1,3,IN$7)),IN$10),"")</f>
        <v/>
      </c>
      <c r="IO11" s="97" t="str" cm="1">
        <f t="array" aca="1" ref="IO11" ca="1">IFERROR(INDEX(INDIRECT(REPLACE($E$11,FIND("[",$E$11,1)+1,3,IO$7)),IO$10),"")</f>
        <v/>
      </c>
      <c r="IP11" s="97" t="str" cm="1">
        <f t="array" aca="1" ref="IP11" ca="1">IFERROR(INDEX(INDIRECT(REPLACE($E$11,FIND("[",$E$11,1)+1,3,IP$7)),IP$10),"")</f>
        <v/>
      </c>
      <c r="IQ11" s="97" t="str" cm="1">
        <f t="array" aca="1" ref="IQ11" ca="1">IFERROR(INDEX(INDIRECT(REPLACE($E$11,FIND("[",$E$11,1)+1,3,IQ$7)),IQ$10),"")</f>
        <v/>
      </c>
      <c r="IR11" s="97" cm="1">
        <f t="array" aca="1" ref="IR11" ca="1">IFERROR(INDEX(INDIRECT(REPLACE($E$11,FIND("[",$E$11,1)+1,3,IR$7)),IR$10),"")</f>
        <v>0</v>
      </c>
      <c r="IS11" s="97" t="str" cm="1">
        <f t="array" aca="1" ref="IS11" ca="1">IFERROR(INDEX(INDIRECT(REPLACE($E$11,FIND("[",$E$11,1)+1,3,IS$7)),IS$10),"")</f>
        <v/>
      </c>
      <c r="IT11" s="97" t="str" cm="1">
        <f t="array" aca="1" ref="IT11" ca="1">IFERROR(INDEX(INDIRECT(REPLACE($E$11,FIND("[",$E$11,1)+1,3,IT$7)),IT$10),"")</f>
        <v/>
      </c>
      <c r="IU11" s="97" t="str" cm="1">
        <f t="array" aca="1" ref="IU11" ca="1">IFERROR(INDEX(INDIRECT(REPLACE($E$11,FIND("[",$E$11,1)+1,3,IU$7)),IU$10),"")</f>
        <v/>
      </c>
      <c r="IV11" s="97" t="str" cm="1">
        <f t="array" aca="1" ref="IV11" ca="1">IFERROR(INDEX(INDIRECT(REPLACE($E$11,FIND("[",$E$11,1)+1,3,IV$7)),IV$10),"")</f>
        <v/>
      </c>
      <c r="IW11" s="97" t="str" cm="1">
        <f t="array" aca="1" ref="IW11" ca="1">IFERROR(INDEX(INDIRECT(REPLACE($E$11,FIND("[",$E$11,1)+1,3,IW$7)),IW$10),"")</f>
        <v/>
      </c>
      <c r="IX11" s="97" t="str" cm="1">
        <f t="array" aca="1" ref="IX11" ca="1">IFERROR(INDEX(INDIRECT(REPLACE($E$11,FIND("[",$E$11,1)+1,3,IX$7)),IX$10),"")</f>
        <v/>
      </c>
      <c r="IY11" s="97" t="str" cm="1">
        <f t="array" aca="1" ref="IY11" ca="1">IFERROR(INDEX(INDIRECT(REPLACE($E$11,FIND("[",$E$11,1)+1,3,IY$7)),IY$10),"")</f>
        <v/>
      </c>
      <c r="IZ11" s="97" t="str" cm="1">
        <f t="array" aca="1" ref="IZ11" ca="1">IFERROR(INDEX(INDIRECT(REPLACE($E$11,FIND("[",$E$11,1)+1,3,IZ$7)),IZ$10),"")</f>
        <v/>
      </c>
      <c r="JA11" s="97" cm="1">
        <f t="array" aca="1" ref="JA11" ca="1">IFERROR(INDEX(INDIRECT(REPLACE($E$11,FIND("[",$E$11,1)+1,3,JA$7)),JA$10),"")</f>
        <v>0</v>
      </c>
      <c r="JB11" s="97" t="str" cm="1">
        <f t="array" aca="1" ref="JB11" ca="1">IFERROR(INDEX(INDIRECT(REPLACE($E$11,FIND("[",$E$11,1)+1,3,JB$7)),JB$10),"")</f>
        <v/>
      </c>
      <c r="JC11" s="97" t="str" cm="1">
        <f t="array" aca="1" ref="JC11" ca="1">IFERROR(INDEX(INDIRECT(REPLACE($E$11,FIND("[",$E$11,1)+1,3,JC$7)),JC$10),"")</f>
        <v/>
      </c>
      <c r="JD11" s="97" t="str" cm="1">
        <f t="array" aca="1" ref="JD11" ca="1">IFERROR(INDEX(INDIRECT(REPLACE($E$11,FIND("[",$E$11,1)+1,3,JD$7)),JD$10),"")</f>
        <v/>
      </c>
      <c r="JE11" s="97" t="str" cm="1">
        <f t="array" aca="1" ref="JE11" ca="1">IFERROR(INDEX(INDIRECT(REPLACE($E$11,FIND("[",$E$11,1)+1,3,JE$7)),JE$10),"")</f>
        <v/>
      </c>
      <c r="JF11" s="97" t="str" cm="1">
        <f t="array" aca="1" ref="JF11" ca="1">IFERROR(INDEX(INDIRECT(REPLACE($E$11,FIND("[",$E$11,1)+1,3,JF$7)),JF$10),"")</f>
        <v/>
      </c>
      <c r="JG11" s="97" t="str" cm="1">
        <f t="array" aca="1" ref="JG11" ca="1">IFERROR(INDEX(INDIRECT(REPLACE($E$11,FIND("[",$E$11,1)+1,3,JG$7)),JG$10),"")</f>
        <v/>
      </c>
      <c r="JH11" s="97" t="str" cm="1">
        <f t="array" aca="1" ref="JH11" ca="1">IFERROR(INDEX(INDIRECT(REPLACE($E$11,FIND("[",$E$11,1)+1,3,JH$7)),JH$10),"")</f>
        <v/>
      </c>
      <c r="JI11" s="97" t="str" cm="1">
        <f t="array" aca="1" ref="JI11" ca="1">IFERROR(INDEX(INDIRECT(REPLACE($E$11,FIND("[",$E$11,1)+1,3,JI$7)),JI$10),"")</f>
        <v/>
      </c>
      <c r="JJ11" s="97" cm="1">
        <f t="array" aca="1" ref="JJ11" ca="1">IFERROR(INDEX(INDIRECT(REPLACE($E$11,FIND("[",$E$11,1)+1,3,JJ$7)),JJ$10),"")</f>
        <v>0</v>
      </c>
      <c r="JK11" s="97" t="str" cm="1">
        <f t="array" aca="1" ref="JK11" ca="1">IFERROR(INDEX(INDIRECT(REPLACE($E$11,FIND("[",$E$11,1)+1,3,JK$7)),JK$10),"")</f>
        <v/>
      </c>
      <c r="JL11" s="97" t="str" cm="1">
        <f t="array" aca="1" ref="JL11" ca="1">IFERROR(INDEX(INDIRECT(REPLACE($E$11,FIND("[",$E$11,1)+1,3,JL$7)),JL$10),"")</f>
        <v/>
      </c>
      <c r="JM11" s="97" t="str" cm="1">
        <f t="array" aca="1" ref="JM11" ca="1">IFERROR(INDEX(INDIRECT(REPLACE($E$11,FIND("[",$E$11,1)+1,3,JM$7)),JM$10),"")</f>
        <v/>
      </c>
      <c r="JN11" s="97" t="str" cm="1">
        <f t="array" aca="1" ref="JN11" ca="1">IFERROR(INDEX(INDIRECT(REPLACE($E$11,FIND("[",$E$11,1)+1,3,JN$7)),JN$10),"")</f>
        <v/>
      </c>
      <c r="JO11" s="97" t="str" cm="1">
        <f t="array" aca="1" ref="JO11" ca="1">IFERROR(INDEX(INDIRECT(REPLACE($E$11,FIND("[",$E$11,1)+1,3,JO$7)),JO$10),"")</f>
        <v/>
      </c>
      <c r="JP11" s="97" t="str" cm="1">
        <f t="array" aca="1" ref="JP11" ca="1">IFERROR(INDEX(INDIRECT(REPLACE($E$11,FIND("[",$E$11,1)+1,3,JP$7)),JP$10),"")</f>
        <v/>
      </c>
      <c r="JQ11" s="97" t="str" cm="1">
        <f t="array" aca="1" ref="JQ11" ca="1">IFERROR(INDEX(INDIRECT(REPLACE($E$11,FIND("[",$E$11,1)+1,3,JQ$7)),JQ$10),"")</f>
        <v/>
      </c>
      <c r="JR11" s="97" cm="1">
        <f t="array" aca="1" ref="JR11" ca="1">IFERROR(INDEX(INDIRECT(REPLACE($E$11,FIND("[",$E$11,1)+1,3,JR$7)),JR$10),"")</f>
        <v>0</v>
      </c>
      <c r="JS11" s="97" cm="1">
        <f t="array" aca="1" ref="JS11" ca="1">IFERROR(INDEX(INDIRECT(REPLACE($E$11,FIND("[",$E$11,1)+1,3,JS$7)),JS$10),"")</f>
        <v>0</v>
      </c>
      <c r="JT11" s="97" cm="1">
        <f t="array" aca="1" ref="JT11" ca="1">IFERROR(INDEX(INDIRECT(REPLACE($E$11,FIND("[",$E$11,1)+1,3,JT$7)),JT$10),"")</f>
        <v>0</v>
      </c>
      <c r="JU11" s="97" cm="1">
        <f t="array" aca="1" ref="JU11" ca="1">IFERROR(INDEX(INDIRECT(REPLACE($E$11,FIND("[",$E$11,1)+1,3,JU$7)),JU$10),"")</f>
        <v>0</v>
      </c>
      <c r="JV11" s="97" cm="1">
        <f t="array" aca="1" ref="JV11" ca="1">IFERROR(INDEX(INDIRECT(REPLACE($E$11,FIND("[",$E$11,1)+1,3,JV$7)),JV$10),"")</f>
        <v>0</v>
      </c>
      <c r="JW11" s="97" cm="1">
        <f t="array" aca="1" ref="JW11" ca="1">IFERROR(INDEX(INDIRECT(REPLACE($E$11,FIND("[",$E$11,1)+1,3,JW$7)),JW$10),"")</f>
        <v>0</v>
      </c>
      <c r="JX11" s="97" t="str" cm="1">
        <f t="array" aca="1" ref="JX11" ca="1">IFERROR(INDEX(INDIRECT(REPLACE($E$11,FIND("[",$E$11,1)+1,3,JX$7)),JX$10),"")</f>
        <v/>
      </c>
      <c r="JY11" s="97" t="str" cm="1">
        <f t="array" aca="1" ref="JY11" ca="1">IFERROR(INDEX(INDIRECT(REPLACE($E$11,FIND("[",$E$11,1)+1,3,JY$7)),JY$10),"")</f>
        <v/>
      </c>
      <c r="JZ11" s="97" t="str" cm="1">
        <f t="array" aca="1" ref="JZ11" ca="1">IFERROR(INDEX(INDIRECT(REPLACE($E$11,FIND("[",$E$11,1)+1,3,JZ$7)),JZ$10),"")</f>
        <v/>
      </c>
      <c r="KA11" s="97" t="str" cm="1">
        <f t="array" aca="1" ref="KA11" ca="1">IFERROR(INDEX(INDIRECT(REPLACE($E$11,FIND("[",$E$11,1)+1,3,KA$7)),KA$10),"")</f>
        <v/>
      </c>
      <c r="KB11" s="97" t="str" cm="1">
        <f t="array" aca="1" ref="KB11" ca="1">IFERROR(INDEX(INDIRECT(REPLACE($E$11,FIND("[",$E$11,1)+1,3,KB$7)),KB$10),"")</f>
        <v/>
      </c>
      <c r="KC11" s="97" t="str" cm="1">
        <f t="array" aca="1" ref="KC11" ca="1">IFERROR(INDEX(INDIRECT(REPLACE($E$11,FIND("[",$E$11,1)+1,3,KC$7)),KC$10),"")</f>
        <v/>
      </c>
      <c r="KD11" s="97" t="str" cm="1">
        <f t="array" aca="1" ref="KD11" ca="1">IFERROR(INDEX(INDIRECT(REPLACE($E$11,FIND("[",$E$11,1)+1,3,KD$7)),KD$10),"")</f>
        <v/>
      </c>
      <c r="KE11" s="97" t="str" cm="1">
        <f t="array" aca="1" ref="KE11" ca="1">IFERROR(INDEX(INDIRECT(REPLACE($E$11,FIND("[",$E$11,1)+1,3,KE$7)),KE$10),"")</f>
        <v/>
      </c>
      <c r="KF11" s="97" t="str" cm="1">
        <f t="array" aca="1" ref="KF11" ca="1">IFERROR(INDEX(INDIRECT(REPLACE($E$11,FIND("[",$E$11,1)+1,3,KF$7)),KF$10),"")</f>
        <v/>
      </c>
      <c r="KG11" s="97" t="str" cm="1">
        <f t="array" aca="1" ref="KG11" ca="1">IFERROR(INDEX(INDIRECT(REPLACE($E$11,FIND("[",$E$11,1)+1,3,KG$7)),KG$10),"")</f>
        <v/>
      </c>
      <c r="KH11" s="97" t="str" cm="1">
        <f t="array" aca="1" ref="KH11" ca="1">IFERROR(INDEX(INDIRECT(REPLACE($E$11,FIND("[",$E$11,1)+1,3,KH$7)),KH$10),"")</f>
        <v/>
      </c>
      <c r="KI11" s="97" t="str" cm="1">
        <f t="array" aca="1" ref="KI11" ca="1">IFERROR(INDEX(INDIRECT(REPLACE($E$11,FIND("[",$E$11,1)+1,3,KI$7)),KI$10),"")</f>
        <v/>
      </c>
      <c r="KJ11" s="97" t="str" cm="1">
        <f t="array" aca="1" ref="KJ11" ca="1">IFERROR(INDEX(INDIRECT(REPLACE($E$11,FIND("[",$E$11,1)+1,3,KJ$7)),KJ$10),"")</f>
        <v/>
      </c>
      <c r="KK11" s="97" t="str" cm="1">
        <f t="array" aca="1" ref="KK11" ca="1">IFERROR(INDEX(INDIRECT(REPLACE($E$11,FIND("[",$E$11,1)+1,3,KK$7)),KK$10),"")</f>
        <v/>
      </c>
      <c r="KL11" s="97" t="str" cm="1">
        <f t="array" aca="1" ref="KL11" ca="1">IFERROR(INDEX(INDIRECT(REPLACE($E$11,FIND("[",$E$11,1)+1,3,KL$7)),KL$10),"")</f>
        <v/>
      </c>
      <c r="KM11" s="97" t="str" cm="1">
        <f t="array" aca="1" ref="KM11" ca="1">IFERROR(INDEX(INDIRECT(REPLACE($E$11,FIND("[",$E$11,1)+1,3,KM$7)),KM$10),"")</f>
        <v/>
      </c>
      <c r="KN11" s="97" t="str" cm="1">
        <f t="array" aca="1" ref="KN11" ca="1">IFERROR(INDEX(INDIRECT(REPLACE($E$11,FIND("[",$E$11,1)+1,3,KN$7)),KN$10),"")</f>
        <v/>
      </c>
      <c r="KO11" s="97" t="str" cm="1">
        <f t="array" aca="1" ref="KO11" ca="1">IFERROR(INDEX(INDIRECT(REPLACE($E$11,FIND("[",$E$11,1)+1,3,KO$7)),KO$10),"")</f>
        <v/>
      </c>
      <c r="KP11" s="97" t="str" cm="1">
        <f t="array" aca="1" ref="KP11" ca="1">IFERROR(INDEX(INDIRECT(REPLACE($E$11,FIND("[",$E$11,1)+1,3,KP$7)),KP$10),"")</f>
        <v/>
      </c>
      <c r="KQ11" s="97" t="str" cm="1">
        <f t="array" aca="1" ref="KQ11" ca="1">IFERROR(INDEX(INDIRECT(REPLACE($E$11,FIND("[",$E$11,1)+1,3,KQ$7)),KQ$10),"")</f>
        <v/>
      </c>
      <c r="KR11" s="97" t="str" cm="1">
        <f t="array" aca="1" ref="KR11" ca="1">IFERROR(INDEX(INDIRECT(REPLACE($E$11,FIND("[",$E$11,1)+1,3,KR$7)),KR$10),"")</f>
        <v/>
      </c>
      <c r="KS11" s="97" t="str" cm="1">
        <f t="array" aca="1" ref="KS11" ca="1">IFERROR(INDEX(INDIRECT(REPLACE($E$11,FIND("[",$E$11,1)+1,3,KS$7)),KS$10),"")</f>
        <v/>
      </c>
      <c r="KT11" s="97" t="str" cm="1">
        <f t="array" aca="1" ref="KT11" ca="1">IFERROR(INDEX(INDIRECT(REPLACE($E$11,FIND("[",$E$11,1)+1,3,KT$7)),KT$10),"")</f>
        <v/>
      </c>
      <c r="KU11" s="97" t="str" cm="1">
        <f t="array" aca="1" ref="KU11" ca="1">IFERROR(INDEX(INDIRECT(REPLACE($E$11,FIND("[",$E$11,1)+1,3,KU$7)),KU$10),"")</f>
        <v/>
      </c>
      <c r="KV11" s="97" t="str" cm="1">
        <f t="array" aca="1" ref="KV11" ca="1">IFERROR(INDEX(INDIRECT(REPLACE($E$11,FIND("[",$E$11,1)+1,3,KV$7)),KV$10),"")</f>
        <v/>
      </c>
      <c r="KW11" s="97" t="str" cm="1">
        <f t="array" aca="1" ref="KW11" ca="1">IFERROR(INDEX(INDIRECT(REPLACE($E$11,FIND("[",$E$11,1)+1,3,KW$7)),KW$10),"")</f>
        <v/>
      </c>
      <c r="KX11" s="97" t="str" cm="1">
        <f t="array" aca="1" ref="KX11" ca="1">IFERROR(INDEX(INDIRECT(REPLACE($E$11,FIND("[",$E$11,1)+1,3,KX$7)),KX$10),"")</f>
        <v/>
      </c>
      <c r="KY11" s="97" t="str" cm="1">
        <f t="array" aca="1" ref="KY11" ca="1">IFERROR(INDEX(INDIRECT(REPLACE($E$11,FIND("[",$E$11,1)+1,3,KY$7)),KY$10),"")</f>
        <v/>
      </c>
      <c r="KZ11" s="97" t="str" cm="1">
        <f t="array" aca="1" ref="KZ11" ca="1">IFERROR(INDEX(INDIRECT(REPLACE($E$11,FIND("[",$E$11,1)+1,3,KZ$7)),KZ$10),"")</f>
        <v/>
      </c>
      <c r="LA11" s="97" t="str" cm="1">
        <f t="array" aca="1" ref="LA11" ca="1">IFERROR(INDEX(INDIRECT(REPLACE($E$11,FIND("[",$E$11,1)+1,3,LA$7)),LA$10),"")</f>
        <v/>
      </c>
      <c r="LB11" s="97" t="str" cm="1">
        <f t="array" aca="1" ref="LB11" ca="1">IFERROR(INDEX(INDIRECT(REPLACE($E$11,FIND("[",$E$11,1)+1,3,LB$7)),LB$10),"")</f>
        <v/>
      </c>
      <c r="LC11" s="97" t="str" cm="1">
        <f t="array" aca="1" ref="LC11" ca="1">IFERROR(INDEX(INDIRECT(REPLACE($E$11,FIND("[",$E$11,1)+1,3,LC$7)),LC$10),"")</f>
        <v/>
      </c>
      <c r="LD11" s="97" t="str" cm="1">
        <f t="array" aca="1" ref="LD11" ca="1">IFERROR(INDEX(INDIRECT(REPLACE($E$11,FIND("[",$E$11,1)+1,3,LD$7)),LD$10),"")</f>
        <v/>
      </c>
      <c r="LE11" s="97" t="str" cm="1">
        <f t="array" aca="1" ref="LE11" ca="1">IFERROR(INDEX(INDIRECT(REPLACE($E$11,FIND("[",$E$11,1)+1,3,LE$7)),LE$10),"")</f>
        <v/>
      </c>
      <c r="LF11" s="97" t="str" cm="1">
        <f t="array" aca="1" ref="LF11" ca="1">IFERROR(INDEX(INDIRECT(REPLACE($E$11,FIND("[",$E$11,1)+1,3,LF$7)),LF$10),"")</f>
        <v/>
      </c>
      <c r="LG11" s="97" t="str" cm="1">
        <f t="array" aca="1" ref="LG11" ca="1">IFERROR(INDEX(INDIRECT(REPLACE($E$11,FIND("[",$E$11,1)+1,3,LG$7)),LG$10),"")</f>
        <v/>
      </c>
      <c r="LH11" s="97" t="str" cm="1">
        <f t="array" aca="1" ref="LH11" ca="1">IFERROR(INDEX(INDIRECT(REPLACE($E$11,FIND("[",$E$11,1)+1,3,LH$7)),LH$10),"")</f>
        <v/>
      </c>
      <c r="LI11" s="97" t="str" cm="1">
        <f t="array" aca="1" ref="LI11" ca="1">IFERROR(INDEX(INDIRECT(REPLACE($E$11,FIND("[",$E$11,1)+1,3,LI$7)),LI$10),"")</f>
        <v/>
      </c>
      <c r="LJ11" s="97" t="str" cm="1">
        <f t="array" aca="1" ref="LJ11" ca="1">IFERROR(INDEX(INDIRECT(REPLACE($E$11,FIND("[",$E$11,1)+1,3,LJ$7)),LJ$10),"")</f>
        <v/>
      </c>
      <c r="LK11" s="97" t="str" cm="1">
        <f t="array" aca="1" ref="LK11" ca="1">IFERROR(INDEX(INDIRECT(REPLACE($E$11,FIND("[",$E$11,1)+1,3,LK$7)),LK$10),"")</f>
        <v/>
      </c>
      <c r="LL11" s="97" t="str" cm="1">
        <f t="array" aca="1" ref="LL11" ca="1">IFERROR(INDEX(INDIRECT(REPLACE($E$11,FIND("[",$E$11,1)+1,3,LL$7)),LL$10),"")</f>
        <v/>
      </c>
      <c r="LM11" s="97" t="str" cm="1">
        <f t="array" aca="1" ref="LM11" ca="1">IFERROR(INDEX(INDIRECT(REPLACE($E$11,FIND("[",$E$11,1)+1,3,LM$7)),LM$10),"")</f>
        <v/>
      </c>
      <c r="LN11" s="97" t="str" cm="1">
        <f t="array" aca="1" ref="LN11" ca="1">IFERROR(INDEX(INDIRECT(REPLACE($E$11,FIND("[",$E$11,1)+1,3,LN$7)),LN$10),"")</f>
        <v/>
      </c>
      <c r="LO11" s="97" t="str" cm="1">
        <f t="array" aca="1" ref="LO11" ca="1">IFERROR(INDEX(INDIRECT(REPLACE($E$11,FIND("[",$E$11,1)+1,3,LO$7)),LO$10),"")</f>
        <v/>
      </c>
      <c r="LP11" s="97" t="str" cm="1">
        <f t="array" aca="1" ref="LP11" ca="1">IFERROR(INDEX(INDIRECT(REPLACE($E$11,FIND("[",$E$11,1)+1,3,LP$7)),LP$10),"")</f>
        <v/>
      </c>
      <c r="LQ11" s="97" t="str" cm="1">
        <f t="array" aca="1" ref="LQ11" ca="1">IFERROR(INDEX(INDIRECT(REPLACE($E$11,FIND("[",$E$11,1)+1,3,LQ$7)),LQ$10),"")</f>
        <v/>
      </c>
      <c r="LR11" s="97" t="str" cm="1">
        <f t="array" aca="1" ref="LR11" ca="1">IFERROR(INDEX(INDIRECT(REPLACE($E$11,FIND("[",$E$11,1)+1,3,LR$7)),LR$10),"")</f>
        <v/>
      </c>
      <c r="LS11" s="97" t="str" cm="1">
        <f t="array" aca="1" ref="LS11" ca="1">IFERROR(INDEX(INDIRECT(REPLACE($E$11,FIND("[",$E$11,1)+1,3,LS$7)),LS$10),"")</f>
        <v/>
      </c>
      <c r="LT11" s="97" t="str" cm="1">
        <f t="array" aca="1" ref="LT11" ca="1">IFERROR(INDEX(INDIRECT(REPLACE($E$11,FIND("[",$E$11,1)+1,3,LT$7)),LT$10),"")</f>
        <v/>
      </c>
      <c r="LU11" s="97" t="str" cm="1">
        <f t="array" aca="1" ref="LU11" ca="1">IFERROR(INDEX(INDIRECT(REPLACE($E$11,FIND("[",$E$11,1)+1,3,LU$7)),LU$10),"")</f>
        <v/>
      </c>
      <c r="LV11" s="97" t="str" cm="1">
        <f t="array" aca="1" ref="LV11" ca="1">IFERROR(INDEX(INDIRECT(REPLACE($E$11,FIND("[",$E$11,1)+1,3,LV$7)),LV$10),"")</f>
        <v/>
      </c>
      <c r="LW11" s="97" t="str" cm="1">
        <f t="array" aca="1" ref="LW11" ca="1">IFERROR(INDEX(INDIRECT(REPLACE($E$11,FIND("[",$E$11,1)+1,3,LW$7)),LW$10),"")</f>
        <v/>
      </c>
      <c r="LX11" s="97" t="str" cm="1">
        <f t="array" aca="1" ref="LX11" ca="1">IFERROR(INDEX(INDIRECT(REPLACE($E$11,FIND("[",$E$11,1)+1,3,LX$7)),LX$10),"")</f>
        <v/>
      </c>
      <c r="LY11" s="97" t="str" cm="1">
        <f t="array" aca="1" ref="LY11" ca="1">IFERROR(INDEX(INDIRECT(REPLACE($E$11,FIND("[",$E$11,1)+1,3,LY$7)),LY$10),"")</f>
        <v/>
      </c>
      <c r="LZ11" s="97" t="str" cm="1">
        <f t="array" aca="1" ref="LZ11" ca="1">IFERROR(INDEX(INDIRECT(REPLACE($E$11,FIND("[",$E$11,1)+1,3,LZ$7)),LZ$10),"")</f>
        <v/>
      </c>
      <c r="MA11" s="97" t="str" cm="1">
        <f t="array" aca="1" ref="MA11" ca="1">IFERROR(INDEX(INDIRECT(REPLACE($E$11,FIND("[",$E$11,1)+1,3,MA$7)),MA$10),"")</f>
        <v/>
      </c>
      <c r="MB11" s="97" t="str" cm="1">
        <f t="array" aca="1" ref="MB11" ca="1">IFERROR(INDEX(INDIRECT(REPLACE($E$11,FIND("[",$E$11,1)+1,3,MB$7)),MB$10),"")</f>
        <v/>
      </c>
      <c r="MC11" s="97" t="str" cm="1">
        <f t="array" aca="1" ref="MC11" ca="1">IFERROR(INDEX(INDIRECT(REPLACE($E$11,FIND("[",$E$11,1)+1,3,MC$7)),MC$10),"")</f>
        <v/>
      </c>
      <c r="MD11" s="97" t="str" cm="1">
        <f t="array" aca="1" ref="MD11" ca="1">IFERROR(INDEX(INDIRECT(REPLACE($E$11,FIND("[",$E$11,1)+1,3,MD$7)),MD$10),"")</f>
        <v/>
      </c>
      <c r="ME11" s="97" t="str" cm="1">
        <f t="array" aca="1" ref="ME11" ca="1">IFERROR(INDEX(INDIRECT(REPLACE($E$11,FIND("[",$E$11,1)+1,3,ME$7)),ME$10),"")</f>
        <v/>
      </c>
      <c r="MF11" s="97" t="str" cm="1">
        <f t="array" aca="1" ref="MF11" ca="1">IFERROR(INDEX(INDIRECT(REPLACE($E$11,FIND("[",$E$11,1)+1,3,MF$7)),MF$10),"")</f>
        <v/>
      </c>
      <c r="MG11" s="97" t="str" cm="1">
        <f t="array" aca="1" ref="MG11" ca="1">IFERROR(INDEX(INDIRECT(REPLACE($E$11,FIND("[",$E$11,1)+1,3,MG$7)),MG$10),"")</f>
        <v/>
      </c>
      <c r="MH11" s="97" t="str" cm="1">
        <f t="array" aca="1" ref="MH11" ca="1">IFERROR(INDEX(INDIRECT(REPLACE($E$11,FIND("[",$E$11,1)+1,3,MH$7)),MH$10),"")</f>
        <v/>
      </c>
      <c r="MI11" s="97" t="str" cm="1">
        <f t="array" aca="1" ref="MI11" ca="1">IFERROR(INDEX(INDIRECT(REPLACE($E$11,FIND("[",$E$11,1)+1,3,MI$7)),MI$10),"")</f>
        <v/>
      </c>
      <c r="MJ11" s="97" t="str" cm="1">
        <f t="array" aca="1" ref="MJ11" ca="1">IFERROR(INDEX(INDIRECT(REPLACE($E$11,FIND("[",$E$11,1)+1,3,MJ$7)),MJ$10),"")</f>
        <v/>
      </c>
      <c r="MK11" s="97" t="str" cm="1">
        <f t="array" aca="1" ref="MK11" ca="1">IFERROR(INDEX(INDIRECT(REPLACE($E$11,FIND("[",$E$11,1)+1,3,MK$7)),MK$10),"")</f>
        <v/>
      </c>
      <c r="ML11" s="97" t="str" cm="1">
        <f t="array" aca="1" ref="ML11" ca="1">IFERROR(INDEX(INDIRECT(REPLACE($E$11,FIND("[",$E$11,1)+1,3,ML$7)),ML$10),"")</f>
        <v/>
      </c>
      <c r="MM11" s="97" t="str" cm="1">
        <f t="array" aca="1" ref="MM11" ca="1">IFERROR(INDEX(INDIRECT(REPLACE($E$11,FIND("[",$E$11,1)+1,3,MM$7)),MM$10),"")</f>
        <v/>
      </c>
      <c r="MN11" s="97" t="str" cm="1">
        <f t="array" aca="1" ref="MN11" ca="1">IFERROR(INDEX(INDIRECT(REPLACE($E$11,FIND("[",$E$11,1)+1,3,MN$7)),MN$10),"")</f>
        <v/>
      </c>
      <c r="MO11" s="97" t="str" cm="1">
        <f t="array" aca="1" ref="MO11" ca="1">IFERROR(INDEX(INDIRECT(REPLACE($E$11,FIND("[",$E$11,1)+1,3,MO$7)),MO$10),"")</f>
        <v/>
      </c>
      <c r="MP11" s="97" t="str" cm="1">
        <f t="array" aca="1" ref="MP11" ca="1">IFERROR(INDEX(INDIRECT(REPLACE($E$11,FIND("[",$E$11,1)+1,3,MP$7)),MP$10),"")</f>
        <v/>
      </c>
      <c r="MQ11" s="97" t="str" cm="1">
        <f t="array" aca="1" ref="MQ11" ca="1">IFERROR(INDEX(INDIRECT(REPLACE($E$11,FIND("[",$E$11,1)+1,3,MQ$7)),MQ$10),"")</f>
        <v/>
      </c>
      <c r="MR11" s="97" t="str" cm="1">
        <f t="array" aca="1" ref="MR11" ca="1">IFERROR(INDEX(INDIRECT(REPLACE($E$11,FIND("[",$E$11,1)+1,3,MR$7)),MR$10),"")</f>
        <v/>
      </c>
      <c r="MS11" s="97" t="str" cm="1">
        <f t="array" aca="1" ref="MS11" ca="1">IFERROR(INDEX(INDIRECT(REPLACE($E$11,FIND("[",$E$11,1)+1,3,MS$7)),MS$10),"")</f>
        <v/>
      </c>
      <c r="MT11" s="97" t="str" cm="1">
        <f t="array" aca="1" ref="MT11" ca="1">IFERROR(INDEX(INDIRECT(REPLACE($E$11,FIND("[",$E$11,1)+1,3,MT$7)),MT$10),"")</f>
        <v/>
      </c>
      <c r="MU11" s="97" t="str" cm="1">
        <f t="array" aca="1" ref="MU11" ca="1">IFERROR(INDEX(INDIRECT(REPLACE($E$11,FIND("[",$E$11,1)+1,3,MU$7)),MU$10),"")</f>
        <v/>
      </c>
      <c r="MV11" s="97" t="str" cm="1">
        <f t="array" aca="1" ref="MV11" ca="1">IFERROR(INDEX(INDIRECT(REPLACE($E$11,FIND("[",$E$11,1)+1,3,MV$7)),MV$10),"")</f>
        <v/>
      </c>
      <c r="MW11" s="97" t="str" cm="1">
        <f t="array" aca="1" ref="MW11" ca="1">IFERROR(INDEX(INDIRECT(REPLACE($E$11,FIND("[",$E$11,1)+1,3,MW$7)),MW$10),"")</f>
        <v/>
      </c>
      <c r="MX11" s="97" t="str" cm="1">
        <f t="array" aca="1" ref="MX11" ca="1">IFERROR(INDEX(INDIRECT(REPLACE($E$11,FIND("[",$E$11,1)+1,3,MX$7)),MX$10),"")</f>
        <v/>
      </c>
      <c r="MY11" s="97" cm="1">
        <f t="array" aca="1" ref="MY11" ca="1">IFERROR(INDEX(INDIRECT(REPLACE($E$11,FIND("[",$E$11,1)+1,3,MY$7)),MY$10),"")</f>
        <v>1</v>
      </c>
      <c r="MZ11" s="97" t="str" cm="1">
        <f t="array" aca="1" ref="MZ11" ca="1">IFERROR(INDEX(INDIRECT(REPLACE($E$11,FIND("[",$E$11,1)+1,3,MZ$7)),MZ$10),"")</f>
        <v/>
      </c>
      <c r="NA11" s="97" t="str" cm="1">
        <f t="array" aca="1" ref="NA11" ca="1">IFERROR(INDEX(INDIRECT(REPLACE($E$11,FIND("[",$E$11,1)+1,3,NA$7)),NA$10),"")</f>
        <v/>
      </c>
      <c r="NB11" s="97" cm="1">
        <f t="array" aca="1" ref="NB11" ca="1">IFERROR(INDEX(INDIRECT(REPLACE($E$11,FIND("[",$E$11,1)+1,3,NB$7)),NB$10),"")</f>
        <v>0</v>
      </c>
      <c r="NC11" s="97" t="str" cm="1">
        <f t="array" aca="1" ref="NC11" ca="1">IFERROR(INDEX(INDIRECT(REPLACE($E$11,FIND("[",$E$11,1)+1,3,NC$7)),NC$10),"")</f>
        <v/>
      </c>
      <c r="ND11" s="97" t="str" cm="1">
        <f t="array" aca="1" ref="ND11" ca="1">IFERROR(INDEX(INDIRECT(REPLACE($E$11,FIND("[",$E$11,1)+1,3,ND$7)),ND$10),"")</f>
        <v/>
      </c>
      <c r="NE11" s="97" cm="1">
        <f t="array" aca="1" ref="NE11" ca="1">IFERROR(INDEX(INDIRECT(REPLACE($E$11,FIND("[",$E$11,1)+1,3,NE$7)),NE$10),"")</f>
        <v>1</v>
      </c>
      <c r="NF11" s="97" t="str" cm="1">
        <f t="array" aca="1" ref="NF11" ca="1">IFERROR(INDEX(INDIRECT(REPLACE($E$11,FIND("[",$E$11,1)+1,3,NF$7)),NF$10),"")</f>
        <v/>
      </c>
      <c r="NG11" s="97" t="str" cm="1">
        <f t="array" aca="1" ref="NG11" ca="1">IFERROR(INDEX(INDIRECT(REPLACE($E$11,FIND("[",$E$11,1)+1,3,NG$7)),NG$10),"")</f>
        <v/>
      </c>
      <c r="NH11" s="97" cm="1">
        <f t="array" aca="1" ref="NH11" ca="1">IFERROR(INDEX(INDIRECT(REPLACE($E$11,FIND("[",$E$11,1)+1,3,NH$7)),NH$10),"")</f>
        <v>0</v>
      </c>
      <c r="NI11" s="97" t="str" cm="1">
        <f t="array" aca="1" ref="NI11" ca="1">IFERROR(INDEX(INDIRECT(REPLACE($E$11,FIND("[",$E$11,1)+1,3,NI$7)),NI$10),"")</f>
        <v/>
      </c>
      <c r="NJ11" s="97" t="str" cm="1">
        <f t="array" aca="1" ref="NJ11" ca="1">IFERROR(INDEX(INDIRECT(REPLACE($E$11,FIND("[",$E$11,1)+1,3,NJ$7)),NJ$10),"")</f>
        <v/>
      </c>
      <c r="NK11" s="97" t="str" cm="1">
        <f t="array" aca="1" ref="NK11" ca="1">IFERROR(INDEX(INDIRECT(REPLACE($E$11,FIND("[",$E$11,1)+1,3,NK$7)),NK$10),"")</f>
        <v/>
      </c>
      <c r="NL11" s="97" cm="1">
        <f t="array" aca="1" ref="NL11" ca="1">IFERROR(INDEX(INDIRECT(REPLACE($E$11,FIND("[",$E$11,1)+1,3,NL$7)),NL$10),"")</f>
        <v>0</v>
      </c>
      <c r="NM11" s="97" t="str" cm="1">
        <f t="array" aca="1" ref="NM11" ca="1">IFERROR(INDEX(INDIRECT(REPLACE($E$11,FIND("[",$E$11,1)+1,3,NM$7)),NM$10),"")</f>
        <v/>
      </c>
      <c r="NN11" s="97" t="str" cm="1">
        <f t="array" aca="1" ref="NN11" ca="1">IFERROR(INDEX(INDIRECT(REPLACE($E$11,FIND("[",$E$11,1)+1,3,NN$7)),NN$10),"")</f>
        <v/>
      </c>
      <c r="NO11" s="97" cm="1">
        <f t="array" aca="1" ref="NO11" ca="1">IFERROR(INDEX(INDIRECT(REPLACE($E$11,FIND("[",$E$11,1)+1,3,NO$7)),NO$10),"")</f>
        <v>0</v>
      </c>
      <c r="NP11" s="97" t="str" cm="1">
        <f t="array" aca="1" ref="NP11" ca="1">IFERROR(INDEX(INDIRECT(REPLACE($E$11,FIND("[",$E$11,1)+1,3,NP$7)),NP$10),"")</f>
        <v/>
      </c>
      <c r="NQ11" s="97" t="str" cm="1">
        <f t="array" aca="1" ref="NQ11" ca="1">IFERROR(INDEX(INDIRECT(REPLACE($E$11,FIND("[",$E$11,1)+1,3,NQ$7)),NQ$10),"")</f>
        <v/>
      </c>
      <c r="NR11" s="97" cm="1">
        <f t="array" aca="1" ref="NR11" ca="1">IFERROR(INDEX(INDIRECT(REPLACE($E$11,FIND("[",$E$11,1)+1,3,NR$7)),NR$10),"")</f>
        <v>1</v>
      </c>
      <c r="NS11" s="97" t="str" cm="1">
        <f t="array" aca="1" ref="NS11" ca="1">IFERROR(INDEX(INDIRECT(REPLACE($E$11,FIND("[",$E$11,1)+1,3,NS$7)),NS$10),"")</f>
        <v/>
      </c>
      <c r="NT11" s="97" cm="1">
        <f t="array" aca="1" ref="NT11" ca="1">IFERROR(INDEX(INDIRECT(REPLACE($E$11,FIND("[",$E$11,1)+1,3,NT$7)),NT$10),"")</f>
        <v>1</v>
      </c>
      <c r="NU11" s="97" cm="1">
        <f t="array" aca="1" ref="NU11" ca="1">IFERROR(INDEX(INDIRECT(REPLACE($E$11,FIND("[",$E$11,1)+1,3,NU$7)),NU$10),"")</f>
        <v>0</v>
      </c>
      <c r="NV11" s="97" cm="1">
        <f t="array" aca="1" ref="NV11" ca="1">IFERROR(INDEX(INDIRECT(REPLACE($E$11,FIND("[",$E$11,1)+1,3,NV$7)),NV$10),"")</f>
        <v>1</v>
      </c>
      <c r="NW11" s="97" cm="1">
        <f t="array" aca="1" ref="NW11" ca="1">IFERROR(INDEX(INDIRECT(REPLACE($E$11,FIND("[",$E$11,1)+1,3,NW$7)),NW$10),"")</f>
        <v>1</v>
      </c>
      <c r="NX11" s="97" t="str" cm="1">
        <f t="array" aca="1" ref="NX11" ca="1">IFERROR(INDEX(INDIRECT(REPLACE($E$11,FIND("[",$E$11,1)+1,3,NX$7)),NX$10),"")</f>
        <v/>
      </c>
      <c r="NY11" s="97" t="str" cm="1">
        <f t="array" aca="1" ref="NY11" ca="1">IFERROR(INDEX(INDIRECT(REPLACE($E$11,FIND("[",$E$11,1)+1,3,NY$7)),NY$10),"")</f>
        <v/>
      </c>
      <c r="NZ11" s="97" t="str" cm="1">
        <f t="array" aca="1" ref="NZ11" ca="1">IFERROR(INDEX(INDIRECT(REPLACE($E$11,FIND("[",$E$11,1)+1,3,NZ$7)),NZ$10),"")</f>
        <v/>
      </c>
      <c r="OA11" s="97" t="str" cm="1">
        <f t="array" aca="1" ref="OA11" ca="1">IFERROR(INDEX(INDIRECT(REPLACE($E$11,FIND("[",$E$11,1)+1,3,OA$7)),OA$10),"")</f>
        <v/>
      </c>
      <c r="OB11" s="97" t="str" cm="1">
        <f t="array" aca="1" ref="OB11" ca="1">IFERROR(INDEX(INDIRECT(REPLACE($E$11,FIND("[",$E$11,1)+1,3,OB$7)),OB$10),"")</f>
        <v/>
      </c>
      <c r="OC11" s="97" t="str" cm="1">
        <f t="array" aca="1" ref="OC11" ca="1">IFERROR(INDEX(INDIRECT(REPLACE($E$11,FIND("[",$E$11,1)+1,3,OC$7)),OC$10),"")</f>
        <v/>
      </c>
      <c r="OD11" s="97" t="str" cm="1">
        <f t="array" aca="1" ref="OD11" ca="1">IFERROR(INDEX(INDIRECT(REPLACE($E$11,FIND("[",$E$11,1)+1,3,OD$7)),OD$10),"")</f>
        <v/>
      </c>
      <c r="OE11" s="97" t="str" cm="1">
        <f t="array" aca="1" ref="OE11" ca="1">IFERROR(INDEX(INDIRECT(REPLACE($E$11,FIND("[",$E$11,1)+1,3,OE$7)),OE$10),"")</f>
        <v/>
      </c>
      <c r="OF11" s="97" t="str" cm="1">
        <f t="array" aca="1" ref="OF11" ca="1">IFERROR(INDEX(INDIRECT(REPLACE($E$11,FIND("[",$E$11,1)+1,3,OF$7)),OF$10),"")</f>
        <v/>
      </c>
      <c r="OG11" s="97" t="str" cm="1">
        <f t="array" aca="1" ref="OG11" ca="1">IFERROR(INDEX(INDIRECT(REPLACE($E$11,FIND("[",$E$11,1)+1,3,OG$7)),OG$10),"")</f>
        <v/>
      </c>
      <c r="OH11" s="97" t="str" cm="1">
        <f t="array" aca="1" ref="OH11" ca="1">IFERROR(INDEX(INDIRECT(REPLACE($E$11,FIND("[",$E$11,1)+1,3,OH$7)),OH$10),"")</f>
        <v/>
      </c>
      <c r="OI11" s="97" t="str" cm="1">
        <f t="array" aca="1" ref="OI11" ca="1">IFERROR(INDEX(INDIRECT(REPLACE($E$11,FIND("[",$E$11,1)+1,3,OI$7)),OI$10),"")</f>
        <v/>
      </c>
      <c r="OJ11" s="97" t="str" cm="1">
        <f t="array" aca="1" ref="OJ11" ca="1">IFERROR(INDEX(INDIRECT(REPLACE($E$11,FIND("[",$E$11,1)+1,3,OJ$7)),OJ$10),"")</f>
        <v/>
      </c>
      <c r="OK11" s="97" t="str" cm="1">
        <f t="array" aca="1" ref="OK11" ca="1">IFERROR(INDEX(INDIRECT(REPLACE($E$11,FIND("[",$E$11,1)+1,3,OK$7)),OK$10),"")</f>
        <v/>
      </c>
      <c r="OL11" s="97" t="str" cm="1">
        <f t="array" aca="1" ref="OL11" ca="1">IFERROR(INDEX(INDIRECT(REPLACE($E$11,FIND("[",$E$11,1)+1,3,OL$7)),OL$10),"")</f>
        <v/>
      </c>
      <c r="OM11" s="97" t="str" cm="1">
        <f t="array" aca="1" ref="OM11" ca="1">IFERROR(INDEX(INDIRECT(REPLACE($E$11,FIND("[",$E$11,1)+1,3,OM$7)),OM$10),"")</f>
        <v/>
      </c>
      <c r="ON11" s="97" t="str" cm="1">
        <f t="array" aca="1" ref="ON11" ca="1">IFERROR(INDEX(INDIRECT(REPLACE($E$11,FIND("[",$E$11,1)+1,3,ON$7)),ON$10),"")</f>
        <v/>
      </c>
      <c r="OO11" s="97" t="str" cm="1">
        <f t="array" aca="1" ref="OO11" ca="1">IFERROR(INDEX(INDIRECT(REPLACE($E$11,FIND("[",$E$11,1)+1,3,OO$7)),OO$10),"")</f>
        <v/>
      </c>
      <c r="OP11" s="97" cm="1">
        <f t="array" aca="1" ref="OP11" ca="1">IFERROR(INDEX(INDIRECT(REPLACE($E$11,FIND("[",$E$11,1)+1,3,OP$7)),OP$10),"")</f>
        <v>1</v>
      </c>
      <c r="OQ11" s="97" t="str" cm="1">
        <f t="array" aca="1" ref="OQ11" ca="1">IFERROR(INDEX(INDIRECT(REPLACE($E$11,FIND("[",$E$11,1)+1,3,OQ$7)),OQ$10),"")</f>
        <v>0,0</v>
      </c>
      <c r="OR11" s="97" t="str" cm="1">
        <f t="array" aca="1" ref="OR11" ca="1">IFERROR(INDEX(INDIRECT(REPLACE($E$11,FIND("[",$E$11,1)+1,3,OR$7)),OR$10),"")</f>
        <v>0,0</v>
      </c>
      <c r="OS11" s="97" t="str" cm="1">
        <f t="array" aca="1" ref="OS11" ca="1">IFERROR(INDEX(INDIRECT(REPLACE($E$11,FIND("[",$E$11,1)+1,3,OS$7)),OS$10),"")</f>
        <v>0,0</v>
      </c>
      <c r="OT11" s="97" t="str" cm="1">
        <f t="array" aca="1" ref="OT11" ca="1">IFERROR(INDEX(INDIRECT(REPLACE($E$11,FIND("[",$E$11,1)+1,3,OT$7)),OT$10),"")</f>
        <v/>
      </c>
      <c r="OU11" s="97" t="str" cm="1">
        <f t="array" aca="1" ref="OU11" ca="1">IFERROR(INDEX(INDIRECT(REPLACE($E$11,FIND("[",$E$11,1)+1,3,OU$7)),OU$10),"")</f>
        <v/>
      </c>
      <c r="OV11" s="97" t="str" cm="1">
        <f t="array" aca="1" ref="OV11" ca="1">IFERROR(INDEX(INDIRECT(REPLACE($E$11,FIND("[",$E$11,1)+1,3,OV$7)),OV$10),"")</f>
        <v/>
      </c>
      <c r="OW11" s="97" t="str" cm="1">
        <f t="array" aca="1" ref="OW11" ca="1">IFERROR(INDEX(INDIRECT(REPLACE($E$11,FIND("[",$E$11,1)+1,3,OW$7)),OW$10),"")</f>
        <v/>
      </c>
      <c r="OX11" s="97" t="str" cm="1">
        <f t="array" aca="1" ref="OX11" ca="1">IFERROR(INDEX(INDIRECT(REPLACE($E$11,FIND("[",$E$11,1)+1,3,OX$7)),OX$10),"")</f>
        <v/>
      </c>
      <c r="OY11" s="97" t="str" cm="1">
        <f t="array" aca="1" ref="OY11" ca="1">IFERROR(INDEX(INDIRECT(REPLACE($E$11,FIND("[",$E$11,1)+1,3,OY$7)),OY$10),"")</f>
        <v/>
      </c>
      <c r="OZ11" s="97" t="str" cm="1">
        <f t="array" aca="1" ref="OZ11" ca="1">IFERROR(INDEX(INDIRECT(REPLACE($E$11,FIND("[",$E$11,1)+1,3,OZ$7)),OZ$10),"")</f>
        <v/>
      </c>
      <c r="PA11" s="97" cm="1">
        <f t="array" aca="1" ref="PA11" ca="1">IFERROR(INDEX(INDIRECT(REPLACE($E$11,FIND("[",$E$11,1)+1,3,PA$7)),PA$10),"")</f>
        <v>1</v>
      </c>
      <c r="PB11" s="97" t="str" cm="1">
        <f t="array" aca="1" ref="PB11" ca="1">IFERROR(INDEX(INDIRECT(REPLACE($E$11,FIND("[",$E$11,1)+1,3,PB$7)),PB$10),"")</f>
        <v/>
      </c>
      <c r="PC11" s="97" t="str" cm="1">
        <f t="array" aca="1" ref="PC11" ca="1">IFERROR(INDEX(INDIRECT(REPLACE($E$11,FIND("[",$E$11,1)+1,3,PC$7)),PC$10),"")</f>
        <v/>
      </c>
      <c r="PD11" s="97" cm="1">
        <f t="array" aca="1" ref="PD11" ca="1">IFERROR(INDEX(INDIRECT(REPLACE($E$11,FIND("[",$E$11,1)+1,3,PD$7)),PD$10),"")</f>
        <v>1</v>
      </c>
      <c r="PE11" s="97" t="str" cm="1">
        <f t="array" aca="1" ref="PE11" ca="1">IFERROR(INDEX(INDIRECT(REPLACE($E$11,FIND("[",$E$11,1)+1,3,PE$7)),PE$10),"")</f>
        <v/>
      </c>
      <c r="PF11" s="97" t="str" cm="1">
        <f t="array" aca="1" ref="PF11" ca="1">IFERROR(INDEX(INDIRECT(REPLACE($E$11,FIND("[",$E$11,1)+1,3,PF$7)),PF$10),"")</f>
        <v/>
      </c>
      <c r="PG11" s="97" cm="1">
        <f t="array" aca="1" ref="PG11" ca="1">IFERROR(INDEX(INDIRECT(REPLACE($E$11,FIND("[",$E$11,1)+1,3,PG$7)),PG$10),"")</f>
        <v>1</v>
      </c>
      <c r="PH11" s="97" t="str" cm="1">
        <f t="array" aca="1" ref="PH11" ca="1">IFERROR(INDEX(INDIRECT(REPLACE($E$11,FIND("[",$E$11,1)+1,3,PH$7)),PH$10),"")</f>
        <v/>
      </c>
      <c r="PI11" s="97" t="str" cm="1">
        <f t="array" aca="1" ref="PI11" ca="1">IFERROR(INDEX(INDIRECT(REPLACE($E$11,FIND("[",$E$11,1)+1,3,PI$7)),PI$10),"")</f>
        <v/>
      </c>
      <c r="PJ11" s="97" cm="1">
        <f t="array" aca="1" ref="PJ11" ca="1">IFERROR(INDEX(INDIRECT(REPLACE($E$11,FIND("[",$E$11,1)+1,3,PJ$7)),PJ$10),"")</f>
        <v>1</v>
      </c>
      <c r="PK11" s="97" t="str" cm="1">
        <f t="array" aca="1" ref="PK11" ca="1">IFERROR(INDEX(INDIRECT(REPLACE($E$11,FIND("[",$E$11,1)+1,3,PK$7)),PK$10),"")</f>
        <v/>
      </c>
      <c r="PL11" s="97" t="str" cm="1">
        <f t="array" aca="1" ref="PL11" ca="1">IFERROR(INDEX(INDIRECT(REPLACE($E$11,FIND("[",$E$11,1)+1,3,PL$7)),PL$10),"")</f>
        <v/>
      </c>
      <c r="PM11" s="97" t="str" cm="1">
        <f t="array" aca="1" ref="PM11" ca="1">IFERROR(INDEX(INDIRECT(REPLACE($E$11,FIND("[",$E$11,1)+1,3,PM$7)),PM$10),"")</f>
        <v>2+</v>
      </c>
      <c r="PN11" s="97" t="str" cm="1">
        <f t="array" aca="1" ref="PN11" ca="1">IFERROR(INDEX(INDIRECT(REPLACE($E$11,FIND("[",$E$11,1)+1,3,PN$7)),PN$10),"")</f>
        <v/>
      </c>
      <c r="PO11" s="97" t="str" cm="1">
        <f t="array" aca="1" ref="PO11" ca="1">IFERROR(INDEX(INDIRECT(REPLACE($E$11,FIND("[",$E$11,1)+1,3,PO$7)),PO$10),"")</f>
        <v/>
      </c>
      <c r="PP11" s="97" cm="1">
        <f t="array" aca="1" ref="PP11" ca="1">IFERROR(INDEX(INDIRECT(REPLACE($E$11,FIND("[",$E$11,1)+1,3,PP$7)),PP$10),"")</f>
        <v>0</v>
      </c>
      <c r="PQ11" s="97" t="str" cm="1">
        <f t="array" aca="1" ref="PQ11" ca="1">IFERROR(INDEX(INDIRECT(REPLACE($E$11,FIND("[",$E$11,1)+1,3,PQ$7)),PQ$10),"")</f>
        <v/>
      </c>
      <c r="PR11" s="97" t="str" cm="1">
        <f t="array" aca="1" ref="PR11" ca="1">IFERROR(INDEX(INDIRECT(REPLACE($E$11,FIND("[",$E$11,1)+1,3,PR$7)),PR$10),"")</f>
        <v/>
      </c>
      <c r="PS11" s="97" t="str" cm="1">
        <f t="array" aca="1" ref="PS11" ca="1">IFERROR(INDEX(INDIRECT(REPLACE($E$11,FIND("[",$E$11,1)+1,3,PS$7)),PS$10),"")</f>
        <v/>
      </c>
      <c r="PT11" s="97" cm="1">
        <f t="array" aca="1" ref="PT11" ca="1">IFERROR(INDEX(INDIRECT(REPLACE($E$11,FIND("[",$E$11,1)+1,3,PT$7)),PT$10),"")</f>
        <v>0</v>
      </c>
      <c r="PU11" s="97" t="str" cm="1">
        <f t="array" aca="1" ref="PU11" ca="1">IFERROR(INDEX(INDIRECT(REPLACE($E$11,FIND("[",$E$11,1)+1,3,PU$7)),PU$10),"")</f>
        <v/>
      </c>
      <c r="PV11" s="97" t="str" cm="1">
        <f t="array" aca="1" ref="PV11" ca="1">IFERROR(INDEX(INDIRECT(REPLACE($E$11,FIND("[",$E$11,1)+1,3,PV$7)),PV$10),"")</f>
        <v/>
      </c>
      <c r="PW11" s="97" cm="1">
        <f t="array" aca="1" ref="PW11" ca="1">IFERROR(INDEX(INDIRECT(REPLACE($E$11,FIND("[",$E$11,1)+1,3,PW$7)),PW$10),"")</f>
        <v>0</v>
      </c>
      <c r="PX11" s="97" t="str" cm="1">
        <f t="array" aca="1" ref="PX11" ca="1">IFERROR(INDEX(INDIRECT(REPLACE($E$11,FIND("[",$E$11,1)+1,3,PX$7)),PX$10),"")</f>
        <v/>
      </c>
      <c r="PY11" s="97" t="str" cm="1">
        <f t="array" aca="1" ref="PY11" ca="1">IFERROR(INDEX(INDIRECT(REPLACE($E$11,FIND("[",$E$11,1)+1,3,PY$7)),PY$10),"")</f>
        <v/>
      </c>
      <c r="PZ11" s="97" t="str" cm="1">
        <f t="array" aca="1" ref="PZ11" ca="1">IFERROR(INDEX(INDIRECT(REPLACE($E$11,FIND("[",$E$11,1)+1,3,PZ$7)),PZ$10),"")</f>
        <v>2+</v>
      </c>
      <c r="QA11" s="97" t="str" cm="1">
        <f t="array" aca="1" ref="QA11" ca="1">IFERROR(INDEX(INDIRECT(REPLACE($E$11,FIND("[",$E$11,1)+1,3,QA$7)),QA$10),"")</f>
        <v/>
      </c>
      <c r="QB11" s="97" t="str" cm="1">
        <f t="array" aca="1" ref="QB11" ca="1">IFERROR(INDEX(INDIRECT(REPLACE($E$11,FIND("[",$E$11,1)+1,3,QB$7)),QB$10),"")</f>
        <v/>
      </c>
      <c r="QC11" s="97" cm="1">
        <f t="array" aca="1" ref="QC11" ca="1">IFERROR(INDEX(INDIRECT(REPLACE($E$11,FIND("[",$E$11,1)+1,3,QC$7)),QC$10),"")</f>
        <v>1</v>
      </c>
      <c r="QD11" s="97" t="str" cm="1">
        <f t="array" aca="1" ref="QD11" ca="1">IFERROR(INDEX(INDIRECT(REPLACE($E$11,FIND("[",$E$11,1)+1,3,QD$7)),QD$10),"")</f>
        <v/>
      </c>
      <c r="QE11" s="97" t="str" cm="1">
        <f t="array" aca="1" ref="QE11" ca="1">IFERROR(INDEX(INDIRECT(REPLACE($E$11,FIND("[",$E$11,1)+1,3,QE$7)),QE$10),"")</f>
        <v/>
      </c>
      <c r="QF11" s="97" cm="1">
        <f t="array" aca="1" ref="QF11" ca="1">IFERROR(INDEX(INDIRECT(REPLACE($E$11,FIND("[",$E$11,1)+1,3,QF$7)),QF$10),"")</f>
        <v>1</v>
      </c>
      <c r="QG11" s="97" t="str" cm="1">
        <f t="array" aca="1" ref="QG11" ca="1">IFERROR(INDEX(INDIRECT(REPLACE($E$11,FIND("[",$E$11,1)+1,3,QG$7)),QG$10),"")</f>
        <v/>
      </c>
      <c r="QH11" s="97" t="str" cm="1">
        <f t="array" aca="1" ref="QH11" ca="1">IFERROR(INDEX(INDIRECT(REPLACE($E$11,FIND("[",$E$11,1)+1,3,QH$7)),QH$10),"")</f>
        <v/>
      </c>
      <c r="QI11" s="97" cm="1">
        <f t="array" aca="1" ref="QI11" ca="1">IFERROR(INDEX(INDIRECT(REPLACE($E$11,FIND("[",$E$11,1)+1,3,QI$7)),QI$10),"")</f>
        <v>1</v>
      </c>
      <c r="QJ11" s="97" t="str" cm="1">
        <f t="array" aca="1" ref="QJ11" ca="1">IFERROR(INDEX(INDIRECT(REPLACE($E$11,FIND("[",$E$11,1)+1,3,QJ$7)),QJ$10),"")</f>
        <v/>
      </c>
      <c r="QK11" s="97" t="str" cm="1">
        <f t="array" aca="1" ref="QK11" ca="1">IFERROR(INDEX(INDIRECT(REPLACE($E$11,FIND("[",$E$11,1)+1,3,QK$7)),QK$10),"")</f>
        <v/>
      </c>
      <c r="QL11" s="97" t="str" cm="1">
        <f t="array" aca="1" ref="QL11" ca="1">IFERROR(INDEX(INDIRECT(REPLACE($E$11,FIND("[",$E$11,1)+1,3,QL$7)),QL$10),"")</f>
        <v>2+</v>
      </c>
      <c r="QM11" s="97" t="str" cm="1">
        <f t="array" aca="1" ref="QM11" ca="1">IFERROR(INDEX(INDIRECT(REPLACE($E$11,FIND("[",$E$11,1)+1,3,QM$7)),QM$10),"")</f>
        <v/>
      </c>
      <c r="QN11" s="97" cm="1">
        <f t="array" aca="1" ref="QN11" ca="1">IFERROR(INDEX(INDIRECT(REPLACE($E$11,FIND("[",$E$11,1)+1,3,QN$7)),QN$10),"")</f>
        <v>1</v>
      </c>
      <c r="QO11" s="97" cm="1">
        <f t="array" aca="1" ref="QO11" ca="1">IFERROR(INDEX(INDIRECT(REPLACE($E$11,FIND("[",$E$11,1)+1,3,QO$7)),QO$10),"")</f>
        <v>0</v>
      </c>
      <c r="QP11" s="97" cm="1">
        <f t="array" aca="1" ref="QP11" ca="1">IFERROR(INDEX(INDIRECT(REPLACE($E$11,FIND("[",$E$11,1)+1,3,QP$7)),QP$10),"")</f>
        <v>1</v>
      </c>
      <c r="QQ11" s="97" t="str" cm="1">
        <f t="array" aca="1" ref="QQ11" ca="1">IFERROR(INDEX(INDIRECT(REPLACE($E$11,FIND("[",$E$11,1)+1,3,QQ$7)),QQ$10),"")</f>
        <v>2+</v>
      </c>
      <c r="QR11" s="97" t="str" cm="1">
        <f t="array" aca="1" ref="QR11" ca="1">IFERROR(INDEX(INDIRECT(REPLACE($E$11,FIND("[",$E$11,1)+1,3,QR$7)),QR$10),"")</f>
        <v>2+</v>
      </c>
      <c r="QS11" s="97" t="str" cm="1">
        <f t="array" aca="1" ref="QS11" ca="1">IFERROR(INDEX(INDIRECT(REPLACE($E$11,FIND("[",$E$11,1)+1,3,QS$7)),QS$10),"")</f>
        <v>2+</v>
      </c>
      <c r="QT11" s="97" t="str" cm="1">
        <f t="array" aca="1" ref="QT11" ca="1">IFERROR(INDEX(INDIRECT(REPLACE($E$11,FIND("[",$E$11,1)+1,3,QT$7)),QT$10),"")</f>
        <v/>
      </c>
      <c r="QU11" s="97" t="str" cm="1">
        <f t="array" aca="1" ref="QU11" ca="1">IFERROR(INDEX(INDIRECT(REPLACE($E$11,FIND("[",$E$11,1)+1,3,QU$7)),QU$10),"")</f>
        <v/>
      </c>
      <c r="QV11" s="97" t="str" cm="1">
        <f t="array" aca="1" ref="QV11" ca="1">IFERROR(INDEX(INDIRECT(REPLACE($E$11,FIND("[",$E$11,1)+1,3,QV$7)),QV$10),"")</f>
        <v/>
      </c>
      <c r="QW11" s="97" t="str" cm="1">
        <f t="array" aca="1" ref="QW11" ca="1">IFERROR(INDEX(INDIRECT(REPLACE($E$11,FIND("[",$E$11,1)+1,3,QW$7)),QW$10),"")</f>
        <v/>
      </c>
      <c r="QX11" s="97" t="str" cm="1">
        <f t="array" aca="1" ref="QX11" ca="1">IFERROR(INDEX(INDIRECT(REPLACE($E$11,FIND("[",$E$11,1)+1,3,QX$7)),QX$10),"")</f>
        <v/>
      </c>
      <c r="QY11" s="97" t="str" cm="1">
        <f t="array" aca="1" ref="QY11" ca="1">IFERROR(INDEX(INDIRECT(REPLACE($E$11,FIND("[",$E$11,1)+1,3,QY$7)),QY$10),"")</f>
        <v/>
      </c>
      <c r="QZ11" s="97" t="str" cm="1">
        <f t="array" aca="1" ref="QZ11" ca="1">IFERROR(INDEX(INDIRECT(REPLACE($E$11,FIND("[",$E$11,1)+1,3,QZ$7)),QZ$10),"")</f>
        <v/>
      </c>
      <c r="RA11" s="97" t="str" cm="1">
        <f t="array" aca="1" ref="RA11" ca="1">IFERROR(INDEX(INDIRECT(REPLACE($E$11,FIND("[",$E$11,1)+1,3,RA$7)),RA$10),"")</f>
        <v/>
      </c>
      <c r="RB11" s="97" t="str" cm="1">
        <f t="array" aca="1" ref="RB11" ca="1">IFERROR(INDEX(INDIRECT(REPLACE($E$11,FIND("[",$E$11,1)+1,3,RB$7)),RB$10),"")</f>
        <v/>
      </c>
      <c r="RC11" s="97" t="str" cm="1">
        <f t="array" aca="1" ref="RC11" ca="1">IFERROR(INDEX(INDIRECT(REPLACE($E$11,FIND("[",$E$11,1)+1,3,RC$7)),RC$10),"")</f>
        <v/>
      </c>
      <c r="RD11" s="97" t="str" cm="1">
        <f t="array" aca="1" ref="RD11" ca="1">IFERROR(INDEX(INDIRECT(REPLACE($E$11,FIND("[",$E$11,1)+1,3,RD$7)),RD$10),"")</f>
        <v/>
      </c>
      <c r="RE11" s="97" t="str" cm="1">
        <f t="array" aca="1" ref="RE11" ca="1">IFERROR(INDEX(INDIRECT(REPLACE($E$11,FIND("[",$E$11,1)+1,3,RE$7)),RE$10),"")</f>
        <v/>
      </c>
      <c r="RF11" s="97" t="str" cm="1">
        <f t="array" aca="1" ref="RF11" ca="1">IFERROR(INDEX(INDIRECT(REPLACE($E$11,FIND("[",$E$11,1)+1,3,RF$7)),RF$10),"")</f>
        <v/>
      </c>
      <c r="RG11" s="97" t="str" cm="1">
        <f t="array" aca="1" ref="RG11" ca="1">IFERROR(INDEX(INDIRECT(REPLACE($E$11,FIND("[",$E$11,1)+1,3,RG$7)),RG$10),"")</f>
        <v/>
      </c>
      <c r="RH11" s="97" t="str" cm="1">
        <f t="array" aca="1" ref="RH11" ca="1">IFERROR(INDEX(INDIRECT(REPLACE($E$11,FIND("[",$E$11,1)+1,3,RH$7)),RH$10),"")</f>
        <v/>
      </c>
      <c r="RI11" s="97" t="str" cm="1">
        <f t="array" aca="1" ref="RI11" ca="1">IFERROR(INDEX(INDIRECT(REPLACE($E$11,FIND("[",$E$11,1)+1,3,RI$7)),RI$10),"")</f>
        <v/>
      </c>
      <c r="RJ11" s="97" t="str" cm="1">
        <f t="array" aca="1" ref="RJ11" ca="1">IFERROR(INDEX(INDIRECT(REPLACE($E$11,FIND("[",$E$11,1)+1,3,RJ$7)),RJ$10),"")</f>
        <v>0,00</v>
      </c>
      <c r="RK11" s="97" t="str" cm="1">
        <f t="array" aca="1" ref="RK11" ca="1">IFERROR(INDEX(INDIRECT(REPLACE($E$11,FIND("[",$E$11,1)+1,3,RK$7)),RK$10),"")</f>
        <v/>
      </c>
      <c r="RL11" s="97" t="str" cm="1">
        <f t="array" aca="1" ref="RL11" ca="1">IFERROR(INDEX(INDIRECT(REPLACE($E$11,FIND("[",$E$11,1)+1,3,RL$7)),RL$10),"")</f>
        <v>2+</v>
      </c>
      <c r="RM11" s="97" t="str" cm="1">
        <f t="array" aca="1" ref="RM11" ca="1">IFERROR(INDEX(INDIRECT(REPLACE($E$11,FIND("[",$E$11,1)+1,3,RM$7)),RM$10),"")</f>
        <v/>
      </c>
      <c r="RN11" s="97" t="str" cm="1">
        <f t="array" aca="1" ref="RN11" ca="1">IFERROR(INDEX(INDIRECT(REPLACE($E$11,FIND("[",$E$11,1)+1,3,RN$7)),RN$10),"")</f>
        <v/>
      </c>
      <c r="RO11" s="97" cm="1">
        <f t="array" aca="1" ref="RO11" ca="1">IFERROR(INDEX(INDIRECT(REPLACE($E$11,FIND("[",$E$11,1)+1,3,RO$7)),RO$10),"")</f>
        <v>1</v>
      </c>
      <c r="RP11" s="97" t="str" cm="1">
        <f t="array" aca="1" ref="RP11" ca="1">IFERROR(INDEX(INDIRECT(REPLACE($E$11,FIND("[",$E$11,1)+1,3,RP$7)),RP$10),"")</f>
        <v/>
      </c>
      <c r="RQ11" s="97" t="str" cm="1">
        <f t="array" aca="1" ref="RQ11" ca="1">IFERROR(INDEX(INDIRECT(REPLACE($E$11,FIND("[",$E$11,1)+1,3,RQ$7)),RQ$10),"")</f>
        <v/>
      </c>
      <c r="RR11" s="97" cm="1">
        <f t="array" aca="1" ref="RR11" ca="1">IFERROR(INDEX(INDIRECT(REPLACE($E$11,FIND("[",$E$11,1)+1,3,RR$7)),RR$10),"")</f>
        <v>1</v>
      </c>
      <c r="RS11" s="97" t="str" cm="1">
        <f t="array" aca="1" ref="RS11" ca="1">IFERROR(INDEX(INDIRECT(REPLACE($E$11,FIND("[",$E$11,1)+1,3,RS$7)),RS$10),"")</f>
        <v/>
      </c>
      <c r="RT11" s="97" t="str" cm="1">
        <f t="array" aca="1" ref="RT11" ca="1">IFERROR(INDEX(INDIRECT(REPLACE($E$11,FIND("[",$E$11,1)+1,3,RT$7)),RT$10),"")</f>
        <v/>
      </c>
      <c r="RU11" s="97" cm="1">
        <f t="array" aca="1" ref="RU11" ca="1">IFERROR(INDEX(INDIRECT(REPLACE($E$11,FIND("[",$E$11,1)+1,3,RU$7)),RU$10),"")</f>
        <v>1</v>
      </c>
      <c r="RV11" s="97" t="str" cm="1">
        <f t="array" aca="1" ref="RV11" ca="1">IFERROR(INDEX(INDIRECT(REPLACE($E$11,FIND("[",$E$11,1)+1,3,RV$7)),RV$10),"")</f>
        <v/>
      </c>
      <c r="RW11" s="97" t="str" cm="1">
        <f t="array" aca="1" ref="RW11" ca="1">IFERROR(INDEX(INDIRECT(REPLACE($E$11,FIND("[",$E$11,1)+1,3,RW$7)),RW$10),"")</f>
        <v/>
      </c>
      <c r="RX11" s="97" cm="1">
        <f t="array" aca="1" ref="RX11" ca="1">IFERROR(INDEX(INDIRECT(REPLACE($E$11,FIND("[",$E$11,1)+1,3,RX$7)),RX$10),"")</f>
        <v>1</v>
      </c>
      <c r="RY11" s="97" t="str" cm="1">
        <f t="array" aca="1" ref="RY11" ca="1">IFERROR(INDEX(INDIRECT(REPLACE($E$11,FIND("[",$E$11,1)+1,3,RY$7)),RY$10),"")</f>
        <v/>
      </c>
      <c r="RZ11" s="97" t="str" cm="1">
        <f t="array" aca="1" ref="RZ11" ca="1">IFERROR(INDEX(INDIRECT(REPLACE($E$11,FIND("[",$E$11,1)+1,3,RZ$7)),RZ$10),"")</f>
        <v/>
      </c>
      <c r="SA11" s="97" cm="1">
        <f t="array" aca="1" ref="SA11" ca="1">IFERROR(INDEX(INDIRECT(REPLACE($E$11,FIND("[",$E$11,1)+1,3,SA$7)),SA$10),"")</f>
        <v>1</v>
      </c>
      <c r="SB11" s="97" t="str" cm="1">
        <f t="array" aca="1" ref="SB11" ca="1">IFERROR(INDEX(INDIRECT(REPLACE($E$11,FIND("[",$E$11,1)+1,3,SB$7)),SB$10),"")</f>
        <v/>
      </c>
      <c r="SC11" s="97" t="str" cm="1">
        <f t="array" aca="1" ref="SC11" ca="1">IFERROR(INDEX(INDIRECT(REPLACE($E$11,FIND("[",$E$11,1)+1,3,SC$7)),SC$10),"")</f>
        <v/>
      </c>
      <c r="SD11" s="97" cm="1">
        <f t="array" aca="1" ref="SD11" ca="1">IFERROR(INDEX(INDIRECT(REPLACE($E$11,FIND("[",$E$11,1)+1,3,SD$7)),SD$10),"")</f>
        <v>1</v>
      </c>
      <c r="SE11" s="97" t="str" cm="1">
        <f t="array" aca="1" ref="SE11" ca="1">IFERROR(INDEX(INDIRECT(REPLACE($E$11,FIND("[",$E$11,1)+1,3,SE$7)),SE$10),"")</f>
        <v/>
      </c>
      <c r="SF11" s="97" t="str" cm="1">
        <f t="array" aca="1" ref="SF11" ca="1">IFERROR(INDEX(INDIRECT(REPLACE($E$11,FIND("[",$E$11,1)+1,3,SF$7)),SF$10),"")</f>
        <v/>
      </c>
      <c r="SG11" s="97" cm="1">
        <f t="array" aca="1" ref="SG11" ca="1">IFERROR(INDEX(INDIRECT(REPLACE($E$11,FIND("[",$E$11,1)+1,3,SG$7)),SG$10),"")</f>
        <v>1</v>
      </c>
      <c r="SH11" s="97" t="str" cm="1">
        <f t="array" aca="1" ref="SH11" ca="1">IFERROR(INDEX(INDIRECT(REPLACE($E$11,FIND("[",$E$11,1)+1,3,SH$7)),SH$10),"")</f>
        <v/>
      </c>
      <c r="SI11" s="97" t="str" cm="1">
        <f t="array" aca="1" ref="SI11" ca="1">IFERROR(INDEX(INDIRECT(REPLACE($E$11,FIND("[",$E$11,1)+1,3,SI$7)),SI$10),"")</f>
        <v/>
      </c>
      <c r="SJ11" s="97" cm="1">
        <f t="array" aca="1" ref="SJ11" ca="1">IFERROR(INDEX(INDIRECT(REPLACE($E$11,FIND("[",$E$11,1)+1,3,SJ$7)),SJ$10),"")</f>
        <v>1</v>
      </c>
      <c r="SK11" s="97" t="str" cm="1">
        <f t="array" aca="1" ref="SK11" ca="1">IFERROR(INDEX(INDIRECT(REPLACE($E$11,FIND("[",$E$11,1)+1,3,SK$7)),SK$10),"")</f>
        <v/>
      </c>
      <c r="SL11" s="97" t="str" cm="1">
        <f t="array" aca="1" ref="SL11" ca="1">IFERROR(INDEX(INDIRECT(REPLACE($E$11,FIND("[",$E$11,1)+1,3,SL$7)),SL$10),"")</f>
        <v/>
      </c>
      <c r="SM11" s="97" cm="1">
        <f t="array" aca="1" ref="SM11" ca="1">IFERROR(INDEX(INDIRECT(REPLACE($E$11,FIND("[",$E$11,1)+1,3,SM$7)),SM$10),"")</f>
        <v>1</v>
      </c>
      <c r="SN11" s="97" t="str" cm="1">
        <f t="array" aca="1" ref="SN11" ca="1">IFERROR(INDEX(INDIRECT(REPLACE($E$11,FIND("[",$E$11,1)+1,3,SN$7)),SN$10),"")</f>
        <v/>
      </c>
      <c r="SO11" s="97" t="str" cm="1">
        <f t="array" aca="1" ref="SO11" ca="1">IFERROR(INDEX(INDIRECT(REPLACE($E$11,FIND("[",$E$11,1)+1,3,SO$7)),SO$10),"")</f>
        <v/>
      </c>
      <c r="SP11" s="97" cm="1">
        <f t="array" aca="1" ref="SP11" ca="1">IFERROR(INDEX(INDIRECT(REPLACE($E$11,FIND("[",$E$11,1)+1,3,SP$7)),SP$10),"")</f>
        <v>1</v>
      </c>
      <c r="SQ11" s="97" t="str" cm="1">
        <f t="array" aca="1" ref="SQ11" ca="1">IFERROR(INDEX(INDIRECT(REPLACE($E$11,FIND("[",$E$11,1)+1,3,SQ$7)),SQ$10),"")</f>
        <v/>
      </c>
      <c r="SR11" s="97" t="str" cm="1">
        <f t="array" aca="1" ref="SR11" ca="1">IFERROR(INDEX(INDIRECT(REPLACE($E$11,FIND("[",$E$11,1)+1,3,SR$7)),SR$10),"")</f>
        <v/>
      </c>
      <c r="SS11" s="97" cm="1">
        <f t="array" aca="1" ref="SS11" ca="1">IFERROR(INDEX(INDIRECT(REPLACE($E$11,FIND("[",$E$11,1)+1,3,SS$7)),SS$10),"")</f>
        <v>1</v>
      </c>
      <c r="ST11" s="97" t="str" cm="1">
        <f t="array" aca="1" ref="ST11" ca="1">IFERROR(INDEX(INDIRECT(REPLACE($E$11,FIND("[",$E$11,1)+1,3,ST$7)),ST$10),"")</f>
        <v/>
      </c>
      <c r="SU11" s="97" t="str" cm="1">
        <f t="array" aca="1" ref="SU11" ca="1">IFERROR(INDEX(INDIRECT(REPLACE($E$11,FIND("[",$E$11,1)+1,3,SU$7)),SU$10),"")</f>
        <v/>
      </c>
      <c r="SV11" s="97" cm="1">
        <f t="array" aca="1" ref="SV11" ca="1">IFERROR(INDEX(INDIRECT(REPLACE($E$11,FIND("[",$E$11,1)+1,3,SV$7)),SV$10),"")</f>
        <v>1</v>
      </c>
      <c r="SW11" s="97" t="str" cm="1">
        <f t="array" aca="1" ref="SW11" ca="1">IFERROR(INDEX(INDIRECT(REPLACE($E$11,FIND("[",$E$11,1)+1,3,SW$7)),SW$10),"")</f>
        <v/>
      </c>
      <c r="SX11" s="97" t="str" cm="1">
        <f t="array" aca="1" ref="SX11" ca="1">IFERROR(INDEX(INDIRECT(REPLACE($E$11,FIND("[",$E$11,1)+1,3,SX$7)),SX$10),"")</f>
        <v/>
      </c>
      <c r="SY11" s="97" cm="1">
        <f t="array" aca="1" ref="SY11" ca="1">IFERROR(INDEX(INDIRECT(REPLACE($E$11,FIND("[",$E$11,1)+1,3,SY$7)),SY$10),"")</f>
        <v>1</v>
      </c>
      <c r="SZ11" s="97" t="str" cm="1">
        <f t="array" aca="1" ref="SZ11" ca="1">IFERROR(INDEX(INDIRECT(REPLACE($E$11,FIND("[",$E$11,1)+1,3,SZ$7)),SZ$10),"")</f>
        <v/>
      </c>
      <c r="TA11" s="97" t="str" cm="1">
        <f t="array" aca="1" ref="TA11" ca="1">IFERROR(INDEX(INDIRECT(REPLACE($E$11,FIND("[",$E$11,1)+1,3,TA$7)),TA$10),"")</f>
        <v/>
      </c>
      <c r="TB11" s="97" cm="1">
        <f t="array" aca="1" ref="TB11" ca="1">IFERROR(INDEX(INDIRECT(REPLACE($E$11,FIND("[",$E$11,1)+1,3,TB$7)),TB$10),"")</f>
        <v>1</v>
      </c>
      <c r="TC11" s="97" t="str" cm="1">
        <f t="array" aca="1" ref="TC11" ca="1">IFERROR(INDEX(INDIRECT(REPLACE($E$11,FIND("[",$E$11,1)+1,3,TC$7)),TC$10),"")</f>
        <v/>
      </c>
      <c r="TD11" s="97" t="str" cm="1">
        <f t="array" aca="1" ref="TD11" ca="1">IFERROR(INDEX(INDIRECT(REPLACE($E$11,FIND("[",$E$11,1)+1,3,TD$7)),TD$10),"")</f>
        <v/>
      </c>
      <c r="TE11" s="97" cm="1">
        <f t="array" aca="1" ref="TE11" ca="1">IFERROR(INDEX(INDIRECT(REPLACE($E$11,FIND("[",$E$11,1)+1,3,TE$7)),TE$10),"")</f>
        <v>1</v>
      </c>
      <c r="TF11" s="97" t="str" cm="1">
        <f t="array" aca="1" ref="TF11" ca="1">IFERROR(INDEX(INDIRECT(REPLACE($E$11,FIND("[",$E$11,1)+1,3,TF$7)),TF$10),"")</f>
        <v/>
      </c>
      <c r="TG11" s="97" t="str" cm="1">
        <f t="array" aca="1" ref="TG11" ca="1">IFERROR(INDEX(INDIRECT(REPLACE($E$11,FIND("[",$E$11,1)+1,3,TG$7)),TG$10),"")</f>
        <v/>
      </c>
      <c r="TH11" s="97" cm="1">
        <f t="array" aca="1" ref="TH11" ca="1">IFERROR(INDEX(INDIRECT(REPLACE($E$11,FIND("[",$E$11,1)+1,3,TH$7)),TH$10),"")</f>
        <v>1</v>
      </c>
      <c r="TI11" s="97" t="str" cm="1">
        <f t="array" aca="1" ref="TI11" ca="1">IFERROR(INDEX(INDIRECT(REPLACE($E$11,FIND("[",$E$11,1)+1,3,TI$7)),TI$10),"")</f>
        <v/>
      </c>
      <c r="TJ11" s="97" t="str" cm="1">
        <f t="array" aca="1" ref="TJ11" ca="1">IFERROR(INDEX(INDIRECT(REPLACE($E$11,FIND("[",$E$11,1)+1,3,TJ$7)),TJ$10),"")</f>
        <v/>
      </c>
      <c r="TK11" s="97" cm="1">
        <f t="array" aca="1" ref="TK11" ca="1">IFERROR(INDEX(INDIRECT(REPLACE($E$11,FIND("[",$E$11,1)+1,3,TK$7)),TK$10),"")</f>
        <v>0</v>
      </c>
      <c r="TL11" s="97" t="str" cm="1">
        <f t="array" aca="1" ref="TL11" ca="1">IFERROR(INDEX(INDIRECT(REPLACE($E$11,FIND("[",$E$11,1)+1,3,TL$7)),TL$10),"")</f>
        <v/>
      </c>
      <c r="TM11" s="97" t="str" cm="1">
        <f t="array" aca="1" ref="TM11" ca="1">IFERROR(INDEX(INDIRECT(REPLACE($E$11,FIND("[",$E$11,1)+1,3,TM$7)),TM$10),"")</f>
        <v/>
      </c>
      <c r="TN11" s="97" t="str" cm="1">
        <f t="array" aca="1" ref="TN11" ca="1">IFERROR(INDEX(INDIRECT(REPLACE($E$11,FIND("[",$E$11,1)+1,3,TN$7)),TN$10),"")</f>
        <v/>
      </c>
      <c r="TO11" s="97" cm="1">
        <f t="array" aca="1" ref="TO11" ca="1">IFERROR(INDEX(INDIRECT(REPLACE($E$11,FIND("[",$E$11,1)+1,3,TO$7)),TO$10),"")</f>
        <v>0</v>
      </c>
      <c r="TP11" s="97" t="str" cm="1">
        <f t="array" aca="1" ref="TP11" ca="1">IFERROR(INDEX(INDIRECT(REPLACE($E$11,FIND("[",$E$11,1)+1,3,TP$7)),TP$10),"")</f>
        <v/>
      </c>
      <c r="TQ11" s="97" t="str" cm="1">
        <f t="array" aca="1" ref="TQ11" ca="1">IFERROR(INDEX(INDIRECT(REPLACE($E$11,FIND("[",$E$11,1)+1,3,TQ$7)),TQ$10),"")</f>
        <v/>
      </c>
      <c r="TR11" s="97" cm="1">
        <f t="array" aca="1" ref="TR11" ca="1">IFERROR(INDEX(INDIRECT(REPLACE($E$11,FIND("[",$E$11,1)+1,3,TR$7)),TR$10),"")</f>
        <v>0</v>
      </c>
      <c r="TS11" s="97" t="str" cm="1">
        <f t="array" aca="1" ref="TS11" ca="1">IFERROR(INDEX(INDIRECT(REPLACE($E$11,FIND("[",$E$11,1)+1,3,TS$7)),TS$10),"")</f>
        <v/>
      </c>
      <c r="TT11" s="97" t="str" cm="1">
        <f t="array" aca="1" ref="TT11" ca="1">IFERROR(INDEX(INDIRECT(REPLACE($E$11,FIND("[",$E$11,1)+1,3,TT$7)),TT$10),"")</f>
        <v/>
      </c>
      <c r="TU11" s="97" cm="1">
        <f t="array" aca="1" ref="TU11" ca="1">IFERROR(INDEX(INDIRECT(REPLACE($E$11,FIND("[",$E$11,1)+1,3,TU$7)),TU$10),"")</f>
        <v>1</v>
      </c>
      <c r="TV11" s="97" t="str" cm="1">
        <f t="array" aca="1" ref="TV11" ca="1">IFERROR(INDEX(INDIRECT(REPLACE($E$11,FIND("[",$E$11,1)+1,3,TV$7)),TV$10),"")</f>
        <v/>
      </c>
      <c r="TW11" s="97" cm="1">
        <f t="array" aca="1" ref="TW11" ca="1">IFERROR(INDEX(INDIRECT(REPLACE($E$11,FIND("[",$E$11,1)+1,3,TW$7)),TW$10),"")</f>
        <v>1</v>
      </c>
      <c r="TX11" s="97" cm="1">
        <f t="array" aca="1" ref="TX11" ca="1">IFERROR(INDEX(INDIRECT(REPLACE($E$11,FIND("[",$E$11,1)+1,3,TX$7)),TX$10),"")</f>
        <v>1</v>
      </c>
      <c r="TY11" s="97" cm="1">
        <f t="array" aca="1" ref="TY11" ca="1">IFERROR(INDEX(INDIRECT(REPLACE($E$11,FIND("[",$E$11,1)+1,3,TY$7)),TY$10),"")</f>
        <v>1</v>
      </c>
      <c r="TZ11" s="97" cm="1">
        <f t="array" aca="1" ref="TZ11" ca="1">IFERROR(INDEX(INDIRECT(REPLACE($E$11,FIND("[",$E$11,1)+1,3,TZ$7)),TZ$10),"")</f>
        <v>1</v>
      </c>
      <c r="UA11" s="97" cm="1">
        <f t="array" aca="1" ref="UA11" ca="1">IFERROR(INDEX(INDIRECT(REPLACE($E$11,FIND("[",$E$11,1)+1,3,UA$7)),UA$10),"")</f>
        <v>1</v>
      </c>
      <c r="UB11" s="97" t="str" cm="1">
        <f t="array" aca="1" ref="UB11" ca="1">IFERROR(INDEX(INDIRECT(REPLACE($E$11,FIND("[",$E$11,1)+1,3,UB$7)),UB$10),"")</f>
        <v/>
      </c>
      <c r="UC11" s="97" t="str" cm="1">
        <f t="array" aca="1" ref="UC11" ca="1">IFERROR(INDEX(INDIRECT(REPLACE($E$11,FIND("[",$E$11,1)+1,3,UC$7)),UC$10),"")</f>
        <v/>
      </c>
      <c r="UD11" s="97" t="str" cm="1">
        <f t="array" aca="1" ref="UD11" ca="1">IFERROR(INDEX(INDIRECT(REPLACE($E$11,FIND("[",$E$11,1)+1,3,UD$7)),UD$10),"")</f>
        <v/>
      </c>
      <c r="UE11" s="97" t="str" cm="1">
        <f t="array" aca="1" ref="UE11" ca="1">IFERROR(INDEX(INDIRECT(REPLACE($E$11,FIND("[",$E$11,1)+1,3,UE$7)),UE$10),"")</f>
        <v/>
      </c>
      <c r="UF11" s="97" t="str" cm="1">
        <f t="array" aca="1" ref="UF11" ca="1">IFERROR(INDEX(INDIRECT(REPLACE($E$11,FIND("[",$E$11,1)+1,3,UF$7)),UF$10),"")</f>
        <v/>
      </c>
      <c r="UG11" s="97" t="str" cm="1">
        <f t="array" aca="1" ref="UG11" ca="1">IFERROR(INDEX(INDIRECT(REPLACE($E$11,FIND("[",$E$11,1)+1,3,UG$7)),UG$10),"")</f>
        <v/>
      </c>
      <c r="UH11" s="97" t="str" cm="1">
        <f t="array" aca="1" ref="UH11" ca="1">IFERROR(INDEX(INDIRECT(REPLACE($E$11,FIND("[",$E$11,1)+1,3,UH$7)),UH$10),"")</f>
        <v/>
      </c>
      <c r="UI11" s="97" t="str" cm="1">
        <f t="array" aca="1" ref="UI11" ca="1">IFERROR(INDEX(INDIRECT(REPLACE($E$11,FIND("[",$E$11,1)+1,3,UI$7)),UI$10),"")</f>
        <v/>
      </c>
      <c r="UJ11" s="97" t="str" cm="1">
        <f t="array" aca="1" ref="UJ11" ca="1">IFERROR(INDEX(INDIRECT(REPLACE($E$11,FIND("[",$E$11,1)+1,3,UJ$7)),UJ$10),"")</f>
        <v/>
      </c>
      <c r="UK11" s="97" t="str" cm="1">
        <f t="array" aca="1" ref="UK11" ca="1">IFERROR(INDEX(INDIRECT(REPLACE($E$11,FIND("[",$E$11,1)+1,3,UK$7)),UK$10),"")</f>
        <v/>
      </c>
      <c r="UL11" s="97" t="str" cm="1">
        <f t="array" aca="1" ref="UL11" ca="1">IFERROR(INDEX(INDIRECT(REPLACE($E$11,FIND("[",$E$11,1)+1,3,UL$7)),UL$10),"")</f>
        <v/>
      </c>
      <c r="UM11" s="97" t="str" cm="1">
        <f t="array" aca="1" ref="UM11" ca="1">IFERROR(INDEX(INDIRECT(REPLACE($E$11,FIND("[",$E$11,1)+1,3,UM$7)),UM$10),"")</f>
        <v/>
      </c>
      <c r="UN11" s="97" t="str" cm="1">
        <f t="array" aca="1" ref="UN11" ca="1">IFERROR(INDEX(INDIRECT(REPLACE($E$11,FIND("[",$E$11,1)+1,3,UN$7)),UN$10),"")</f>
        <v/>
      </c>
      <c r="UO11" s="97" t="str" cm="1">
        <f t="array" aca="1" ref="UO11" ca="1">IFERROR(INDEX(INDIRECT(REPLACE($E$11,FIND("[",$E$11,1)+1,3,UO$7)),UO$10),"")</f>
        <v/>
      </c>
      <c r="UP11" s="97" t="str" cm="1">
        <f t="array" aca="1" ref="UP11" ca="1">IFERROR(INDEX(INDIRECT(REPLACE($E$11,FIND("[",$E$11,1)+1,3,UP$7)),UP$10),"")</f>
        <v/>
      </c>
      <c r="UQ11" s="97" t="str" cm="1">
        <f t="array" aca="1" ref="UQ11" ca="1">IFERROR(INDEX(INDIRECT(REPLACE($E$11,FIND("[",$E$11,1)+1,3,UQ$7)),UQ$10),"")</f>
        <v/>
      </c>
      <c r="UR11" s="97" t="str" cm="1">
        <f t="array" aca="1" ref="UR11" ca="1">IFERROR(INDEX(INDIRECT(REPLACE($E$11,FIND("[",$E$11,1)+1,3,UR$7)),UR$10),"")</f>
        <v/>
      </c>
      <c r="US11" s="97" t="str" cm="1">
        <f t="array" aca="1" ref="US11" ca="1">IFERROR(INDEX(INDIRECT(REPLACE($E$11,FIND("[",$E$11,1)+1,3,US$7)),US$10),"")</f>
        <v/>
      </c>
      <c r="UT11" s="97" t="str" cm="1">
        <f t="array" aca="1" ref="UT11" ca="1">IFERROR(INDEX(INDIRECT(REPLACE($E$11,FIND("[",$E$11,1)+1,3,UT$7)),UT$10),"")</f>
        <v/>
      </c>
      <c r="UU11" s="97" t="str" cm="1">
        <f t="array" aca="1" ref="UU11" ca="1">IFERROR(INDEX(INDIRECT(REPLACE($E$11,FIND("[",$E$11,1)+1,3,UU$7)),UU$10),"")</f>
        <v/>
      </c>
      <c r="UV11" s="97" t="str" cm="1">
        <f t="array" aca="1" ref="UV11" ca="1">IFERROR(INDEX(INDIRECT(REPLACE($E$11,FIND("[",$E$11,1)+1,3,UV$7)),UV$10),"")</f>
        <v/>
      </c>
      <c r="UW11" s="97" t="str" cm="1">
        <f t="array" aca="1" ref="UW11" ca="1">IFERROR(INDEX(INDIRECT(REPLACE($E$11,FIND("[",$E$11,1)+1,3,UW$7)),UW$10),"")</f>
        <v/>
      </c>
      <c r="UX11" s="97" t="str" cm="1">
        <f t="array" aca="1" ref="UX11" ca="1">IFERROR(INDEX(INDIRECT(REPLACE($E$11,FIND("[",$E$11,1)+1,3,UX$7)),UX$10),"")</f>
        <v/>
      </c>
      <c r="UY11" s="97" t="str" cm="1">
        <f t="array" aca="1" ref="UY11" ca="1">IFERROR(INDEX(INDIRECT(REPLACE($E$11,FIND("[",$E$11,1)+1,3,UY$7)),UY$10),"")</f>
        <v/>
      </c>
      <c r="UZ11" s="97" t="str" cm="1">
        <f t="array" aca="1" ref="UZ11" ca="1">IFERROR(INDEX(INDIRECT(REPLACE($E$11,FIND("[",$E$11,1)+1,3,UZ$7)),UZ$10),"")</f>
        <v/>
      </c>
      <c r="VA11" s="97" t="str" cm="1">
        <f t="array" aca="1" ref="VA11" ca="1">IFERROR(INDEX(INDIRECT(REPLACE($E$11,FIND("[",$E$11,1)+1,3,VA$7)),VA$10),"")</f>
        <v/>
      </c>
      <c r="VB11" s="97" t="str" cm="1">
        <f t="array" aca="1" ref="VB11" ca="1">IFERROR(INDEX(INDIRECT(REPLACE($E$11,FIND("[",$E$11,1)+1,3,VB$7)),VB$10),"")</f>
        <v/>
      </c>
      <c r="VC11" s="97" t="str" cm="1">
        <f t="array" aca="1" ref="VC11" ca="1">IFERROR(INDEX(INDIRECT(REPLACE($E$11,FIND("[",$E$11,1)+1,3,VC$7)),VC$10),"")</f>
        <v/>
      </c>
      <c r="VD11" s="97" t="str" cm="1">
        <f t="array" aca="1" ref="VD11" ca="1">IFERROR(INDEX(INDIRECT(REPLACE($E$11,FIND("[",$E$11,1)+1,3,VD$7)),VD$10),"")</f>
        <v/>
      </c>
      <c r="VE11" s="97" t="str" cm="1">
        <f t="array" aca="1" ref="VE11" ca="1">IFERROR(INDEX(INDIRECT(REPLACE($E$11,FIND("[",$E$11,1)+1,3,VE$7)),VE$10),"")</f>
        <v/>
      </c>
      <c r="VF11" s="97" t="str" cm="1">
        <f t="array" aca="1" ref="VF11" ca="1">IFERROR(INDEX(INDIRECT(REPLACE($E$11,FIND("[",$E$11,1)+1,3,VF$7)),VF$10),"")</f>
        <v/>
      </c>
      <c r="VG11" s="97" t="str" cm="1">
        <f t="array" aca="1" ref="VG11" ca="1">IFERROR(INDEX(INDIRECT(REPLACE($E$11,FIND("[",$E$11,1)+1,3,VG$7)),VG$10),"")</f>
        <v/>
      </c>
      <c r="VH11" s="97" t="str" cm="1">
        <f t="array" aca="1" ref="VH11" ca="1">IFERROR(INDEX(INDIRECT(REPLACE($E$11,FIND("[",$E$11,1)+1,3,VH$7)),VH$10),"")</f>
        <v/>
      </c>
      <c r="VI11" s="97" t="str" cm="1">
        <f t="array" aca="1" ref="VI11" ca="1">IFERROR(INDEX(INDIRECT(REPLACE($E$11,FIND("[",$E$11,1)+1,3,VI$7)),VI$10),"")</f>
        <v/>
      </c>
      <c r="VJ11" s="97" t="str" cm="1">
        <f t="array" aca="1" ref="VJ11" ca="1">IFERROR(INDEX(INDIRECT(REPLACE($E$11,FIND("[",$E$11,1)+1,3,VJ$7)),VJ$10),"")</f>
        <v/>
      </c>
      <c r="VK11" s="97" t="str" cm="1">
        <f t="array" aca="1" ref="VK11" ca="1">IFERROR(INDEX(INDIRECT(REPLACE($E$11,FIND("[",$E$11,1)+1,3,VK$7)),VK$10),"")</f>
        <v/>
      </c>
      <c r="VL11" s="97" t="str" cm="1">
        <f t="array" aca="1" ref="VL11" ca="1">IFERROR(INDEX(INDIRECT(REPLACE($E$11,FIND("[",$E$11,1)+1,3,VL$7)),VL$10),"")</f>
        <v/>
      </c>
      <c r="VM11" s="97" t="str" cm="1">
        <f t="array" aca="1" ref="VM11" ca="1">IFERROR(INDEX(INDIRECT(REPLACE($E$11,FIND("[",$E$11,1)+1,3,VM$7)),VM$10),"")</f>
        <v/>
      </c>
      <c r="VN11" s="97" t="str" cm="1">
        <f t="array" aca="1" ref="VN11" ca="1">IFERROR(INDEX(INDIRECT(REPLACE($E$11,FIND("[",$E$11,1)+1,3,VN$7)),VN$10),"")</f>
        <v/>
      </c>
      <c r="VO11" s="97" t="str" cm="1">
        <f t="array" aca="1" ref="VO11" ca="1">IFERROR(INDEX(INDIRECT(REPLACE($E$11,FIND("[",$E$11,1)+1,3,VO$7)),VO$10),"")</f>
        <v/>
      </c>
      <c r="VP11" s="97" t="str" cm="1">
        <f t="array" aca="1" ref="VP11" ca="1">IFERROR(INDEX(INDIRECT(REPLACE($E$11,FIND("[",$E$11,1)+1,3,VP$7)),VP$10),"")</f>
        <v/>
      </c>
      <c r="VQ11" s="97" t="str" cm="1">
        <f t="array" aca="1" ref="VQ11" ca="1">IFERROR(INDEX(INDIRECT(REPLACE($E$11,FIND("[",$E$11,1)+1,3,VQ$7)),VQ$10),"")</f>
        <v/>
      </c>
      <c r="VR11" s="97" t="str" cm="1">
        <f t="array" aca="1" ref="VR11" ca="1">IFERROR(INDEX(INDIRECT(REPLACE($E$11,FIND("[",$E$11,1)+1,3,VR$7)),VR$10),"")</f>
        <v/>
      </c>
      <c r="VS11" s="97" t="str" cm="1">
        <f t="array" aca="1" ref="VS11" ca="1">IFERROR(INDEX(INDIRECT(REPLACE($E$11,FIND("[",$E$11,1)+1,3,VS$7)),VS$10),"")</f>
        <v/>
      </c>
      <c r="VT11" s="97" t="str" cm="1">
        <f t="array" aca="1" ref="VT11" ca="1">IFERROR(INDEX(INDIRECT(REPLACE($E$11,FIND("[",$E$11,1)+1,3,VT$7)),VT$10),"")</f>
        <v/>
      </c>
      <c r="VU11" s="97" t="str" cm="1">
        <f t="array" aca="1" ref="VU11" ca="1">IFERROR(INDEX(INDIRECT(REPLACE($E$11,FIND("[",$E$11,1)+1,3,VU$7)),VU$10),"")</f>
        <v/>
      </c>
      <c r="VV11" s="97" t="str" cm="1">
        <f t="array" aca="1" ref="VV11" ca="1">IFERROR(INDEX(INDIRECT(REPLACE($E$11,FIND("[",$E$11,1)+1,3,VV$7)),VV$10),"")</f>
        <v/>
      </c>
      <c r="VW11" s="97" t="str" cm="1">
        <f t="array" aca="1" ref="VW11" ca="1">IFERROR(INDEX(INDIRECT(REPLACE($E$11,FIND("[",$E$11,1)+1,3,VW$7)),VW$10),"")</f>
        <v/>
      </c>
      <c r="VX11" s="97" t="str" cm="1">
        <f t="array" aca="1" ref="VX11" ca="1">IFERROR(INDEX(INDIRECT(REPLACE($E$11,FIND("[",$E$11,1)+1,3,VX$7)),VX$10),"")</f>
        <v/>
      </c>
      <c r="VY11" s="97" t="str" cm="1">
        <f t="array" aca="1" ref="VY11" ca="1">IFERROR(INDEX(INDIRECT(REPLACE($E$11,FIND("[",$E$11,1)+1,3,VY$7)),VY$10),"")</f>
        <v/>
      </c>
      <c r="VZ11" s="97" t="str" cm="1">
        <f t="array" aca="1" ref="VZ11" ca="1">IFERROR(INDEX(INDIRECT(REPLACE($E$11,FIND("[",$E$11,1)+1,3,VZ$7)),VZ$10),"")</f>
        <v/>
      </c>
      <c r="WA11" s="97" t="str" cm="1">
        <f t="array" aca="1" ref="WA11" ca="1">IFERROR(INDEX(INDIRECT(REPLACE($E$11,FIND("[",$E$11,1)+1,3,WA$7)),WA$10),"")</f>
        <v/>
      </c>
      <c r="WB11" s="97" t="str" cm="1">
        <f t="array" aca="1" ref="WB11" ca="1">IFERROR(INDEX(INDIRECT(REPLACE($E$11,FIND("[",$E$11,1)+1,3,WB$7)),WB$10),"")</f>
        <v/>
      </c>
      <c r="WC11" s="97" t="str" cm="1">
        <f t="array" aca="1" ref="WC11" ca="1">IFERROR(INDEX(INDIRECT(REPLACE($E$11,FIND("[",$E$11,1)+1,3,WC$7)),WC$10),"")</f>
        <v/>
      </c>
      <c r="WD11" s="97" t="str" cm="1">
        <f t="array" aca="1" ref="WD11" ca="1">IFERROR(INDEX(INDIRECT(REPLACE($E$11,FIND("[",$E$11,1)+1,3,WD$7)),WD$10),"")</f>
        <v/>
      </c>
      <c r="WE11" s="97" t="str" cm="1">
        <f t="array" aca="1" ref="WE11" ca="1">IFERROR(INDEX(INDIRECT(REPLACE($E$11,FIND("[",$E$11,1)+1,3,WE$7)),WE$10),"")</f>
        <v/>
      </c>
      <c r="WF11" s="97" t="str" cm="1">
        <f t="array" aca="1" ref="WF11" ca="1">IFERROR(INDEX(INDIRECT(REPLACE($E$11,FIND("[",$E$11,1)+1,3,WF$7)),WF$10),"")</f>
        <v/>
      </c>
      <c r="WG11" s="97" t="str" cm="1">
        <f t="array" aca="1" ref="WG11" ca="1">IFERROR(INDEX(INDIRECT(REPLACE($E$11,FIND("[",$E$11,1)+1,3,WG$7)),WG$10),"")</f>
        <v/>
      </c>
      <c r="WH11" s="97" t="str" cm="1">
        <f t="array" aca="1" ref="WH11" ca="1">IFERROR(INDEX(INDIRECT(REPLACE($E$11,FIND("[",$E$11,1)+1,3,WH$7)),WH$10),"")</f>
        <v/>
      </c>
      <c r="WI11" s="97" t="str" cm="1">
        <f t="array" aca="1" ref="WI11" ca="1">IFERROR(INDEX(INDIRECT(REPLACE($E$11,FIND("[",$E$11,1)+1,3,WI$7)),WI$10),"")</f>
        <v/>
      </c>
      <c r="WJ11" s="97" t="str" cm="1">
        <f t="array" aca="1" ref="WJ11" ca="1">IFERROR(INDEX(INDIRECT(REPLACE($E$11,FIND("[",$E$11,1)+1,3,WJ$7)),WJ$10),"")</f>
        <v/>
      </c>
      <c r="WK11" s="97" t="str" cm="1">
        <f t="array" aca="1" ref="WK11" ca="1">IFERROR(INDEX(INDIRECT(REPLACE($E$11,FIND("[",$E$11,1)+1,3,WK$7)),WK$10),"")</f>
        <v/>
      </c>
      <c r="WL11" s="97" t="str" cm="1">
        <f t="array" aca="1" ref="WL11" ca="1">IFERROR(INDEX(INDIRECT(REPLACE($E$11,FIND("[",$E$11,1)+1,3,WL$7)),WL$10),"")</f>
        <v/>
      </c>
      <c r="WM11" s="97" t="str" cm="1">
        <f t="array" aca="1" ref="WM11" ca="1">IFERROR(INDEX(INDIRECT(REPLACE($E$11,FIND("[",$E$11,1)+1,3,WM$7)),WM$10),"")</f>
        <v/>
      </c>
      <c r="WN11" s="97" t="str" cm="1">
        <f t="array" aca="1" ref="WN11" ca="1">IFERROR(INDEX(INDIRECT(REPLACE($E$11,FIND("[",$E$11,1)+1,3,WN$7)),WN$10),"")</f>
        <v/>
      </c>
      <c r="WO11" s="97" t="str" cm="1">
        <f t="array" aca="1" ref="WO11" ca="1">IFERROR(INDEX(INDIRECT(REPLACE($E$11,FIND("[",$E$11,1)+1,3,WO$7)),WO$10),"")</f>
        <v/>
      </c>
      <c r="WP11" s="97" t="str" cm="1">
        <f t="array" aca="1" ref="WP11" ca="1">IFERROR(INDEX(INDIRECT(REPLACE($E$11,FIND("[",$E$11,1)+1,3,WP$7)),WP$10),"")</f>
        <v/>
      </c>
      <c r="WQ11" s="97" t="str" cm="1">
        <f t="array" aca="1" ref="WQ11" ca="1">IFERROR(INDEX(INDIRECT(REPLACE($E$11,FIND("[",$E$11,1)+1,3,WQ$7)),WQ$10),"")</f>
        <v/>
      </c>
      <c r="WR11" s="97" t="str" cm="1">
        <f t="array" aca="1" ref="WR11" ca="1">IFERROR(INDEX(INDIRECT(REPLACE($E$11,FIND("[",$E$11,1)+1,3,WR$7)),WR$10),"")</f>
        <v/>
      </c>
      <c r="WS11" s="97" t="str" cm="1">
        <f t="array" aca="1" ref="WS11" ca="1">IFERROR(INDEX(INDIRECT(REPLACE($E$11,FIND("[",$E$11,1)+1,3,WS$7)),WS$10),"")</f>
        <v/>
      </c>
      <c r="WT11" s="97" cm="1">
        <f t="array" aca="1" ref="WT11" ca="1">IFERROR(INDEX(INDIRECT(REPLACE($E$11,FIND("[",$E$11,1)+1,3,WT$7)),WT$10),"")</f>
        <v>1</v>
      </c>
      <c r="WU11" s="97" cm="1">
        <f t="array" aca="1" ref="WU11" ca="1">IFERROR(INDEX(INDIRECT(REPLACE($E$11,FIND("[",$E$11,1)+1,3,WU$7)),WU$10),"")</f>
        <v>1</v>
      </c>
      <c r="WV11" s="97" cm="1">
        <f t="array" aca="1" ref="WV11" ca="1">IFERROR(INDEX(INDIRECT(REPLACE($E$11,FIND("[",$E$11,1)+1,3,WV$7)),WV$10),"")</f>
        <v>1</v>
      </c>
      <c r="WW11" s="97" cm="1">
        <f t="array" aca="1" ref="WW11" ca="1">IFERROR(INDEX(INDIRECT(REPLACE($E$11,FIND("[",$E$11,1)+1,3,WW$7)),WW$10),"")</f>
        <v>1</v>
      </c>
      <c r="WX11" s="97" cm="1">
        <f t="array" aca="1" ref="WX11" ca="1">IFERROR(INDEX(INDIRECT(REPLACE($E$11,FIND("[",$E$11,1)+1,3,WX$7)),WX$10),"")</f>
        <v>0</v>
      </c>
      <c r="WY11" s="97" cm="1">
        <f t="array" aca="1" ref="WY11" ca="1">IFERROR(INDEX(INDIRECT(REPLACE($E$11,FIND("[",$E$11,1)+1,3,WY$7)),WY$10),"")</f>
        <v>1</v>
      </c>
      <c r="WZ11" s="97" cm="1">
        <f t="array" aca="1" ref="WZ11" ca="1">IFERROR(INDEX(INDIRECT(REPLACE($E$11,FIND("[",$E$11,1)+1,3,WZ$7)),WZ$10),"")</f>
        <v>1</v>
      </c>
      <c r="XA11" s="97" cm="1">
        <f t="array" aca="1" ref="XA11" ca="1">IFERROR(INDEX(INDIRECT(REPLACE($E$11,FIND("[",$E$11,1)+1,3,XA$7)),XA$10),"")</f>
        <v>1</v>
      </c>
      <c r="XB11" s="97" cm="1">
        <f t="array" aca="1" ref="XB11" ca="1">IFERROR(INDEX(INDIRECT(REPLACE($E$11,FIND("[",$E$11,1)+1,3,XB$7)),XB$10),"")</f>
        <v>1</v>
      </c>
      <c r="XC11" s="97" cm="1">
        <f t="array" aca="1" ref="XC11" ca="1">IFERROR(INDEX(INDIRECT(REPLACE($E$11,FIND("[",$E$11,1)+1,3,XC$7)),XC$10),"")</f>
        <v>1</v>
      </c>
      <c r="XD11" s="97" t="str" cm="1">
        <f t="array" aca="1" ref="XD11" ca="1">IFERROR(INDEX(INDIRECT(REPLACE($E$11,FIND("[",$E$11,1)+1,3,XD$7)),XD$10),"")</f>
        <v/>
      </c>
      <c r="XE11" s="97" t="str" cm="1">
        <f t="array" aca="1" ref="XE11" ca="1">IFERROR(INDEX(INDIRECT(REPLACE($E$11,FIND("[",$E$11,1)+1,3,XE$7)),XE$10),"")</f>
        <v/>
      </c>
      <c r="XF11" s="97" t="str" cm="1">
        <f t="array" aca="1" ref="XF11" ca="1">IFERROR(INDEX(INDIRECT(REPLACE($E$11,FIND("[",$E$11,1)+1,3,XF$7)),XF$10),"")</f>
        <v/>
      </c>
      <c r="XG11" s="97" t="str" cm="1">
        <f t="array" aca="1" ref="XG11" ca="1">IFERROR(INDEX(INDIRECT(REPLACE($E$11,FIND("[",$E$11,1)+1,3,XG$7)),XG$10),"")</f>
        <v/>
      </c>
      <c r="XH11" s="97" t="str" cm="1">
        <f t="array" aca="1" ref="XH11" ca="1">IFERROR(INDEX(INDIRECT(REPLACE($E$11,FIND("[",$E$11,1)+1,3,XH$7)),XH$10),"")</f>
        <v/>
      </c>
      <c r="XI11" s="97" t="str" cm="1">
        <f t="array" aca="1" ref="XI11" ca="1">IFERROR(INDEX(INDIRECT(REPLACE($E$11,FIND("[",$E$11,1)+1,3,XI$7)),XI$10),"")</f>
        <v/>
      </c>
      <c r="XJ11" s="97" t="str" cm="1">
        <f t="array" aca="1" ref="XJ11" ca="1">IFERROR(INDEX(INDIRECT(REPLACE($E$11,FIND("[",$E$11,1)+1,3,XJ$7)),XJ$10),"")</f>
        <v/>
      </c>
      <c r="XK11" s="97" cm="1">
        <f t="array" aca="1" ref="XK11" ca="1">IFERROR(INDEX(INDIRECT(REPLACE($E$11,FIND("[",$E$11,1)+1,3,XK$7)),XK$10),"")</f>
        <v>1</v>
      </c>
      <c r="XL11" s="97" t="str" cm="1">
        <f t="array" aca="1" ref="XL11" ca="1">IFERROR(INDEX(INDIRECT(REPLACE($E$11,FIND("[",$E$11,1)+1,3,XL$7)),XL$10),"")</f>
        <v>0,0</v>
      </c>
      <c r="XM11" s="97" t="str" cm="1">
        <f t="array" aca="1" ref="XM11" ca="1">IFERROR(INDEX(INDIRECT(REPLACE($E$11,FIND("[",$E$11,1)+1,3,XM$7)),XM$10),"")</f>
        <v>0,0</v>
      </c>
      <c r="XN11" s="97" t="str" cm="1">
        <f t="array" aca="1" ref="XN11" ca="1">IFERROR(INDEX(INDIRECT(REPLACE($E$11,FIND("[",$E$11,1)+1,3,XN$7)),XN$10),"")</f>
        <v>0,0</v>
      </c>
      <c r="XO11" s="97" t="str" cm="1">
        <f t="array" aca="1" ref="XO11" ca="1">IFERROR(INDEX(INDIRECT(REPLACE($E$11,FIND("[",$E$11,1)+1,3,XO$7)),XO$10),"")</f>
        <v>0,0</v>
      </c>
      <c r="XP11" s="97" t="str" cm="1">
        <f t="array" aca="1" ref="XP11" ca="1">IFERROR(INDEX(INDIRECT(REPLACE($E$11,FIND("[",$E$11,1)+1,3,XP$7)),XP$10),"")</f>
        <v/>
      </c>
      <c r="XQ11" s="97" t="str" cm="1">
        <f t="array" aca="1" ref="XQ11" ca="1">IFERROR(INDEX(INDIRECT(REPLACE($E$11,FIND("[",$E$11,1)+1,3,XQ$7)),XQ$10),"")</f>
        <v/>
      </c>
      <c r="XR11" s="97" t="str" cm="1">
        <f t="array" aca="1" ref="XR11" ca="1">IFERROR(INDEX(INDIRECT(REPLACE($E$11,FIND("[",$E$11,1)+1,3,XR$7)),XR$10),"")</f>
        <v/>
      </c>
      <c r="XS11" s="97" t="str" cm="1">
        <f t="array" aca="1" ref="XS11" ca="1">IFERROR(INDEX(INDIRECT(REPLACE($E$11,FIND("[",$E$11,1)+1,3,XS$7)),XS$10),"")</f>
        <v/>
      </c>
      <c r="XT11" s="97" t="str" cm="1">
        <f t="array" aca="1" ref="XT11" ca="1">IFERROR(INDEX(INDIRECT(REPLACE($E$11,FIND("[",$E$11,1)+1,3,XT$7)),XT$10),"")</f>
        <v/>
      </c>
      <c r="XU11" s="97" t="str" cm="1">
        <f t="array" aca="1" ref="XU11" ca="1">IFERROR(INDEX(INDIRECT(REPLACE($E$11,FIND("[",$E$11,1)+1,3,XU$7)),XU$10),"")</f>
        <v/>
      </c>
      <c r="XV11" s="97" t="str" cm="1">
        <f t="array" aca="1" ref="XV11" ca="1">IFERROR(INDEX(INDIRECT(REPLACE($E$11,FIND("[",$E$11,1)+1,3,XV$7)),XV$10),"")</f>
        <v/>
      </c>
      <c r="XW11" s="97" cm="1">
        <f t="array" aca="1" ref="XW11" ca="1">IFERROR(INDEX(INDIRECT(REPLACE($E$11,FIND("[",$E$11,1)+1,3,XW$7)),XW$10),"")</f>
        <v>1</v>
      </c>
      <c r="XX11" s="97" t="str" cm="1">
        <f t="array" aca="1" ref="XX11" ca="1">IFERROR(INDEX(INDIRECT(REPLACE($E$11,FIND("[",$E$11,1)+1,3,XX$7)),XX$10),"")</f>
        <v/>
      </c>
      <c r="XY11" s="97" t="str" cm="1">
        <f t="array" aca="1" ref="XY11" ca="1">IFERROR(INDEX(INDIRECT(REPLACE($E$11,FIND("[",$E$11,1)+1,3,XY$7)),XY$10),"")</f>
        <v/>
      </c>
      <c r="XZ11" s="97" t="str" cm="1">
        <f t="array" aca="1" ref="XZ11" ca="1">IFERROR(INDEX(INDIRECT(REPLACE($E$11,FIND("[",$E$11,1)+1,3,XZ$7)),XZ$10),"")</f>
        <v/>
      </c>
      <c r="YA11" s="97" t="str" cm="1">
        <f t="array" aca="1" ref="YA11" ca="1">IFERROR(INDEX(INDIRECT(REPLACE($E$11,FIND("[",$E$11,1)+1,3,YA$7)),YA$10),"")</f>
        <v/>
      </c>
      <c r="YB11" s="97" t="str" cm="1">
        <f t="array" aca="1" ref="YB11" ca="1">IFERROR(INDEX(INDIRECT(REPLACE($E$11,FIND("[",$E$11,1)+1,3,YB$7)),YB$10),"")</f>
        <v/>
      </c>
      <c r="YC11" s="97" t="str" cm="1">
        <f t="array" aca="1" ref="YC11" ca="1">IFERROR(INDEX(INDIRECT(REPLACE($E$11,FIND("[",$E$11,1)+1,3,YC$7)),YC$10),"")</f>
        <v/>
      </c>
      <c r="YD11" s="97" t="str" cm="1">
        <f t="array" aca="1" ref="YD11" ca="1">IFERROR(INDEX(INDIRECT(REPLACE($E$11,FIND("[",$E$11,1)+1,3,YD$7)),YD$10),"")</f>
        <v/>
      </c>
      <c r="YE11" s="97" t="str" cm="1">
        <f t="array" aca="1" ref="YE11" ca="1">IFERROR(INDEX(INDIRECT(REPLACE($E$11,FIND("[",$E$11,1)+1,3,YE$7)),YE$10),"")</f>
        <v/>
      </c>
      <c r="YF11" s="97" t="str" cm="1">
        <f t="array" aca="1" ref="YF11" ca="1">IFERROR(INDEX(INDIRECT(REPLACE($E$11,FIND("[",$E$11,1)+1,3,YF$7)),YF$10),"")</f>
        <v/>
      </c>
      <c r="YG11" s="97" t="str" cm="1">
        <f t="array" aca="1" ref="YG11" ca="1">IFERROR(INDEX(INDIRECT(REPLACE($E$11,FIND("[",$E$11,1)+1,3,YG$7)),YG$10),"")</f>
        <v>2+</v>
      </c>
      <c r="YH11" s="97" t="str" cm="1">
        <f t="array" aca="1" ref="YH11" ca="1">IFERROR(INDEX(INDIRECT(REPLACE($E$11,FIND("[",$E$11,1)+1,3,YH$7)),YH$10),"")</f>
        <v>0,0</v>
      </c>
      <c r="YI11" s="97" t="str" cm="1">
        <f t="array" aca="1" ref="YI11" ca="1">IFERROR(INDEX(INDIRECT(REPLACE($E$11,FIND("[",$E$11,1)+1,3,YI$7)),YI$10),"")</f>
        <v>0,0</v>
      </c>
      <c r="YJ11" s="97" t="str" cm="1">
        <f t="array" aca="1" ref="YJ11" ca="1">IFERROR(INDEX(INDIRECT(REPLACE($E$11,FIND("[",$E$11,1)+1,3,YJ$7)),YJ$10),"")</f>
        <v>2+</v>
      </c>
      <c r="YK11" s="97" t="str" cm="1">
        <f t="array" aca="1" ref="YK11" ca="1">IFERROR(INDEX(INDIRECT(REPLACE($E$11,FIND("[",$E$11,1)+1,3,YK$7)),YK$10),"")</f>
        <v>0,0</v>
      </c>
      <c r="YL11" s="97" t="str" cm="1">
        <f t="array" aca="1" ref="YL11" ca="1">IFERROR(INDEX(INDIRECT(REPLACE($E$11,FIND("[",$E$11,1)+1,3,YL$7)),YL$10),"")</f>
        <v/>
      </c>
      <c r="YM11" s="97" t="str" cm="1">
        <f t="array" aca="1" ref="YM11" ca="1">IFERROR(INDEX(INDIRECT(REPLACE($E$11,FIND("[",$E$11,1)+1,3,YM$7)),YM$10),"")</f>
        <v/>
      </c>
      <c r="YN11" s="97" t="str" cm="1">
        <f t="array" aca="1" ref="YN11" ca="1">IFERROR(INDEX(INDIRECT(REPLACE($E$11,FIND("[",$E$11,1)+1,3,YN$7)),YN$10),"")</f>
        <v/>
      </c>
      <c r="YO11" s="97" t="str" cm="1">
        <f t="array" aca="1" ref="YO11" ca="1">IFERROR(INDEX(INDIRECT(REPLACE($E$11,FIND("[",$E$11,1)+1,3,YO$7)),YO$10),"")</f>
        <v/>
      </c>
      <c r="YP11" s="97" t="str" cm="1">
        <f t="array" aca="1" ref="YP11" ca="1">IFERROR(INDEX(INDIRECT(REPLACE($E$11,FIND("[",$E$11,1)+1,3,YP$7)),YP$10),"")</f>
        <v/>
      </c>
      <c r="YQ11" s="97" t="str" cm="1">
        <f t="array" aca="1" ref="YQ11" ca="1">IFERROR(INDEX(INDIRECT(REPLACE($E$11,FIND("[",$E$11,1)+1,3,YQ$7)),YQ$10),"")</f>
        <v/>
      </c>
      <c r="YR11" s="97" t="str" cm="1">
        <f t="array" aca="1" ref="YR11" ca="1">IFERROR(INDEX(INDIRECT(REPLACE($E$11,FIND("[",$E$11,1)+1,3,YR$7)),YR$10),"")</f>
        <v/>
      </c>
      <c r="YS11" s="97" t="str" cm="1">
        <f t="array" aca="1" ref="YS11" ca="1">IFERROR(INDEX(INDIRECT(REPLACE($E$11,FIND("[",$E$11,1)+1,3,YS$7)),YS$10),"")</f>
        <v/>
      </c>
      <c r="YT11" s="97" t="str" cm="1">
        <f t="array" aca="1" ref="YT11" ca="1">IFERROR(INDEX(INDIRECT(REPLACE($E$11,FIND("[",$E$11,1)+1,3,YT$7)),YT$10),"")</f>
        <v/>
      </c>
      <c r="YU11" s="97" t="str" cm="1">
        <f t="array" aca="1" ref="YU11" ca="1">IFERROR(INDEX(INDIRECT(REPLACE($E$11,FIND("[",$E$11,1)+1,3,YU$7)),YU$10),"")</f>
        <v/>
      </c>
      <c r="YV11" s="97" t="str" cm="1">
        <f t="array" aca="1" ref="YV11" ca="1">IFERROR(INDEX(INDIRECT(REPLACE($E$11,FIND("[",$E$11,1)+1,3,YV$7)),YV$10),"")</f>
        <v/>
      </c>
      <c r="YW11" s="97" t="str" cm="1">
        <f t="array" aca="1" ref="YW11" ca="1">IFERROR(INDEX(INDIRECT(REPLACE($E$11,FIND("[",$E$11,1)+1,3,YW$7)),YW$10),"")</f>
        <v/>
      </c>
      <c r="YX11" s="97" t="str" cm="1">
        <f t="array" aca="1" ref="YX11" ca="1">IFERROR(INDEX(INDIRECT(REPLACE($E$11,FIND("[",$E$11,1)+1,3,YX$7)),YX$10),"")</f>
        <v/>
      </c>
      <c r="YY11" s="97" t="str" cm="1">
        <f t="array" aca="1" ref="YY11" ca="1">IFERROR(INDEX(INDIRECT(REPLACE($E$11,FIND("[",$E$11,1)+1,3,YY$7)),YY$10),"")</f>
        <v/>
      </c>
      <c r="YZ11" s="97" t="str" cm="1">
        <f t="array" aca="1" ref="YZ11" ca="1">IFERROR(INDEX(INDIRECT(REPLACE($E$11,FIND("[",$E$11,1)+1,3,YZ$7)),YZ$10),"")</f>
        <v/>
      </c>
      <c r="ZA11" s="97" t="str" cm="1">
        <f t="array" aca="1" ref="ZA11" ca="1">IFERROR(INDEX(INDIRECT(REPLACE($E$11,FIND("[",$E$11,1)+1,3,ZA$7)),ZA$10),"")</f>
        <v/>
      </c>
      <c r="ZB11" s="97" t="str" cm="1">
        <f t="array" aca="1" ref="ZB11" ca="1">IFERROR(INDEX(INDIRECT(REPLACE($E$11,FIND("[",$E$11,1)+1,3,ZB$7)),ZB$10),"")</f>
        <v/>
      </c>
      <c r="ZC11" s="97" t="str" cm="1">
        <f t="array" aca="1" ref="ZC11" ca="1">IFERROR(INDEX(INDIRECT(REPLACE($E$11,FIND("[",$E$11,1)+1,3,ZC$7)),ZC$10),"")</f>
        <v/>
      </c>
      <c r="ZD11" s="97" t="str" cm="1">
        <f t="array" aca="1" ref="ZD11" ca="1">IFERROR(INDEX(INDIRECT(REPLACE($E$11,FIND("[",$E$11,1)+1,3,ZD$7)),ZD$10),"")</f>
        <v/>
      </c>
      <c r="ZE11" s="97" t="str" cm="1">
        <f t="array" aca="1" ref="ZE11" ca="1">IFERROR(INDEX(INDIRECT(REPLACE($E$11,FIND("[",$E$11,1)+1,3,ZE$7)),ZE$10),"")</f>
        <v/>
      </c>
      <c r="ZF11" s="97" t="str" cm="1">
        <f t="array" aca="1" ref="ZF11" ca="1">IFERROR(INDEX(INDIRECT(REPLACE($E$11,FIND("[",$E$11,1)+1,3,ZF$7)),ZF$10),"")</f>
        <v/>
      </c>
      <c r="ZG11" s="97" t="str" cm="1">
        <f t="array" aca="1" ref="ZG11" ca="1">IFERROR(INDEX(INDIRECT(REPLACE($E$11,FIND("[",$E$11,1)+1,3,ZG$7)),ZG$10),"")</f>
        <v/>
      </c>
      <c r="ZH11" s="97" t="str" cm="1">
        <f t="array" aca="1" ref="ZH11" ca="1">IFERROR(INDEX(INDIRECT(REPLACE($E$11,FIND("[",$E$11,1)+1,3,ZH$7)),ZH$10),"")</f>
        <v/>
      </c>
      <c r="ZI11" s="97" t="str" cm="1">
        <f t="array" aca="1" ref="ZI11" ca="1">IFERROR(INDEX(INDIRECT(REPLACE($E$11,FIND("[",$E$11,1)+1,3,ZI$7)),ZI$10),"")</f>
        <v/>
      </c>
      <c r="ZJ11" s="97" t="str" cm="1">
        <f t="array" aca="1" ref="ZJ11" ca="1">IFERROR(INDEX(INDIRECT(REPLACE($E$11,FIND("[",$E$11,1)+1,3,ZJ$7)),ZJ$10),"")</f>
        <v/>
      </c>
      <c r="ZK11" s="97" t="str" cm="1">
        <f t="array" aca="1" ref="ZK11" ca="1">IFERROR(INDEX(INDIRECT(REPLACE($E$11,FIND("[",$E$11,1)+1,3,ZK$7)),ZK$10),"")</f>
        <v/>
      </c>
      <c r="ZL11" s="97" t="str" cm="1">
        <f t="array" aca="1" ref="ZL11" ca="1">IFERROR(INDEX(INDIRECT(REPLACE($E$11,FIND("[",$E$11,1)+1,3,ZL$7)),ZL$10),"")</f>
        <v/>
      </c>
      <c r="ZM11" s="97" t="str" cm="1">
        <f t="array" aca="1" ref="ZM11" ca="1">IFERROR(INDEX(INDIRECT(REPLACE($E$11,FIND("[",$E$11,1)+1,3,ZM$7)),ZM$10),"")</f>
        <v/>
      </c>
      <c r="ZN11" s="97" cm="1">
        <f t="array" aca="1" ref="ZN11" ca="1">IFERROR(INDEX(INDIRECT(REPLACE($E$11,FIND("[",$E$11,1)+1,3,ZN$7)),ZN$10),"")</f>
        <v>0</v>
      </c>
      <c r="ZO11" s="97" t="str" cm="1">
        <f t="array" aca="1" ref="ZO11" ca="1">IFERROR(INDEX(INDIRECT(REPLACE($E$11,FIND("[",$E$11,1)+1,3,ZO$7)),ZO$10),"")</f>
        <v/>
      </c>
      <c r="ZP11" s="97" t="str" cm="1">
        <f t="array" aca="1" ref="ZP11" ca="1">IFERROR(INDEX(INDIRECT(REPLACE($E$11,FIND("[",$E$11,1)+1,3,ZP$7)),ZP$10),"")</f>
        <v/>
      </c>
      <c r="ZQ11" s="97" t="str" cm="1">
        <f t="array" aca="1" ref="ZQ11" ca="1">IFERROR(INDEX(INDIRECT(REPLACE($E$11,FIND("[",$E$11,1)+1,3,ZQ$7)),ZQ$10),"")</f>
        <v/>
      </c>
      <c r="ZR11" s="97" t="str" cm="1">
        <f t="array" aca="1" ref="ZR11" ca="1">IFERROR(INDEX(INDIRECT(REPLACE($E$11,FIND("[",$E$11,1)+1,3,ZR$7)),ZR$10),"")</f>
        <v/>
      </c>
      <c r="ZS11" s="97" cm="1">
        <f t="array" aca="1" ref="ZS11" ca="1">IFERROR(INDEX(INDIRECT(REPLACE($E$11,FIND("[",$E$11,1)+1,3,ZS$7)),ZS$10),"")</f>
        <v>0</v>
      </c>
      <c r="ZT11" s="97" t="str" cm="1">
        <f t="array" aca="1" ref="ZT11" ca="1">IFERROR(INDEX(INDIRECT(REPLACE($E$11,FIND("[",$E$11,1)+1,3,ZT$7)),ZT$10),"")</f>
        <v/>
      </c>
      <c r="ZU11" s="97" t="str" cm="1">
        <f t="array" aca="1" ref="ZU11" ca="1">IFERROR(INDEX(INDIRECT(REPLACE($E$11,FIND("[",$E$11,1)+1,3,ZU$7)),ZU$10),"")</f>
        <v/>
      </c>
      <c r="ZV11" s="97" t="str" cm="1">
        <f t="array" aca="1" ref="ZV11" ca="1">IFERROR(INDEX(INDIRECT(REPLACE($E$11,FIND("[",$E$11,1)+1,3,ZV$7)),ZV$10),"")</f>
        <v/>
      </c>
      <c r="ZW11" s="97" t="str" cm="1">
        <f t="array" aca="1" ref="ZW11" ca="1">IFERROR(INDEX(INDIRECT(REPLACE($E$11,FIND("[",$E$11,1)+1,3,ZW$7)),ZW$10),"")</f>
        <v/>
      </c>
      <c r="ZX11" s="97" t="str" cm="1">
        <f t="array" aca="1" ref="ZX11" ca="1">IFERROR(INDEX(INDIRECT(REPLACE($E$11,FIND("[",$E$11,1)+1,3,ZX$7)),ZX$10),"")</f>
        <v/>
      </c>
      <c r="ZY11" s="97" t="str" cm="1">
        <f t="array" aca="1" ref="ZY11" ca="1">IFERROR(INDEX(INDIRECT(REPLACE($E$11,FIND("[",$E$11,1)+1,3,ZY$7)),ZY$10),"")</f>
        <v/>
      </c>
      <c r="ZZ11" s="97" cm="1">
        <f t="array" aca="1" ref="ZZ11" ca="1">IFERROR(INDEX(INDIRECT(REPLACE($E$11,FIND("[",$E$11,1)+1,3,ZZ$7)),ZZ$10),"")</f>
        <v>0</v>
      </c>
      <c r="AAA11" s="97" cm="1">
        <f t="array" aca="1" ref="AAA11" ca="1">IFERROR(INDEX(INDIRECT(REPLACE($E$11,FIND("[",$E$11,1)+1,3,AAA$7)),AAA$10),"")</f>
        <v>0</v>
      </c>
      <c r="AAB11" s="97" t="str" cm="1">
        <f t="array" aca="1" ref="AAB11" ca="1">IFERROR(INDEX(INDIRECT(REPLACE($E$11,FIND("[",$E$11,1)+1,3,AAB$7)),AAB$10),"")</f>
        <v/>
      </c>
      <c r="AAC11" s="97" t="str" cm="1">
        <f t="array" aca="1" ref="AAC11" ca="1">IFERROR(INDEX(INDIRECT(REPLACE($E$11,FIND("[",$E$11,1)+1,3,AAC$7)),AAC$10),"")</f>
        <v/>
      </c>
      <c r="AAD11" s="97" cm="1">
        <f t="array" aca="1" ref="AAD11" ca="1">IFERROR(INDEX(INDIRECT(REPLACE($E$11,FIND("[",$E$11,1)+1,3,AAD$7)),AAD$10),"")</f>
        <v>1</v>
      </c>
      <c r="AAE11" s="97" t="str" cm="1">
        <f t="array" aca="1" ref="AAE11" ca="1">IFERROR(INDEX(INDIRECT(REPLACE($E$11,FIND("[",$E$11,1)+1,3,AAE$7)),AAE$10),"")</f>
        <v/>
      </c>
      <c r="AAF11" s="97" cm="1">
        <f t="array" aca="1" ref="AAF11" ca="1">IFERROR(INDEX(INDIRECT(REPLACE($E$11,FIND("[",$E$11,1)+1,3,AAF$7)),AAF$10),"")</f>
        <v>1</v>
      </c>
      <c r="AAG11" s="97" t="str" cm="1">
        <f t="array" aca="1" ref="AAG11" ca="1">IFERROR(INDEX(INDIRECT(REPLACE($E$11,FIND("[",$E$11,1)+1,3,AAG$7)),AAG$10),"")</f>
        <v/>
      </c>
      <c r="AAH11" s="97" cm="1">
        <f t="array" aca="1" ref="AAH11" ca="1">IFERROR(INDEX(INDIRECT(REPLACE($E$11,FIND("[",$E$11,1)+1,3,AAH$7)),AAH$10),"")</f>
        <v>1</v>
      </c>
      <c r="AAI11" s="97" t="str" cm="1">
        <f t="array" aca="1" ref="AAI11" ca="1">IFERROR(INDEX(INDIRECT(REPLACE($E$11,FIND("[",$E$11,1)+1,3,AAI$7)),AAI$10),"")</f>
        <v/>
      </c>
      <c r="AAJ11" s="97" cm="1">
        <f t="array" aca="1" ref="AAJ11" ca="1">IFERROR(INDEX(INDIRECT(REPLACE($E$11,FIND("[",$E$11,1)+1,3,AAJ$7)),AAJ$10),"")</f>
        <v>1</v>
      </c>
      <c r="AAK11" s="97" t="str" cm="1">
        <f t="array" aca="1" ref="AAK11" ca="1">IFERROR(INDEX(INDIRECT(REPLACE($E$11,FIND("[",$E$11,1)+1,3,AAK$7)),AAK$10),"")</f>
        <v/>
      </c>
      <c r="AAL11" s="97" cm="1">
        <f t="array" aca="1" ref="AAL11" ca="1">IFERROR(INDEX(INDIRECT(REPLACE($E$11,FIND("[",$E$11,1)+1,3,AAL$7)),AAL$10),"")</f>
        <v>0</v>
      </c>
      <c r="AAM11" s="97" t="str" cm="1">
        <f t="array" aca="1" ref="AAM11" ca="1">IFERROR(INDEX(INDIRECT(REPLACE($E$11,FIND("[",$E$11,1)+1,3,AAM$7)),AAM$10),"")</f>
        <v/>
      </c>
      <c r="AAN11" s="97" cm="1">
        <f t="array" aca="1" ref="AAN11" ca="1">IFERROR(INDEX(INDIRECT(REPLACE($E$11,FIND("[",$E$11,1)+1,3,AAN$7)),AAN$10),"")</f>
        <v>0</v>
      </c>
      <c r="AAO11" s="97" t="str" cm="1">
        <f t="array" aca="1" ref="AAO11" ca="1">IFERROR(INDEX(INDIRECT(REPLACE($E$11,FIND("[",$E$11,1)+1,3,AAO$7)),AAO$10),"")</f>
        <v/>
      </c>
      <c r="AAP11" s="97" cm="1">
        <f t="array" aca="1" ref="AAP11" ca="1">IFERROR(INDEX(INDIRECT(REPLACE($E$11,FIND("[",$E$11,1)+1,3,AAP$7)),AAP$10),"")</f>
        <v>1</v>
      </c>
      <c r="AAQ11" s="97" t="str" cm="1">
        <f t="array" aca="1" ref="AAQ11" ca="1">IFERROR(INDEX(INDIRECT(REPLACE($E$11,FIND("[",$E$11,1)+1,3,AAQ$7)),AAQ$10),"")</f>
        <v/>
      </c>
      <c r="AAR11" s="97" t="str" cm="1">
        <f t="array" aca="1" ref="AAR11" ca="1">IFERROR(INDEX(INDIRECT(REPLACE($E$11,FIND("[",$E$11,1)+1,3,AAR$7)),AAR$10),"")</f>
        <v/>
      </c>
      <c r="AAS11" s="97" cm="1">
        <f t="array" aca="1" ref="AAS11" ca="1">IFERROR(INDEX(INDIRECT(REPLACE($E$11,FIND("[",$E$11,1)+1,3,AAS$7)),AAS$10),"")</f>
        <v>0</v>
      </c>
      <c r="AAT11" s="97" t="str" cm="1">
        <f t="array" aca="1" ref="AAT11" ca="1">IFERROR(INDEX(INDIRECT(REPLACE($E$11,FIND("[",$E$11,1)+1,3,AAT$7)),AAT$10),"")</f>
        <v/>
      </c>
      <c r="AAU11" s="97" t="str" cm="1">
        <f t="array" aca="1" ref="AAU11" ca="1">IFERROR(INDEX(INDIRECT(REPLACE($E$11,FIND("[",$E$11,1)+1,3,AAU$7)),AAU$10),"")</f>
        <v/>
      </c>
      <c r="AAV11" s="97" t="str" cm="1">
        <f t="array" aca="1" ref="AAV11" ca="1">IFERROR(INDEX(INDIRECT(REPLACE($E$11,FIND("[",$E$11,1)+1,3,AAV$7)),AAV$10),"")</f>
        <v/>
      </c>
      <c r="AAW11" s="97" cm="1">
        <f t="array" aca="1" ref="AAW11" ca="1">IFERROR(INDEX(INDIRECT(REPLACE($E$11,FIND("[",$E$11,1)+1,3,AAW$7)),AAW$10),"")</f>
        <v>0</v>
      </c>
      <c r="AAX11" s="97" t="str" cm="1">
        <f t="array" aca="1" ref="AAX11" ca="1">IFERROR(INDEX(INDIRECT(REPLACE($E$11,FIND("[",$E$11,1)+1,3,AAX$7)),AAX$10),"")</f>
        <v/>
      </c>
      <c r="AAY11" s="97" cm="1">
        <f t="array" aca="1" ref="AAY11" ca="1">IFERROR(INDEX(INDIRECT(REPLACE($E$11,FIND("[",$E$11,1)+1,3,AAY$7)),AAY$10),"")</f>
        <v>0</v>
      </c>
      <c r="AAZ11" s="97" t="str" cm="1">
        <f t="array" aca="1" ref="AAZ11" ca="1">IFERROR(INDEX(INDIRECT(REPLACE($E$11,FIND("[",$E$11,1)+1,3,AAZ$7)),AAZ$10),"")</f>
        <v/>
      </c>
      <c r="ABA11" s="97" t="str" cm="1">
        <f t="array" aca="1" ref="ABA11" ca="1">IFERROR(INDEX(INDIRECT(REPLACE($E$11,FIND("[",$E$11,1)+1,3,ABA$7)),ABA$10),"")</f>
        <v/>
      </c>
      <c r="ABB11" s="97" cm="1">
        <f t="array" aca="1" ref="ABB11" ca="1">IFERROR(INDEX(INDIRECT(REPLACE($E$11,FIND("[",$E$11,1)+1,3,ABB$7)),ABB$10),"")</f>
        <v>0</v>
      </c>
      <c r="ABC11" s="97" t="str" cm="1">
        <f t="array" aca="1" ref="ABC11" ca="1">IFERROR(INDEX(INDIRECT(REPLACE($E$11,FIND("[",$E$11,1)+1,3,ABC$7)),ABC$10),"")</f>
        <v/>
      </c>
      <c r="ABD11" s="97" t="str" cm="1">
        <f t="array" aca="1" ref="ABD11" ca="1">IFERROR(INDEX(INDIRECT(REPLACE($E$11,FIND("[",$E$11,1)+1,3,ABD$7)),ABD$10),"")</f>
        <v/>
      </c>
      <c r="ABE11" s="97" cm="1">
        <f t="array" aca="1" ref="ABE11" ca="1">IFERROR(INDEX(INDIRECT(REPLACE($E$11,FIND("[",$E$11,1)+1,3,ABE$7)),ABE$10),"")</f>
        <v>0</v>
      </c>
      <c r="ABF11" s="97" t="str" cm="1">
        <f t="array" aca="1" ref="ABF11" ca="1">IFERROR(INDEX(INDIRECT(REPLACE($E$11,FIND("[",$E$11,1)+1,3,ABF$7)),ABF$10),"")</f>
        <v/>
      </c>
      <c r="ABG11" s="97" t="str" cm="1">
        <f t="array" aca="1" ref="ABG11" ca="1">IFERROR(INDEX(INDIRECT(REPLACE($E$11,FIND("[",$E$11,1)+1,3,ABG$7)),ABG$10),"")</f>
        <v/>
      </c>
      <c r="ABH11" s="97" t="str" cm="1">
        <f t="array" aca="1" ref="ABH11" ca="1">IFERROR(INDEX(INDIRECT(REPLACE($E$11,FIND("[",$E$11,1)+1,3,ABH$7)),ABH$10),"")</f>
        <v/>
      </c>
      <c r="ABI11" s="97" cm="1">
        <f t="array" aca="1" ref="ABI11" ca="1">IFERROR(INDEX(INDIRECT(REPLACE($E$11,FIND("[",$E$11,1)+1,3,ABI$7)),ABI$10),"")</f>
        <v>0</v>
      </c>
      <c r="ABJ11" s="97" t="str" cm="1">
        <f t="array" aca="1" ref="ABJ11" ca="1">IFERROR(INDEX(INDIRECT(REPLACE($E$11,FIND("[",$E$11,1)+1,3,ABJ$7)),ABJ$10),"")</f>
        <v/>
      </c>
      <c r="ABK11" s="97" cm="1">
        <f t="array" aca="1" ref="ABK11" ca="1">IFERROR(INDEX(INDIRECT(REPLACE($E$11,FIND("[",$E$11,1)+1,3,ABK$7)),ABK$10),"")</f>
        <v>0</v>
      </c>
      <c r="ABL11" s="97" t="str" cm="1">
        <f t="array" aca="1" ref="ABL11" ca="1">IFERROR(INDEX(INDIRECT(REPLACE($E$11,FIND("[",$E$11,1)+1,3,ABL$7)),ABL$10),"")</f>
        <v/>
      </c>
      <c r="ABM11" s="97" t="str" cm="1">
        <f t="array" aca="1" ref="ABM11" ca="1">IFERROR(INDEX(INDIRECT(REPLACE($E$11,FIND("[",$E$11,1)+1,3,ABM$7)),ABM$10),"")</f>
        <v/>
      </c>
      <c r="ABN11" s="97" cm="1">
        <f t="array" aca="1" ref="ABN11" ca="1">IFERROR(INDEX(INDIRECT(REPLACE($E$11,FIND("[",$E$11,1)+1,3,ABN$7)),ABN$10),"")</f>
        <v>0</v>
      </c>
      <c r="ABO11" s="97" t="str" cm="1">
        <f t="array" aca="1" ref="ABO11" ca="1">IFERROR(INDEX(INDIRECT(REPLACE($E$11,FIND("[",$E$11,1)+1,3,ABO$7)),ABO$10),"")</f>
        <v/>
      </c>
      <c r="ABP11" s="97" cm="1">
        <f t="array" aca="1" ref="ABP11" ca="1">IFERROR(INDEX(INDIRECT(REPLACE($E$11,FIND("[",$E$11,1)+1,3,ABP$7)),ABP$10),"")</f>
        <v>2</v>
      </c>
      <c r="ABQ11" s="97" t="str" cm="1">
        <f t="array" aca="1" ref="ABQ11" ca="1">IFERROR(INDEX(INDIRECT(REPLACE($E$11,FIND("[",$E$11,1)+1,3,ABQ$7)),ABQ$10),"")</f>
        <v/>
      </c>
      <c r="ABR11" s="97" cm="1">
        <f t="array" aca="1" ref="ABR11" ca="1">IFERROR(INDEX(INDIRECT(REPLACE($E$11,FIND("[",$E$11,1)+1,3,ABR$7)),ABR$10),"")</f>
        <v>2</v>
      </c>
      <c r="ABS11" s="97" t="str" cm="1">
        <f t="array" aca="1" ref="ABS11" ca="1">IFERROR(INDEX(INDIRECT(REPLACE($E$11,FIND("[",$E$11,1)+1,3,ABS$7)),ABS$10),"")</f>
        <v/>
      </c>
      <c r="ABT11" s="97" cm="1">
        <f t="array" aca="1" ref="ABT11" ca="1">IFERROR(INDEX(INDIRECT(REPLACE($E$11,FIND("[",$E$11,1)+1,3,ABT$7)),ABT$10),"")</f>
        <v>1</v>
      </c>
      <c r="ABU11" s="97" t="str" cm="1">
        <f t="array" aca="1" ref="ABU11" ca="1">IFERROR(INDEX(INDIRECT(REPLACE($E$11,FIND("[",$E$11,1)+1,3,ABU$7)),ABU$10),"")</f>
        <v/>
      </c>
      <c r="ABV11" s="97" cm="1">
        <f t="array" aca="1" ref="ABV11" ca="1">IFERROR(INDEX(INDIRECT(REPLACE($E$11,FIND("[",$E$11,1)+1,3,ABV$7)),ABV$10),"")</f>
        <v>2</v>
      </c>
      <c r="ABW11" s="97" t="str" cm="1">
        <f t="array" aca="1" ref="ABW11" ca="1">IFERROR(INDEX(INDIRECT(REPLACE($E$11,FIND("[",$E$11,1)+1,3,ABW$7)),ABW$10),"")</f>
        <v/>
      </c>
      <c r="ABX11" s="97" cm="1">
        <f t="array" aca="1" ref="ABX11" ca="1">IFERROR(INDEX(INDIRECT(REPLACE($E$11,FIND("[",$E$11,1)+1,3,ABX$7)),ABX$10),"")</f>
        <v>2</v>
      </c>
      <c r="ABY11" s="97" t="str" cm="1">
        <f t="array" aca="1" ref="ABY11" ca="1">IFERROR(INDEX(INDIRECT(REPLACE($E$11,FIND("[",$E$11,1)+1,3,ABY$7)),ABY$10),"")</f>
        <v/>
      </c>
      <c r="ABZ11" s="97" cm="1">
        <f t="array" aca="1" ref="ABZ11" ca="1">IFERROR(INDEX(INDIRECT(REPLACE($E$11,FIND("[",$E$11,1)+1,3,ABZ$7)),ABZ$10),"")</f>
        <v>1</v>
      </c>
      <c r="ACA11" s="97" t="str" cm="1">
        <f t="array" aca="1" ref="ACA11" ca="1">IFERROR(INDEX(INDIRECT(REPLACE($E$11,FIND("[",$E$11,1)+1,3,ACA$7)),ACA$10),"")</f>
        <v/>
      </c>
      <c r="ACB11" s="97" t="str" cm="1">
        <f t="array" aca="1" ref="ACB11" ca="1">IFERROR(INDEX(INDIRECT(REPLACE($E$11,FIND("[",$E$11,1)+1,3,ACB$7)),ACB$10),"")</f>
        <v/>
      </c>
      <c r="ACC11" s="97" cm="1">
        <f t="array" aca="1" ref="ACC11" ca="1">IFERROR(INDEX(INDIRECT(REPLACE($E$11,FIND("[",$E$11,1)+1,3,ACC$7)),ACC$10),"")</f>
        <v>0</v>
      </c>
      <c r="ACD11" s="97" t="str" cm="1">
        <f t="array" aca="1" ref="ACD11" ca="1">IFERROR(INDEX(INDIRECT(REPLACE($E$11,FIND("[",$E$11,1)+1,3,ACD$7)),ACD$10),"")</f>
        <v/>
      </c>
      <c r="ACE11" s="97" t="str" cm="1">
        <f t="array" aca="1" ref="ACE11" ca="1">IFERROR(INDEX(INDIRECT(REPLACE($E$11,FIND("[",$E$11,1)+1,3,ACE$7)),ACE$10),"")</f>
        <v/>
      </c>
      <c r="ACF11" s="97" t="str" cm="1">
        <f t="array" aca="1" ref="ACF11" ca="1">IFERROR(INDEX(INDIRECT(REPLACE($E$11,FIND("[",$E$11,1)+1,3,ACF$7)),ACF$10),"")</f>
        <v/>
      </c>
      <c r="ACG11" s="97" cm="1">
        <f t="array" aca="1" ref="ACG11" ca="1">IFERROR(INDEX(INDIRECT(REPLACE($E$11,FIND("[",$E$11,1)+1,3,ACG$7)),ACG$10),"")</f>
        <v>0</v>
      </c>
      <c r="ACH11" s="97" t="str" cm="1">
        <f t="array" aca="1" ref="ACH11" ca="1">IFERROR(INDEX(INDIRECT(REPLACE($E$11,FIND("[",$E$11,1)+1,3,ACH$7)),ACH$10),"")</f>
        <v/>
      </c>
      <c r="ACI11" s="97" t="str" cm="1">
        <f t="array" aca="1" ref="ACI11" ca="1">IFERROR(INDEX(INDIRECT(REPLACE($E$11,FIND("[",$E$11,1)+1,3,ACI$7)),ACI$10),"")</f>
        <v/>
      </c>
      <c r="ACJ11" s="97" cm="1">
        <f t="array" aca="1" ref="ACJ11" ca="1">IFERROR(INDEX(INDIRECT(REPLACE($E$11,FIND("[",$E$11,1)+1,3,ACJ$7)),ACJ$10),"")</f>
        <v>0</v>
      </c>
      <c r="ACK11" s="97" t="str" cm="1">
        <f t="array" aca="1" ref="ACK11" ca="1">IFERROR(INDEX(INDIRECT(REPLACE($E$11,FIND("[",$E$11,1)+1,3,ACK$7)),ACK$10),"")</f>
        <v/>
      </c>
      <c r="ACL11" s="97" t="str" cm="1">
        <f t="array" aca="1" ref="ACL11" ca="1">IFERROR(INDEX(INDIRECT(REPLACE($E$11,FIND("[",$E$11,1)+1,3,ACL$7)),ACL$10),"")</f>
        <v/>
      </c>
      <c r="ACM11" s="97" cm="1">
        <f t="array" aca="1" ref="ACM11" ca="1">IFERROR(INDEX(INDIRECT(REPLACE($E$11,FIND("[",$E$11,1)+1,3,ACM$7)),ACM$10),"")</f>
        <v>1</v>
      </c>
      <c r="ACN11" s="97"/>
    </row>
    <row r="12" spans="1:768" s="92" customFormat="1" hidden="1">
      <c r="A12" s="92" t="str">
        <f>Stammdaten!$CB$28</f>
        <v>Bed. F.</v>
      </c>
      <c r="B12" s="97" t="str">
        <f>Stammdaten!$CA$28&amp;" "&amp;Stammdaten!$W$2&amp;"/"&amp;Stammdaten!$V$2</f>
        <v>Zusatzformat Eingabe/Resultat</v>
      </c>
      <c r="C12" s="99"/>
      <c r="D12" s="97"/>
      <c r="E12" s="91"/>
      <c r="F12" s="97"/>
      <c r="G12" s="97" t="str">
        <f>IF(G$7=Stammdaten!$W$1,LEFT(G$25,1)&amp;G$7,IF(G$7=Stammdaten!$V$1,LEFT(F$25,1)&amp;G$7,""))</f>
        <v>2Ein</v>
      </c>
      <c r="H12" s="97" t="str">
        <f>IF(H$7=Stammdaten!$W$1,LEFT(H$25,1)&amp;H$7,IF(H$7=Stammdaten!$V$1,LEFT(G$25,1)&amp;H$7,""))</f>
        <v>2Res</v>
      </c>
      <c r="I12" s="97" t="str">
        <f>IF(I$7=Stammdaten!$W$1,LEFT(I$25,1)&amp;I$7,IF(I$7=Stammdaten!$V$1,LEFT(H$25,1)&amp;I$7,""))</f>
        <v/>
      </c>
      <c r="J12" s="97" t="str">
        <f>IF(J$7=Stammdaten!$W$1,LEFT(J$25,1)&amp;J$7,IF(J$7=Stammdaten!$V$1,LEFT(I$25,1)&amp;J$7,""))</f>
        <v/>
      </c>
      <c r="K12" s="97" t="str">
        <f>IF(K$7=Stammdaten!$W$1,LEFT(K$25,1)&amp;K$7,IF(K$7=Stammdaten!$V$1,LEFT(J$25,1)&amp;K$7,""))</f>
        <v/>
      </c>
      <c r="L12" s="97" t="str">
        <f>IF(L$7=Stammdaten!$W$1,LEFT(L$25,1)&amp;L$7,IF(L$7=Stammdaten!$V$1,LEFT(K$25,1)&amp;L$7,""))</f>
        <v/>
      </c>
      <c r="M12" s="97" t="str">
        <f>IF(M$7=Stammdaten!$W$1,LEFT(M$25,1)&amp;M$7,IF(M$7=Stammdaten!$V$1,LEFT(L$25,1)&amp;M$7,""))</f>
        <v/>
      </c>
      <c r="N12" s="97" t="str">
        <f>IF(N$7=Stammdaten!$W$1,LEFT(N$25,1)&amp;N$7,IF(N$7=Stammdaten!$V$1,LEFT(M$25,1)&amp;N$7,""))</f>
        <v/>
      </c>
      <c r="O12" s="97" t="str">
        <f>IF(O$7=Stammdaten!$W$1,LEFT(O$25,1)&amp;O$7,IF(O$7=Stammdaten!$V$1,LEFT(N$25,1)&amp;O$7,""))</f>
        <v/>
      </c>
      <c r="P12" s="97" t="str">
        <f>IF(P$7=Stammdaten!$W$1,LEFT(P$25,1)&amp;P$7,IF(P$7=Stammdaten!$V$1,LEFT(O$25,1)&amp;P$7,""))</f>
        <v/>
      </c>
      <c r="Q12" s="97" t="str">
        <f>IF(Q$7=Stammdaten!$W$1,LEFT(Q$25,1)&amp;Q$7,IF(Q$7=Stammdaten!$V$1,LEFT(P$25,1)&amp;Q$7,""))</f>
        <v/>
      </c>
      <c r="R12" s="97" t="str">
        <f>IF(R$7=Stammdaten!$W$1,LEFT(R$25,1)&amp;R$7,IF(R$7=Stammdaten!$V$1,LEFT(Q$25,1)&amp;R$7,""))</f>
        <v/>
      </c>
      <c r="S12" s="97" t="str">
        <f>IF(S$7=Stammdaten!$W$1,LEFT(S$25,1)&amp;S$7,IF(S$7=Stammdaten!$V$1,LEFT(R$25,1)&amp;S$7,""))</f>
        <v>2Ein</v>
      </c>
      <c r="T12" s="97" t="str">
        <f>IF(T$7=Stammdaten!$W$1,LEFT(T$25,1)&amp;T$7,IF(T$7=Stammdaten!$V$1,LEFT(S$25,1)&amp;T$7,""))</f>
        <v>2Res</v>
      </c>
      <c r="U12" s="97" t="str">
        <f>IF(U$7=Stammdaten!$W$1,LEFT(U$25,1)&amp;U$7,IF(U$7=Stammdaten!$V$1,LEFT(T$25,1)&amp;U$7,""))</f>
        <v/>
      </c>
      <c r="V12" s="97" t="str">
        <f>IF(V$7=Stammdaten!$W$1,LEFT(V$25,1)&amp;V$7,IF(V$7=Stammdaten!$V$1,LEFT(U$25,1)&amp;V$7,""))</f>
        <v/>
      </c>
      <c r="W12" s="97" t="str">
        <f>IF(W$7=Stammdaten!$W$1,LEFT(W$25,1)&amp;W$7,IF(W$7=Stammdaten!$V$1,LEFT(V$25,1)&amp;W$7,""))</f>
        <v/>
      </c>
      <c r="X12" s="97" t="str">
        <f>IF(X$7=Stammdaten!$W$1,LEFT(X$25,1)&amp;X$7,IF(X$7=Stammdaten!$V$1,LEFT(W$25,1)&amp;X$7,""))</f>
        <v/>
      </c>
      <c r="Y12" s="97" t="str">
        <f>IF(Y$7=Stammdaten!$W$1,LEFT(Y$25,1)&amp;Y$7,IF(Y$7=Stammdaten!$V$1,LEFT(X$25,1)&amp;Y$7,""))</f>
        <v/>
      </c>
      <c r="Z12" s="97" t="str">
        <f>IF(Z$7=Stammdaten!$W$1,LEFT(Z$25,1)&amp;Z$7,IF(Z$7=Stammdaten!$V$1,LEFT(Y$25,1)&amp;Z$7,""))</f>
        <v/>
      </c>
      <c r="AA12" s="97" t="str">
        <f>IF(AA$7=Stammdaten!$W$1,LEFT(AA$25,1)&amp;AA$7,IF(AA$7=Stammdaten!$V$1,LEFT(Z$25,1)&amp;AA$7,""))</f>
        <v/>
      </c>
      <c r="AB12" s="97" t="str">
        <f>IF(AB$7=Stammdaten!$W$1,LEFT(AB$25,1)&amp;AB$7,IF(AB$7=Stammdaten!$V$1,LEFT(AA$25,1)&amp;AB$7,""))</f>
        <v/>
      </c>
      <c r="AC12" s="97" t="str">
        <f>IF(AC$7=Stammdaten!$W$1,LEFT(AC$25,1)&amp;AC$7,IF(AC$7=Stammdaten!$V$1,LEFT(AB$25,1)&amp;AC$7,""))</f>
        <v/>
      </c>
      <c r="AD12" s="97" t="str">
        <f>IF(AD$7=Stammdaten!$W$1,LEFT(AD$25,1)&amp;AD$7,IF(AD$7=Stammdaten!$V$1,LEFT(AC$25,1)&amp;AD$7,""))</f>
        <v/>
      </c>
      <c r="AE12" s="97" t="str">
        <f>IF(AE$7=Stammdaten!$W$1,LEFT(AE$25,1)&amp;AE$7,IF(AE$7=Stammdaten!$V$1,LEFT(AD$25,1)&amp;AE$7,""))</f>
        <v>2Ein</v>
      </c>
      <c r="AF12" s="97" t="str">
        <f>IF(AF$7=Stammdaten!$W$1,LEFT(AF$25,1)&amp;AF$7,IF(AF$7=Stammdaten!$V$1,LEFT(AE$25,1)&amp;AF$7,""))</f>
        <v>2Res</v>
      </c>
      <c r="AG12" s="97" t="str">
        <f>IF(AG$7=Stammdaten!$W$1,LEFT(AG$25,1)&amp;AG$7,IF(AG$7=Stammdaten!$V$1,LEFT(AF$25,1)&amp;AG$7,""))</f>
        <v/>
      </c>
      <c r="AH12" s="97" t="str">
        <f>IF(AH$7=Stammdaten!$W$1,LEFT(AH$25,1)&amp;AH$7,IF(AH$7=Stammdaten!$V$1,LEFT(AG$25,1)&amp;AH$7,""))</f>
        <v/>
      </c>
      <c r="AI12" s="97" t="str">
        <f>IF(AI$7=Stammdaten!$W$1,LEFT(AI$25,1)&amp;AI$7,IF(AI$7=Stammdaten!$V$1,LEFT(AH$25,1)&amp;AI$7,""))</f>
        <v/>
      </c>
      <c r="AJ12" s="97" t="str">
        <f>IF(AJ$7=Stammdaten!$W$1,LEFT(AJ$25,1)&amp;AJ$7,IF(AJ$7=Stammdaten!$V$1,LEFT(AI$25,1)&amp;AJ$7,""))</f>
        <v/>
      </c>
      <c r="AK12" s="97" t="str">
        <f>IF(AK$7=Stammdaten!$W$1,LEFT(AK$25,1)&amp;AK$7,IF(AK$7=Stammdaten!$V$1,LEFT(AJ$25,1)&amp;AK$7,""))</f>
        <v/>
      </c>
      <c r="AL12" s="97" t="str">
        <f>IF(AL$7=Stammdaten!$W$1,LEFT(AL$25,1)&amp;AL$7,IF(AL$7=Stammdaten!$V$1,LEFT(AK$25,1)&amp;AL$7,""))</f>
        <v/>
      </c>
      <c r="AM12" s="97" t="str">
        <f>IF(AM$7=Stammdaten!$W$1,LEFT(AM$25,1)&amp;AM$7,IF(AM$7=Stammdaten!$V$1,LEFT(AL$25,1)&amp;AM$7,""))</f>
        <v/>
      </c>
      <c r="AN12" s="97" t="str">
        <f>IF(AN$7=Stammdaten!$W$1,LEFT(AN$25,1)&amp;AN$7,IF(AN$7=Stammdaten!$V$1,LEFT(AM$25,1)&amp;AN$7,""))</f>
        <v/>
      </c>
      <c r="AO12" s="97" t="str">
        <f>IF(AO$7=Stammdaten!$W$1,LEFT(AO$25,1)&amp;AO$7,IF(AO$7=Stammdaten!$V$1,LEFT(AN$25,1)&amp;AO$7,""))</f>
        <v/>
      </c>
      <c r="AP12" s="97" t="str">
        <f>IF(AP$7=Stammdaten!$W$1,LEFT(AP$25,1)&amp;AP$7,IF(AP$7=Stammdaten!$V$1,LEFT(AO$25,1)&amp;AP$7,""))</f>
        <v/>
      </c>
      <c r="AQ12" s="97" t="str">
        <f>IF(AQ$7=Stammdaten!$W$1,LEFT(AQ$25,1)&amp;AQ$7,IF(AQ$7=Stammdaten!$V$1,LEFT(AP$25,1)&amp;AQ$7,""))</f>
        <v>2Ein</v>
      </c>
      <c r="AR12" s="97" t="str">
        <f>IF(AR$7=Stammdaten!$W$1,LEFT(AR$25,1)&amp;AR$7,IF(AR$7=Stammdaten!$V$1,LEFT(AQ$25,1)&amp;AR$7,""))</f>
        <v>2Res</v>
      </c>
      <c r="AS12" s="97" t="str">
        <f>IF(AS$7=Stammdaten!$W$1,LEFT(AS$25,1)&amp;AS$7,IF(AS$7=Stammdaten!$V$1,LEFT(AR$25,1)&amp;AS$7,""))</f>
        <v/>
      </c>
      <c r="AT12" s="97" t="str">
        <f>IF(AT$7=Stammdaten!$W$1,LEFT(AT$25,1)&amp;AT$7,IF(AT$7=Stammdaten!$V$1,LEFT(AS$25,1)&amp;AT$7,""))</f>
        <v/>
      </c>
      <c r="AU12" s="97" t="str">
        <f>IF(AU$7=Stammdaten!$W$1,LEFT(AU$25,1)&amp;AU$7,IF(AU$7=Stammdaten!$V$1,LEFT(AT$25,1)&amp;AU$7,""))</f>
        <v/>
      </c>
      <c r="AV12" s="97" t="str">
        <f>IF(AV$7=Stammdaten!$W$1,LEFT(AV$25,1)&amp;AV$7,IF(AV$7=Stammdaten!$V$1,LEFT(AU$25,1)&amp;AV$7,""))</f>
        <v/>
      </c>
      <c r="AW12" s="97" t="str">
        <f>IF(AW$7=Stammdaten!$W$1,LEFT(AW$25,1)&amp;AW$7,IF(AW$7=Stammdaten!$V$1,LEFT(AV$25,1)&amp;AW$7,""))</f>
        <v/>
      </c>
      <c r="AX12" s="97" t="str">
        <f>IF(AX$7=Stammdaten!$W$1,LEFT(AX$25,1)&amp;AX$7,IF(AX$7=Stammdaten!$V$1,LEFT(AW$25,1)&amp;AX$7,""))</f>
        <v/>
      </c>
      <c r="AY12" s="97" t="str">
        <f>IF(AY$7=Stammdaten!$W$1,LEFT(AY$25,1)&amp;AY$7,IF(AY$7=Stammdaten!$V$1,LEFT(AX$25,1)&amp;AY$7,""))</f>
        <v/>
      </c>
      <c r="AZ12" s="97" t="str">
        <f>IF(AZ$7=Stammdaten!$W$1,LEFT(AZ$25,1)&amp;AZ$7,IF(AZ$7=Stammdaten!$V$1,LEFT(AY$25,1)&amp;AZ$7,""))</f>
        <v/>
      </c>
      <c r="BA12" s="97" t="str">
        <f>IF(BA$7=Stammdaten!$W$1,LEFT(BA$25,1)&amp;BA$7,IF(BA$7=Stammdaten!$V$1,LEFT(AZ$25,1)&amp;BA$7,""))</f>
        <v/>
      </c>
      <c r="BB12" s="97" t="str">
        <f>IF(BB$7=Stammdaten!$W$1,LEFT(BB$25,1)&amp;BB$7,IF(BB$7=Stammdaten!$V$1,LEFT(BA$25,1)&amp;BB$7,""))</f>
        <v/>
      </c>
      <c r="BC12" s="97" t="str">
        <f>IF(BC$7=Stammdaten!$W$1,LEFT(BC$25,1)&amp;BC$7,IF(BC$7=Stammdaten!$V$1,LEFT(BB$25,1)&amp;BC$7,""))</f>
        <v>2Ein</v>
      </c>
      <c r="BD12" s="97" t="str">
        <f>IF(BD$7=Stammdaten!$W$1,LEFT(BD$25,1)&amp;BD$7,IF(BD$7=Stammdaten!$V$1,LEFT(BC$25,1)&amp;BD$7,""))</f>
        <v>2Res</v>
      </c>
      <c r="BE12" s="97" t="str">
        <f>IF(BE$7=Stammdaten!$W$1,LEFT(BE$25,1)&amp;BE$7,IF(BE$7=Stammdaten!$V$1,LEFT(BD$25,1)&amp;BE$7,""))</f>
        <v/>
      </c>
      <c r="BF12" s="97" t="str">
        <f>IF(BF$7=Stammdaten!$W$1,LEFT(BF$25,1)&amp;BF$7,IF(BF$7=Stammdaten!$V$1,LEFT(BE$25,1)&amp;BF$7,""))</f>
        <v/>
      </c>
      <c r="BG12" s="97" t="str">
        <f>IF(BG$7=Stammdaten!$W$1,LEFT(BG$25,1)&amp;BG$7,IF(BG$7=Stammdaten!$V$1,LEFT(BF$25,1)&amp;BG$7,""))</f>
        <v/>
      </c>
      <c r="BH12" s="97" t="str">
        <f>IF(BH$7=Stammdaten!$W$1,LEFT(BH$25,1)&amp;BH$7,IF(BH$7=Stammdaten!$V$1,LEFT(BG$25,1)&amp;BH$7,""))</f>
        <v/>
      </c>
      <c r="BI12" s="97" t="str">
        <f>IF(BI$7=Stammdaten!$W$1,LEFT(BI$25,1)&amp;BI$7,IF(BI$7=Stammdaten!$V$1,LEFT(BH$25,1)&amp;BI$7,""))</f>
        <v/>
      </c>
      <c r="BJ12" s="97" t="str">
        <f>IF(BJ$7=Stammdaten!$W$1,LEFT(BJ$25,1)&amp;BJ$7,IF(BJ$7=Stammdaten!$V$1,LEFT(BI$25,1)&amp;BJ$7,""))</f>
        <v/>
      </c>
      <c r="BK12" s="97" t="str">
        <f>IF(BK$7=Stammdaten!$W$1,LEFT(BK$25,1)&amp;BK$7,IF(BK$7=Stammdaten!$V$1,LEFT(BJ$25,1)&amp;BK$7,""))</f>
        <v/>
      </c>
      <c r="BL12" s="97" t="str">
        <f>IF(BL$7=Stammdaten!$W$1,LEFT(BL$25,1)&amp;BL$7,IF(BL$7=Stammdaten!$V$1,LEFT(BK$25,1)&amp;BL$7,""))</f>
        <v/>
      </c>
      <c r="BM12" s="97" t="str">
        <f>IF(BM$7=Stammdaten!$W$1,LEFT(BM$25,1)&amp;BM$7,IF(BM$7=Stammdaten!$V$1,LEFT(BL$25,1)&amp;BM$7,""))</f>
        <v/>
      </c>
      <c r="BN12" s="97" t="str">
        <f>IF(BN$7=Stammdaten!$W$1,LEFT(BN$25,1)&amp;BN$7,IF(BN$7=Stammdaten!$V$1,LEFT(BM$25,1)&amp;BN$7,""))</f>
        <v/>
      </c>
      <c r="BO12" s="97" t="str">
        <f>IF(BO$7=Stammdaten!$W$1,LEFT(BO$25,1)&amp;BO$7,IF(BO$7=Stammdaten!$V$1,LEFT(BN$25,1)&amp;BO$7,""))</f>
        <v>2Ein</v>
      </c>
      <c r="BP12" s="97" t="str">
        <f>IF(BP$7=Stammdaten!$W$1,LEFT(BP$25,1)&amp;BP$7,IF(BP$7=Stammdaten!$V$1,LEFT(BO$25,1)&amp;BP$7,""))</f>
        <v>2Res</v>
      </c>
      <c r="BQ12" s="97" t="str">
        <f>IF(BQ$7=Stammdaten!$W$1,LEFT(BQ$25,1)&amp;BQ$7,IF(BQ$7=Stammdaten!$V$1,LEFT(BP$25,1)&amp;BQ$7,""))</f>
        <v/>
      </c>
      <c r="BR12" s="97" t="str">
        <f>IF(BR$7=Stammdaten!$W$1,LEFT(BR$25,1)&amp;BR$7,IF(BR$7=Stammdaten!$V$1,LEFT(BQ$25,1)&amp;BR$7,""))</f>
        <v/>
      </c>
      <c r="BS12" s="97" t="str">
        <f>IF(BS$7=Stammdaten!$W$1,LEFT(BS$25,1)&amp;BS$7,IF(BS$7=Stammdaten!$V$1,LEFT(BR$25,1)&amp;BS$7,""))</f>
        <v/>
      </c>
      <c r="BT12" s="97" t="str">
        <f>IF(BT$7=Stammdaten!$W$1,LEFT(BT$25,1)&amp;BT$7,IF(BT$7=Stammdaten!$V$1,LEFT(BS$25,1)&amp;BT$7,""))</f>
        <v/>
      </c>
      <c r="BU12" s="97" t="str">
        <f>IF(BU$7=Stammdaten!$W$1,LEFT(BU$25,1)&amp;BU$7,IF(BU$7=Stammdaten!$V$1,LEFT(BT$25,1)&amp;BU$7,""))</f>
        <v/>
      </c>
      <c r="BV12" s="97" t="str">
        <f>IF(BV$7=Stammdaten!$W$1,LEFT(BV$25,1)&amp;BV$7,IF(BV$7=Stammdaten!$V$1,LEFT(BU$25,1)&amp;BV$7,""))</f>
        <v/>
      </c>
      <c r="BW12" s="97" t="str">
        <f>IF(BW$7=Stammdaten!$W$1,LEFT(BW$25,1)&amp;BW$7,IF(BW$7=Stammdaten!$V$1,LEFT(BV$25,1)&amp;BW$7,""))</f>
        <v/>
      </c>
      <c r="BX12" s="97" t="str">
        <f>IF(BX$7=Stammdaten!$W$1,LEFT(BX$25,1)&amp;BX$7,IF(BX$7=Stammdaten!$V$1,LEFT(BW$25,1)&amp;BX$7,""))</f>
        <v/>
      </c>
      <c r="BY12" s="97" t="str">
        <f>IF(BY$7=Stammdaten!$W$1,LEFT(BY$25,1)&amp;BY$7,IF(BY$7=Stammdaten!$V$1,LEFT(BX$25,1)&amp;BY$7,""))</f>
        <v/>
      </c>
      <c r="BZ12" s="97" t="str">
        <f>IF(BZ$7=Stammdaten!$W$1,LEFT(BZ$25,1)&amp;BZ$7,IF(BZ$7=Stammdaten!$V$1,LEFT(BY$25,1)&amp;BZ$7,""))</f>
        <v/>
      </c>
      <c r="CA12" s="97" t="str">
        <f>IF(CA$7=Stammdaten!$W$1,LEFT(CA$25,1)&amp;CA$7,IF(CA$7=Stammdaten!$V$1,LEFT(BZ$25,1)&amp;CA$7,""))</f>
        <v>2Ein</v>
      </c>
      <c r="CB12" s="97" t="str">
        <f>IF(CB$7=Stammdaten!$W$1,LEFT(CB$25,1)&amp;CB$7,IF(CB$7=Stammdaten!$V$1,LEFT(CA$25,1)&amp;CB$7,""))</f>
        <v>2Res</v>
      </c>
      <c r="CC12" s="97" t="str">
        <f>IF(CC$7=Stammdaten!$W$1,LEFT(CC$25,1)&amp;CC$7,IF(CC$7=Stammdaten!$V$1,LEFT(CB$25,1)&amp;CC$7,""))</f>
        <v/>
      </c>
      <c r="CD12" s="97" t="str">
        <f>IF(CD$7=Stammdaten!$W$1,LEFT(CD$25,1)&amp;CD$7,IF(CD$7=Stammdaten!$V$1,LEFT(CC$25,1)&amp;CD$7,""))</f>
        <v/>
      </c>
      <c r="CE12" s="97" t="str">
        <f>IF(CE$7=Stammdaten!$W$1,LEFT(CE$25,1)&amp;CE$7,IF(CE$7=Stammdaten!$V$1,LEFT(CD$25,1)&amp;CE$7,""))</f>
        <v/>
      </c>
      <c r="CF12" s="97" t="str">
        <f>IF(CF$7=Stammdaten!$W$1,LEFT(CF$25,1)&amp;CF$7,IF(CF$7=Stammdaten!$V$1,LEFT(CE$25,1)&amp;CF$7,""))</f>
        <v/>
      </c>
      <c r="CG12" s="97" t="str">
        <f>IF(CG$7=Stammdaten!$W$1,LEFT(CG$25,1)&amp;CG$7,IF(CG$7=Stammdaten!$V$1,LEFT(CF$25,1)&amp;CG$7,""))</f>
        <v/>
      </c>
      <c r="CH12" s="97" t="str">
        <f>IF(CH$7=Stammdaten!$W$1,LEFT(CH$25,1)&amp;CH$7,IF(CH$7=Stammdaten!$V$1,LEFT(CG$25,1)&amp;CH$7,""))</f>
        <v/>
      </c>
      <c r="CI12" s="97" t="str">
        <f>IF(CI$7=Stammdaten!$W$1,LEFT(CI$25,1)&amp;CI$7,IF(CI$7=Stammdaten!$V$1,LEFT(CH$25,1)&amp;CI$7,""))</f>
        <v/>
      </c>
      <c r="CJ12" s="97" t="str">
        <f>IF(CJ$7=Stammdaten!$W$1,LEFT(CJ$25,1)&amp;CJ$7,IF(CJ$7=Stammdaten!$V$1,LEFT(CI$25,1)&amp;CJ$7,""))</f>
        <v/>
      </c>
      <c r="CK12" s="97" t="str">
        <f>IF(CK$7=Stammdaten!$W$1,LEFT(CK$25,1)&amp;CK$7,IF(CK$7=Stammdaten!$V$1,LEFT(CJ$25,1)&amp;CK$7,""))</f>
        <v/>
      </c>
      <c r="CL12" s="97" t="str">
        <f>IF(CL$7=Stammdaten!$W$1,LEFT(CL$25,1)&amp;CL$7,IF(CL$7=Stammdaten!$V$1,LEFT(CK$25,1)&amp;CL$7,""))</f>
        <v/>
      </c>
      <c r="CM12" s="97" t="str">
        <f>IF(CM$7=Stammdaten!$W$1,LEFT(CM$25,1)&amp;CM$7,IF(CM$7=Stammdaten!$V$1,LEFT(CL$25,1)&amp;CM$7,""))</f>
        <v>2Ein</v>
      </c>
      <c r="CN12" s="97" t="str">
        <f>IF(CN$7=Stammdaten!$W$1,LEFT(CN$25,1)&amp;CN$7,IF(CN$7=Stammdaten!$V$1,LEFT(CM$25,1)&amp;CN$7,""))</f>
        <v>2Res</v>
      </c>
      <c r="CO12" s="97" t="str">
        <f>IF(CO$7=Stammdaten!$W$1,LEFT(CO$25,1)&amp;CO$7,IF(CO$7=Stammdaten!$V$1,LEFT(CN$25,1)&amp;CO$7,""))</f>
        <v/>
      </c>
      <c r="CP12" s="97" t="str">
        <f>IF(CP$7=Stammdaten!$W$1,LEFT(CP$25,1)&amp;CP$7,IF(CP$7=Stammdaten!$V$1,LEFT(CO$25,1)&amp;CP$7,""))</f>
        <v/>
      </c>
      <c r="CQ12" s="97" t="str">
        <f>IF(CQ$7=Stammdaten!$W$1,LEFT(CQ$25,1)&amp;CQ$7,IF(CQ$7=Stammdaten!$V$1,LEFT(CP$25,1)&amp;CQ$7,""))</f>
        <v/>
      </c>
      <c r="CR12" s="97" t="str">
        <f>IF(CR$7=Stammdaten!$W$1,LEFT(CR$25,1)&amp;CR$7,IF(CR$7=Stammdaten!$V$1,LEFT(CQ$25,1)&amp;CR$7,""))</f>
        <v/>
      </c>
      <c r="CS12" s="97" t="str">
        <f>IF(CS$7=Stammdaten!$W$1,LEFT(CS$25,1)&amp;CS$7,IF(CS$7=Stammdaten!$V$1,LEFT(CR$25,1)&amp;CS$7,""))</f>
        <v/>
      </c>
      <c r="CT12" s="97" t="str">
        <f>IF(CT$7=Stammdaten!$W$1,LEFT(CT$25,1)&amp;CT$7,IF(CT$7=Stammdaten!$V$1,LEFT(CS$25,1)&amp;CT$7,""))</f>
        <v/>
      </c>
      <c r="CU12" s="97" t="str">
        <f>IF(CU$7=Stammdaten!$W$1,LEFT(CU$25,1)&amp;CU$7,IF(CU$7=Stammdaten!$V$1,LEFT(CT$25,1)&amp;CU$7,""))</f>
        <v/>
      </c>
      <c r="CV12" s="97" t="str">
        <f>IF(CV$7=Stammdaten!$W$1,LEFT(CV$25,1)&amp;CV$7,IF(CV$7=Stammdaten!$V$1,LEFT(CU$25,1)&amp;CV$7,""))</f>
        <v/>
      </c>
      <c r="CW12" s="97" t="str">
        <f>IF(CW$7=Stammdaten!$W$1,LEFT(CW$25,1)&amp;CW$7,IF(CW$7=Stammdaten!$V$1,LEFT(CV$25,1)&amp;CW$7,""))</f>
        <v/>
      </c>
      <c r="CX12" s="97" t="str">
        <f>IF(CX$7=Stammdaten!$W$1,LEFT(CX$25,1)&amp;CX$7,IF(CX$7=Stammdaten!$V$1,LEFT(CW$25,1)&amp;CX$7,""))</f>
        <v/>
      </c>
      <c r="CY12" s="97" t="str">
        <f>IF(CY$7=Stammdaten!$W$1,LEFT(CY$25,1)&amp;CY$7,IF(CY$7=Stammdaten!$V$1,LEFT(CX$25,1)&amp;CY$7,""))</f>
        <v>2Ein</v>
      </c>
      <c r="CZ12" s="97" t="str">
        <f>IF(CZ$7=Stammdaten!$W$1,LEFT(CZ$25,1)&amp;CZ$7,IF(CZ$7=Stammdaten!$V$1,LEFT(CY$25,1)&amp;CZ$7,""))</f>
        <v>2Res</v>
      </c>
      <c r="DA12" s="97" t="str">
        <f>IF(DA$7=Stammdaten!$W$1,LEFT(DA$25,1)&amp;DA$7,IF(DA$7=Stammdaten!$V$1,LEFT(CZ$25,1)&amp;DA$7,""))</f>
        <v/>
      </c>
      <c r="DB12" s="97" t="str">
        <f>IF(DB$7=Stammdaten!$W$1,LEFT(DB$25,1)&amp;DB$7,IF(DB$7=Stammdaten!$V$1,LEFT(DA$25,1)&amp;DB$7,""))</f>
        <v/>
      </c>
      <c r="DC12" s="97" t="str">
        <f>IF(DC$7=Stammdaten!$W$1,LEFT(DC$25,1)&amp;DC$7,IF(DC$7=Stammdaten!$V$1,LEFT(DB$25,1)&amp;DC$7,""))</f>
        <v/>
      </c>
      <c r="DD12" s="97" t="str">
        <f>IF(DD$7=Stammdaten!$W$1,LEFT(DD$25,1)&amp;DD$7,IF(DD$7=Stammdaten!$V$1,LEFT(DC$25,1)&amp;DD$7,""))</f>
        <v/>
      </c>
      <c r="DE12" s="97" t="str">
        <f>IF(DE$7=Stammdaten!$W$1,LEFT(DE$25,1)&amp;DE$7,IF(DE$7=Stammdaten!$V$1,LEFT(DD$25,1)&amp;DE$7,""))</f>
        <v/>
      </c>
      <c r="DF12" s="97" t="str">
        <f>IF(DF$7=Stammdaten!$W$1,LEFT(DF$25,1)&amp;DF$7,IF(DF$7=Stammdaten!$V$1,LEFT(DE$25,1)&amp;DF$7,""))</f>
        <v/>
      </c>
      <c r="DG12" s="97" t="str">
        <f>IF(DG$7=Stammdaten!$W$1,LEFT(DG$25,1)&amp;DG$7,IF(DG$7=Stammdaten!$V$1,LEFT(DF$25,1)&amp;DG$7,""))</f>
        <v/>
      </c>
      <c r="DH12" s="97" t="str">
        <f>IF(DH$7=Stammdaten!$W$1,LEFT(DH$25,1)&amp;DH$7,IF(DH$7=Stammdaten!$V$1,LEFT(DG$25,1)&amp;DH$7,""))</f>
        <v/>
      </c>
      <c r="DI12" s="97" t="str">
        <f>IF(DI$7=Stammdaten!$W$1,LEFT(DI$25,1)&amp;DI$7,IF(DI$7=Stammdaten!$V$1,LEFT(DH$25,1)&amp;DI$7,""))</f>
        <v/>
      </c>
      <c r="DJ12" s="97" t="str">
        <f>IF(DJ$7=Stammdaten!$W$1,LEFT(DJ$25,1)&amp;DJ$7,IF(DJ$7=Stammdaten!$V$1,LEFT(DI$25,1)&amp;DJ$7,""))</f>
        <v/>
      </c>
      <c r="DK12" s="97" t="str">
        <f>IF(DK$7=Stammdaten!$W$1,LEFT(DK$25,1)&amp;DK$7,IF(DK$7=Stammdaten!$V$1,LEFT(DJ$25,1)&amp;DK$7,""))</f>
        <v>Res</v>
      </c>
      <c r="DL12" s="97" t="str">
        <f>IF(DL$7=Stammdaten!$W$1,LEFT(DL$25,1)&amp;DL$7,IF(DL$7=Stammdaten!$V$1,LEFT(DK$25,1)&amp;DL$7,""))</f>
        <v>Res</v>
      </c>
      <c r="DM12" s="97" t="str">
        <f>IF(DM$7=Stammdaten!$W$1,LEFT(DM$25,1)&amp;DM$7,IF(DM$7=Stammdaten!$V$1,LEFT(DL$25,1)&amp;DM$7,""))</f>
        <v/>
      </c>
      <c r="DN12" s="97" t="str">
        <f>IF(DN$7=Stammdaten!$W$1,LEFT(DN$25,1)&amp;DN$7,IF(DN$7=Stammdaten!$V$1,LEFT(DM$25,1)&amp;DN$7,""))</f>
        <v/>
      </c>
      <c r="DO12" s="97" t="str">
        <f>IF(DO$7=Stammdaten!$W$1,LEFT(DO$25,1)&amp;DO$7,IF(DO$7=Stammdaten!$V$1,LEFT(DN$25,1)&amp;DO$7,""))</f>
        <v/>
      </c>
      <c r="DP12" s="97" t="str">
        <f>IF(DP$7=Stammdaten!$W$1,LEFT(DP$25,1)&amp;DP$7,IF(DP$7=Stammdaten!$V$1,LEFT(DO$25,1)&amp;DP$7,""))</f>
        <v/>
      </c>
      <c r="DQ12" s="97" t="str">
        <f>IF(DQ$7=Stammdaten!$W$1,LEFT(DQ$25,1)&amp;DQ$7,IF(DQ$7=Stammdaten!$V$1,LEFT(DP$25,1)&amp;DQ$7,""))</f>
        <v/>
      </c>
      <c r="DR12" s="97" t="str">
        <f>IF(DR$7=Stammdaten!$W$1,LEFT(DR$25,1)&amp;DR$7,IF(DR$7=Stammdaten!$V$1,LEFT(DQ$25,1)&amp;DR$7,""))</f>
        <v/>
      </c>
      <c r="DS12" s="97" t="str">
        <f>IF(DS$7=Stammdaten!$W$1,LEFT(DS$25,1)&amp;DS$7,IF(DS$7=Stammdaten!$V$1,LEFT(DR$25,1)&amp;DS$7,""))</f>
        <v/>
      </c>
      <c r="DT12" s="97" t="str">
        <f>IF(DT$7=Stammdaten!$W$1,LEFT(DT$25,1)&amp;DT$7,IF(DT$7=Stammdaten!$V$1,LEFT(DS$25,1)&amp;DT$7,""))</f>
        <v/>
      </c>
      <c r="DU12" s="97" t="str">
        <f>IF(DU$7=Stammdaten!$W$1,LEFT(DU$25,1)&amp;DU$7,IF(DU$7=Stammdaten!$V$1,LEFT(DT$25,1)&amp;DU$7,""))</f>
        <v/>
      </c>
      <c r="DV12" s="97" t="str">
        <f>IF(DV$7=Stammdaten!$W$1,LEFT(DV$25,1)&amp;DV$7,IF(DV$7=Stammdaten!$V$1,LEFT(DU$25,1)&amp;DV$7,""))</f>
        <v/>
      </c>
      <c r="DW12" s="97" t="str">
        <f>IF(DW$7=Stammdaten!$W$1,LEFT(DW$25,1)&amp;DW$7,IF(DW$7=Stammdaten!$V$1,LEFT(DV$25,1)&amp;DW$7,""))</f>
        <v/>
      </c>
      <c r="DX12" s="97" t="str">
        <f>IF(DX$7=Stammdaten!$W$1,LEFT(DX$25,1)&amp;DX$7,IF(DX$7=Stammdaten!$V$1,LEFT(DW$25,1)&amp;DX$7,""))</f>
        <v/>
      </c>
      <c r="DY12" s="97" t="str">
        <f>IF(DY$7=Stammdaten!$W$1,LEFT(DY$25,1)&amp;DY$7,IF(DY$7=Stammdaten!$V$1,LEFT(DX$25,1)&amp;DY$7,""))</f>
        <v/>
      </c>
      <c r="DZ12" s="97" t="str">
        <f>IF(DZ$7=Stammdaten!$W$1,LEFT(DZ$25,1)&amp;DZ$7,IF(DZ$7=Stammdaten!$V$1,LEFT(DY$25,1)&amp;DZ$7,""))</f>
        <v/>
      </c>
      <c r="EA12" s="97" t="str">
        <f>IF(EA$7=Stammdaten!$W$1,LEFT(EA$25,1)&amp;EA$7,IF(EA$7=Stammdaten!$V$1,LEFT(DZ$25,1)&amp;EA$7,""))</f>
        <v/>
      </c>
      <c r="EB12" s="97" t="str">
        <f>IF(EB$7=Stammdaten!$W$1,LEFT(EB$25,1)&amp;EB$7,IF(EB$7=Stammdaten!$V$1,LEFT(EA$25,1)&amp;EB$7,""))</f>
        <v/>
      </c>
      <c r="EC12" s="97" t="str">
        <f>IF(EC$7=Stammdaten!$W$1,LEFT(EC$25,1)&amp;EC$7,IF(EC$7=Stammdaten!$V$1,LEFT(EB$25,1)&amp;EC$7,""))</f>
        <v/>
      </c>
      <c r="ED12" s="97" t="str">
        <f>IF(ED$7=Stammdaten!$W$1,LEFT(ED$25,1)&amp;ED$7,IF(ED$7=Stammdaten!$V$1,LEFT(EC$25,1)&amp;ED$7,""))</f>
        <v/>
      </c>
      <c r="EE12" s="97" t="str">
        <f>IF(EE$7=Stammdaten!$W$1,LEFT(EE$25,1)&amp;EE$7,IF(EE$7=Stammdaten!$V$1,LEFT(ED$25,1)&amp;EE$7,""))</f>
        <v/>
      </c>
      <c r="EF12" s="97" t="str">
        <f>IF(EF$7=Stammdaten!$W$1,LEFT(EF$25,1)&amp;EF$7,IF(EF$7=Stammdaten!$V$1,LEFT(EE$25,1)&amp;EF$7,""))</f>
        <v>Res</v>
      </c>
      <c r="EG12" s="97" t="str">
        <f>IF(EG$7=Stammdaten!$W$1,LEFT(EG$25,1)&amp;EG$7,IF(EG$7=Stammdaten!$V$1,LEFT(EF$25,1)&amp;EG$7,""))</f>
        <v>Res</v>
      </c>
      <c r="EH12" s="97" t="str">
        <f>IF(EH$7=Stammdaten!$W$1,LEFT(EH$25,1)&amp;EH$7,IF(EH$7=Stammdaten!$V$1,LEFT(EG$25,1)&amp;EH$7,""))</f>
        <v/>
      </c>
      <c r="EI12" s="97" t="str">
        <f>IF(EI$7=Stammdaten!$W$1,LEFT(EI$25,1)&amp;EI$7,IF(EI$7=Stammdaten!$V$1,LEFT(EH$25,1)&amp;EI$7,""))</f>
        <v/>
      </c>
      <c r="EJ12" s="97" t="str">
        <f>IF(EJ$7=Stammdaten!$W$1,LEFT(EJ$25,1)&amp;EJ$7,IF(EJ$7=Stammdaten!$V$1,LEFT(EI$25,1)&amp;EJ$7,""))</f>
        <v/>
      </c>
      <c r="EK12" s="97" t="str">
        <f>IF(EK$7=Stammdaten!$W$1,LEFT(EK$25,1)&amp;EK$7,IF(EK$7=Stammdaten!$V$1,LEFT(EJ$25,1)&amp;EK$7,""))</f>
        <v/>
      </c>
      <c r="EL12" s="97" t="str">
        <f>IF(EL$7=Stammdaten!$W$1,LEFT(EL$25,1)&amp;EL$7,IF(EL$7=Stammdaten!$V$1,LEFT(EK$25,1)&amp;EL$7,""))</f>
        <v/>
      </c>
      <c r="EM12" s="97" t="str">
        <f>IF(EM$7=Stammdaten!$W$1,LEFT(EM$25,1)&amp;EM$7,IF(EM$7=Stammdaten!$V$1,LEFT(EL$25,1)&amp;EM$7,""))</f>
        <v/>
      </c>
      <c r="EN12" s="97" t="str">
        <f>IF(EN$7=Stammdaten!$W$1,LEFT(EN$25,1)&amp;EN$7,IF(EN$7=Stammdaten!$V$1,LEFT(EM$25,1)&amp;EN$7,""))</f>
        <v/>
      </c>
      <c r="EO12" s="97" t="str">
        <f>IF(EO$7=Stammdaten!$W$1,LEFT(EO$25,1)&amp;EO$7,IF(EO$7=Stammdaten!$V$1,LEFT(EN$25,1)&amp;EO$7,""))</f>
        <v/>
      </c>
      <c r="EP12" s="97" t="str">
        <f>IF(EP$7=Stammdaten!$W$1,LEFT(EP$25,1)&amp;EP$7,IF(EP$7=Stammdaten!$V$1,LEFT(EO$25,1)&amp;EP$7,""))</f>
        <v/>
      </c>
      <c r="EQ12" s="97" t="str">
        <f>IF(EQ$7=Stammdaten!$W$1,LEFT(EQ$25,1)&amp;EQ$7,IF(EQ$7=Stammdaten!$V$1,LEFT(EP$25,1)&amp;EQ$7,""))</f>
        <v/>
      </c>
      <c r="ER12" s="97" t="str">
        <f>IF(ER$7=Stammdaten!$W$1,LEFT(ER$25,1)&amp;ER$7,IF(ER$7=Stammdaten!$V$1,LEFT(EQ$25,1)&amp;ER$7,""))</f>
        <v/>
      </c>
      <c r="ES12" s="97" t="str">
        <f>IF(ES$7=Stammdaten!$W$1,LEFT(ES$25,1)&amp;ES$7,IF(ES$7=Stammdaten!$V$1,LEFT(ER$25,1)&amp;ES$7,""))</f>
        <v/>
      </c>
      <c r="ET12" s="97" t="str">
        <f>IF(ET$7=Stammdaten!$W$1,LEFT(ET$25,1)&amp;ET$7,IF(ET$7=Stammdaten!$V$1,LEFT(ES$25,1)&amp;ET$7,""))</f>
        <v/>
      </c>
      <c r="EU12" s="97" t="str">
        <f>IF(EU$7=Stammdaten!$W$1,LEFT(EU$25,1)&amp;EU$7,IF(EU$7=Stammdaten!$V$1,LEFT(ET$25,1)&amp;EU$7,""))</f>
        <v/>
      </c>
      <c r="EV12" s="97" t="str">
        <f>IF(EV$7=Stammdaten!$W$1,LEFT(EV$25,1)&amp;EV$7,IF(EV$7=Stammdaten!$V$1,LEFT(EU$25,1)&amp;EV$7,""))</f>
        <v/>
      </c>
      <c r="EW12" s="97" t="str">
        <f>IF(EW$7=Stammdaten!$W$1,LEFT(EW$25,1)&amp;EW$7,IF(EW$7=Stammdaten!$V$1,LEFT(EV$25,1)&amp;EW$7,""))</f>
        <v/>
      </c>
      <c r="EX12" s="97" t="str">
        <f>IF(EX$7=Stammdaten!$W$1,LEFT(EX$25,1)&amp;EX$7,IF(EX$7=Stammdaten!$V$1,LEFT(EW$25,1)&amp;EX$7,""))</f>
        <v/>
      </c>
      <c r="EY12" s="97" t="str">
        <f>IF(EY$7=Stammdaten!$W$1,LEFT(EY$25,1)&amp;EY$7,IF(EY$7=Stammdaten!$V$1,LEFT(EX$25,1)&amp;EY$7,""))</f>
        <v/>
      </c>
      <c r="EZ12" s="97" t="str">
        <f>IF(EZ$7=Stammdaten!$W$1,LEFT(EZ$25,1)&amp;EZ$7,IF(EZ$7=Stammdaten!$V$1,LEFT(EY$25,1)&amp;EZ$7,""))</f>
        <v/>
      </c>
      <c r="FA12" s="97" t="str">
        <f>IF(FA$7=Stammdaten!$W$1,LEFT(FA$25,1)&amp;FA$7,IF(FA$7=Stammdaten!$V$1,LEFT(EZ$25,1)&amp;FA$7,""))</f>
        <v>Res</v>
      </c>
      <c r="FB12" s="97" t="str">
        <f>IF(FB$7=Stammdaten!$W$1,LEFT(FB$25,1)&amp;FB$7,IF(FB$7=Stammdaten!$V$1,LEFT(FA$25,1)&amp;FB$7,""))</f>
        <v>Res</v>
      </c>
      <c r="FC12" s="97" t="str">
        <f>IF(FC$7=Stammdaten!$W$1,LEFT(FC$25,1)&amp;FC$7,IF(FC$7=Stammdaten!$V$1,LEFT(FB$25,1)&amp;FC$7,""))</f>
        <v/>
      </c>
      <c r="FD12" s="97" t="str">
        <f>IF(FD$7=Stammdaten!$W$1,LEFT(FD$25,1)&amp;FD$7,IF(FD$7=Stammdaten!$V$1,LEFT(FC$25,1)&amp;FD$7,""))</f>
        <v/>
      </c>
      <c r="FE12" s="97" t="str">
        <f>IF(FE$7=Stammdaten!$W$1,LEFT(FE$25,1)&amp;FE$7,IF(FE$7=Stammdaten!$V$1,LEFT(FD$25,1)&amp;FE$7,""))</f>
        <v/>
      </c>
      <c r="FF12" s="97" t="str">
        <f>IF(FF$7=Stammdaten!$W$1,LEFT(FF$25,1)&amp;FF$7,IF(FF$7=Stammdaten!$V$1,LEFT(FE$25,1)&amp;FF$7,""))</f>
        <v/>
      </c>
      <c r="FG12" s="97" t="str">
        <f>IF(FG$7=Stammdaten!$W$1,LEFT(FG$25,1)&amp;FG$7,IF(FG$7=Stammdaten!$V$1,LEFT(FF$25,1)&amp;FG$7,""))</f>
        <v/>
      </c>
      <c r="FH12" s="97" t="str">
        <f>IF(FH$7=Stammdaten!$W$1,LEFT(FH$25,1)&amp;FH$7,IF(FH$7=Stammdaten!$V$1,LEFT(FG$25,1)&amp;FH$7,""))</f>
        <v/>
      </c>
      <c r="FI12" s="97" t="str">
        <f>IF(FI$7=Stammdaten!$W$1,LEFT(FI$25,1)&amp;FI$7,IF(FI$7=Stammdaten!$V$1,LEFT(FH$25,1)&amp;FI$7,""))</f>
        <v/>
      </c>
      <c r="FJ12" s="97" t="str">
        <f>IF(FJ$7=Stammdaten!$W$1,LEFT(FJ$25,1)&amp;FJ$7,IF(FJ$7=Stammdaten!$V$1,LEFT(FI$25,1)&amp;FJ$7,""))</f>
        <v/>
      </c>
      <c r="FK12" s="97" t="str">
        <f>IF(FK$7=Stammdaten!$W$1,LEFT(FK$25,1)&amp;FK$7,IF(FK$7=Stammdaten!$V$1,LEFT(FJ$25,1)&amp;FK$7,""))</f>
        <v/>
      </c>
      <c r="FL12" s="97" t="str">
        <f>IF(FL$7=Stammdaten!$W$1,LEFT(FL$25,1)&amp;FL$7,IF(FL$7=Stammdaten!$V$1,LEFT(FK$25,1)&amp;FL$7,""))</f>
        <v/>
      </c>
      <c r="FM12" s="97" t="str">
        <f>IF(FM$7=Stammdaten!$W$1,LEFT(FM$25,1)&amp;FM$7,IF(FM$7=Stammdaten!$V$1,LEFT(FL$25,1)&amp;FM$7,""))</f>
        <v/>
      </c>
      <c r="FN12" s="97" t="str">
        <f>IF(FN$7=Stammdaten!$W$1,LEFT(FN$25,1)&amp;FN$7,IF(FN$7=Stammdaten!$V$1,LEFT(FM$25,1)&amp;FN$7,""))</f>
        <v/>
      </c>
      <c r="FO12" s="97" t="str">
        <f>IF(FO$7=Stammdaten!$W$1,LEFT(FO$25,1)&amp;FO$7,IF(FO$7=Stammdaten!$V$1,LEFT(FN$25,1)&amp;FO$7,""))</f>
        <v/>
      </c>
      <c r="FP12" s="97" t="str">
        <f>IF(FP$7=Stammdaten!$W$1,LEFT(FP$25,1)&amp;FP$7,IF(FP$7=Stammdaten!$V$1,LEFT(FO$25,1)&amp;FP$7,""))</f>
        <v/>
      </c>
      <c r="FQ12" s="97" t="str">
        <f>IF(FQ$7=Stammdaten!$W$1,LEFT(FQ$25,1)&amp;FQ$7,IF(FQ$7=Stammdaten!$V$1,LEFT(FP$25,1)&amp;FQ$7,""))</f>
        <v/>
      </c>
      <c r="FR12" s="97" t="str">
        <f>IF(FR$7=Stammdaten!$W$1,LEFT(FR$25,1)&amp;FR$7,IF(FR$7=Stammdaten!$V$1,LEFT(FQ$25,1)&amp;FR$7,""))</f>
        <v/>
      </c>
      <c r="FS12" s="97" t="str">
        <f>IF(FS$7=Stammdaten!$W$1,LEFT(FS$25,1)&amp;FS$7,IF(FS$7=Stammdaten!$V$1,LEFT(FR$25,1)&amp;FS$7,""))</f>
        <v/>
      </c>
      <c r="FT12" s="97" t="str">
        <f>IF(FT$7=Stammdaten!$W$1,LEFT(FT$25,1)&amp;FT$7,IF(FT$7=Stammdaten!$V$1,LEFT(FS$25,1)&amp;FT$7,""))</f>
        <v/>
      </c>
      <c r="FU12" s="97" t="str">
        <f>IF(FU$7=Stammdaten!$W$1,LEFT(FU$25,1)&amp;FU$7,IF(FU$7=Stammdaten!$V$1,LEFT(FT$25,1)&amp;FU$7,""))</f>
        <v/>
      </c>
      <c r="FV12" s="97" t="str">
        <f>IF(FV$7=Stammdaten!$W$1,LEFT(FV$25,1)&amp;FV$7,IF(FV$7=Stammdaten!$V$1,LEFT(FU$25,1)&amp;FV$7,""))</f>
        <v>Res</v>
      </c>
      <c r="FW12" s="97" t="str">
        <f>IF(FW$7=Stammdaten!$W$1,LEFT(FW$25,1)&amp;FW$7,IF(FW$7=Stammdaten!$V$1,LEFT(FV$25,1)&amp;FW$7,""))</f>
        <v>Res</v>
      </c>
      <c r="FX12" s="97" t="str">
        <f>IF(FX$7=Stammdaten!$W$1,LEFT(FX$25,1)&amp;FX$7,IF(FX$7=Stammdaten!$V$1,LEFT(FW$25,1)&amp;FX$7,""))</f>
        <v>Res</v>
      </c>
      <c r="FY12" s="97" t="str">
        <f>IF(FY$7=Stammdaten!$W$1,LEFT(FY$25,1)&amp;FY$7,IF(FY$7=Stammdaten!$V$1,LEFT(FX$25,1)&amp;FY$7,""))</f>
        <v/>
      </c>
      <c r="FZ12" s="97" t="str">
        <f>IF(FZ$7=Stammdaten!$W$1,LEFT(FZ$25,1)&amp;FZ$7,IF(FZ$7=Stammdaten!$V$1,LEFT(FY$25,1)&amp;FZ$7,""))</f>
        <v/>
      </c>
      <c r="GA12" s="97" t="str">
        <f>IF(GA$7=Stammdaten!$W$1,LEFT(GA$25,1)&amp;GA$7,IF(GA$7=Stammdaten!$V$1,LEFT(FZ$25,1)&amp;GA$7,""))</f>
        <v/>
      </c>
      <c r="GB12" s="97" t="str">
        <f>IF(GB$7=Stammdaten!$W$1,LEFT(GB$25,1)&amp;GB$7,IF(GB$7=Stammdaten!$V$1,LEFT(GA$25,1)&amp;GB$7,""))</f>
        <v/>
      </c>
      <c r="GC12" s="97" t="str">
        <f>IF(GC$7=Stammdaten!$W$1,LEFT(GC$25,1)&amp;GC$7,IF(GC$7=Stammdaten!$V$1,LEFT(GB$25,1)&amp;GC$7,""))</f>
        <v/>
      </c>
      <c r="GD12" s="97" t="str">
        <f>IF(GD$7=Stammdaten!$W$1,LEFT(GD$25,1)&amp;GD$7,IF(GD$7=Stammdaten!$V$1,LEFT(GC$25,1)&amp;GD$7,""))</f>
        <v/>
      </c>
      <c r="GE12" s="97" t="str">
        <f>IF(GE$7=Stammdaten!$W$1,LEFT(GE$25,1)&amp;GE$7,IF(GE$7=Stammdaten!$V$1,LEFT(GD$25,1)&amp;GE$7,""))</f>
        <v/>
      </c>
      <c r="GF12" s="97" t="str">
        <f>IF(GF$7=Stammdaten!$W$1,LEFT(GF$25,1)&amp;GF$7,IF(GF$7=Stammdaten!$V$1,LEFT(GE$25,1)&amp;GF$7,""))</f>
        <v/>
      </c>
      <c r="GG12" s="97" t="str">
        <f>IF(GG$7=Stammdaten!$W$1,LEFT(GG$25,1)&amp;GG$7,IF(GG$7=Stammdaten!$V$1,LEFT(GF$25,1)&amp;GG$7,""))</f>
        <v/>
      </c>
      <c r="GH12" s="97" t="str">
        <f>IF(GH$7=Stammdaten!$W$1,LEFT(GH$25,1)&amp;GH$7,IF(GH$7=Stammdaten!$V$1,LEFT(GG$25,1)&amp;GH$7,""))</f>
        <v/>
      </c>
      <c r="GI12" s="97" t="str">
        <f>IF(GI$7=Stammdaten!$W$1,LEFT(GI$25,1)&amp;GI$7,IF(GI$7=Stammdaten!$V$1,LEFT(GH$25,1)&amp;GI$7,""))</f>
        <v/>
      </c>
      <c r="GJ12" s="97" t="str">
        <f>IF(GJ$7=Stammdaten!$W$1,LEFT(GJ$25,1)&amp;GJ$7,IF(GJ$7=Stammdaten!$V$1,LEFT(GI$25,1)&amp;GJ$7,""))</f>
        <v/>
      </c>
      <c r="GK12" s="97" t="str">
        <f>IF(GK$7=Stammdaten!$W$1,LEFT(GK$25,1)&amp;GK$7,IF(GK$7=Stammdaten!$V$1,LEFT(GJ$25,1)&amp;GK$7,""))</f>
        <v/>
      </c>
      <c r="GL12" s="97" t="str">
        <f>IF(GL$7=Stammdaten!$W$1,LEFT(GL$25,1)&amp;GL$7,IF(GL$7=Stammdaten!$V$1,LEFT(GK$25,1)&amp;GL$7,""))</f>
        <v/>
      </c>
      <c r="GM12" s="97" t="str">
        <f>IF(GM$7=Stammdaten!$W$1,LEFT(GM$25,1)&amp;GM$7,IF(GM$7=Stammdaten!$V$1,LEFT(GL$25,1)&amp;GM$7,""))</f>
        <v/>
      </c>
      <c r="GN12" s="97" t="str">
        <f>IF(GN$7=Stammdaten!$W$1,LEFT(GN$25,1)&amp;GN$7,IF(GN$7=Stammdaten!$V$1,LEFT(GM$25,1)&amp;GN$7,""))</f>
        <v/>
      </c>
      <c r="GO12" s="97" t="str">
        <f>IF(GO$7=Stammdaten!$W$1,LEFT(GO$25,1)&amp;GO$7,IF(GO$7=Stammdaten!$V$1,LEFT(GN$25,1)&amp;GO$7,""))</f>
        <v/>
      </c>
      <c r="GP12" s="97" t="str">
        <f>IF(GP$7=Stammdaten!$W$1,LEFT(GP$25,1)&amp;GP$7,IF(GP$7=Stammdaten!$V$1,LEFT(GO$25,1)&amp;GP$7,""))</f>
        <v/>
      </c>
      <c r="GQ12" s="97" t="str">
        <f>IF(GQ$7=Stammdaten!$W$1,LEFT(GQ$25,1)&amp;GQ$7,IF(GQ$7=Stammdaten!$V$1,LEFT(GP$25,1)&amp;GQ$7,""))</f>
        <v/>
      </c>
      <c r="GR12" s="97" t="str">
        <f>IF(GR$7=Stammdaten!$W$1,LEFT(GR$25,1)&amp;GR$7,IF(GR$7=Stammdaten!$V$1,LEFT(GQ$25,1)&amp;GR$7,""))</f>
        <v/>
      </c>
      <c r="GS12" s="97" t="str">
        <f>IF(GS$7=Stammdaten!$W$1,LEFT(GS$25,1)&amp;GS$7,IF(GS$7=Stammdaten!$V$1,LEFT(GR$25,1)&amp;GS$7,""))</f>
        <v/>
      </c>
      <c r="GT12" s="97" t="str">
        <f>IF(GT$7=Stammdaten!$W$1,LEFT(GT$25,1)&amp;GT$7,IF(GT$7=Stammdaten!$V$1,LEFT(GS$25,1)&amp;GT$7,""))</f>
        <v/>
      </c>
      <c r="GU12" s="97" t="str">
        <f>IF(GU$7=Stammdaten!$W$1,LEFT(GU$25,1)&amp;GU$7,IF(GU$7=Stammdaten!$V$1,LEFT(GT$25,1)&amp;GU$7,""))</f>
        <v/>
      </c>
      <c r="GV12" s="97" t="str">
        <f>IF(GV$7=Stammdaten!$W$1,LEFT(GV$25,1)&amp;GV$7,IF(GV$7=Stammdaten!$V$1,LEFT(GU$25,1)&amp;GV$7,""))</f>
        <v/>
      </c>
      <c r="GW12" s="97" t="str">
        <f>IF(GW$7=Stammdaten!$W$1,LEFT(GW$25,1)&amp;GW$7,IF(GW$7=Stammdaten!$V$1,LEFT(GV$25,1)&amp;GW$7,""))</f>
        <v/>
      </c>
      <c r="GX12" s="97" t="str">
        <f>IF(GX$7=Stammdaten!$W$1,LEFT(GX$25,1)&amp;GX$7,IF(GX$7=Stammdaten!$V$1,LEFT(GW$25,1)&amp;GX$7,""))</f>
        <v/>
      </c>
      <c r="GY12" s="97" t="str">
        <f>IF(GY$7=Stammdaten!$W$1,LEFT(GY$25,1)&amp;GY$7,IF(GY$7=Stammdaten!$V$1,LEFT(GX$25,1)&amp;GY$7,""))</f>
        <v/>
      </c>
      <c r="GZ12" s="97" t="str">
        <f>IF(GZ$7=Stammdaten!$W$1,LEFT(GZ$25,1)&amp;GZ$7,IF(GZ$7=Stammdaten!$V$1,LEFT(GY$25,1)&amp;GZ$7,""))</f>
        <v/>
      </c>
      <c r="HA12" s="97" t="str">
        <f>IF(HA$7=Stammdaten!$W$1,LEFT(HA$25,1)&amp;HA$7,IF(HA$7=Stammdaten!$V$1,LEFT(GZ$25,1)&amp;HA$7,""))</f>
        <v/>
      </c>
      <c r="HB12" s="97" t="str">
        <f>IF(HB$7=Stammdaten!$W$1,LEFT(HB$25,1)&amp;HB$7,IF(HB$7=Stammdaten!$V$1,LEFT(HA$25,1)&amp;HB$7,""))</f>
        <v/>
      </c>
      <c r="HC12" s="97" t="str">
        <f>IF(HC$7=Stammdaten!$W$1,LEFT(HC$25,1)&amp;HC$7,IF(HC$7=Stammdaten!$V$1,LEFT(HB$25,1)&amp;HC$7,""))</f>
        <v/>
      </c>
      <c r="HD12" s="97" t="str">
        <f>IF(HD$7=Stammdaten!$W$1,LEFT(HD$25,1)&amp;HD$7,IF(HD$7=Stammdaten!$V$1,LEFT(HC$25,1)&amp;HD$7,""))</f>
        <v/>
      </c>
      <c r="HE12" s="97" t="str">
        <f>IF(HE$7=Stammdaten!$W$1,LEFT(HE$25,1)&amp;HE$7,IF(HE$7=Stammdaten!$V$1,LEFT(HD$25,1)&amp;HE$7,""))</f>
        <v/>
      </c>
      <c r="HF12" s="97" t="str">
        <f>IF(HF$7=Stammdaten!$W$1,LEFT(HF$25,1)&amp;HF$7,IF(HF$7=Stammdaten!$V$1,LEFT(HE$25,1)&amp;HF$7,""))</f>
        <v/>
      </c>
      <c r="HG12" s="97" t="str">
        <f>IF(HG$7=Stammdaten!$W$1,LEFT(HG$25,1)&amp;HG$7,IF(HG$7=Stammdaten!$V$1,LEFT(HF$25,1)&amp;HG$7,""))</f>
        <v/>
      </c>
      <c r="HH12" s="97" t="str">
        <f>IF(HH$7=Stammdaten!$W$1,LEFT(HH$25,1)&amp;HH$7,IF(HH$7=Stammdaten!$V$1,LEFT(HG$25,1)&amp;HH$7,""))</f>
        <v/>
      </c>
      <c r="HI12" s="97" t="str">
        <f>IF(HI$7=Stammdaten!$W$1,LEFT(HI$25,1)&amp;HI$7,IF(HI$7=Stammdaten!$V$1,LEFT(HH$25,1)&amp;HI$7,""))</f>
        <v/>
      </c>
      <c r="HJ12" s="97" t="str">
        <f>IF(HJ$7=Stammdaten!$W$1,LEFT(HJ$25,1)&amp;HJ$7,IF(HJ$7=Stammdaten!$V$1,LEFT(HI$25,1)&amp;HJ$7,""))</f>
        <v/>
      </c>
      <c r="HK12" s="97" t="str">
        <f>IF(HK$7=Stammdaten!$W$1,LEFT(HK$25,1)&amp;HK$7,IF(HK$7=Stammdaten!$V$1,LEFT(HJ$25,1)&amp;HK$7,""))</f>
        <v/>
      </c>
      <c r="HL12" s="97" t="str">
        <f>IF(HL$7=Stammdaten!$W$1,LEFT(HL$25,1)&amp;HL$7,IF(HL$7=Stammdaten!$V$1,LEFT(HK$25,1)&amp;HL$7,""))</f>
        <v/>
      </c>
      <c r="HM12" s="97" t="str">
        <f>IF(HM$7=Stammdaten!$W$1,LEFT(HM$25,1)&amp;HM$7,IF(HM$7=Stammdaten!$V$1,LEFT(HL$25,1)&amp;HM$7,""))</f>
        <v/>
      </c>
      <c r="HN12" s="97" t="str">
        <f>IF(HN$7=Stammdaten!$W$1,LEFT(HN$25,1)&amp;HN$7,IF(HN$7=Stammdaten!$V$1,LEFT(HM$25,1)&amp;HN$7,""))</f>
        <v/>
      </c>
      <c r="HO12" s="97" t="str">
        <f>IF(HO$7=Stammdaten!$W$1,LEFT(HO$25,1)&amp;HO$7,IF(HO$7=Stammdaten!$V$1,LEFT(HN$25,1)&amp;HO$7,""))</f>
        <v/>
      </c>
      <c r="HP12" s="97" t="str">
        <f>IF(HP$7=Stammdaten!$W$1,LEFT(HP$25,1)&amp;HP$7,IF(HP$7=Stammdaten!$V$1,LEFT(HO$25,1)&amp;HP$7,""))</f>
        <v>2Ein</v>
      </c>
      <c r="HQ12" s="97" t="str">
        <f>IF(HQ$7=Stammdaten!$W$1,LEFT(HQ$25,1)&amp;HQ$7,IF(HQ$7=Stammdaten!$V$1,LEFT(HP$25,1)&amp;HQ$7,""))</f>
        <v>2Res</v>
      </c>
      <c r="HR12" s="97" t="str">
        <f>IF(HR$7=Stammdaten!$W$1,LEFT(HR$25,1)&amp;HR$7,IF(HR$7=Stammdaten!$V$1,LEFT(HQ$25,1)&amp;HR$7,""))</f>
        <v/>
      </c>
      <c r="HS12" s="97" t="str">
        <f>IF(HS$7=Stammdaten!$W$1,LEFT(HS$25,1)&amp;HS$7,IF(HS$7=Stammdaten!$V$1,LEFT(HR$25,1)&amp;HS$7,""))</f>
        <v/>
      </c>
      <c r="HT12" s="97" t="str">
        <f>IF(HT$7=Stammdaten!$W$1,LEFT(HT$25,1)&amp;HT$7,IF(HT$7=Stammdaten!$V$1,LEFT(HS$25,1)&amp;HT$7,""))</f>
        <v/>
      </c>
      <c r="HU12" s="97" t="str">
        <f>IF(HU$7=Stammdaten!$W$1,LEFT(HU$25,1)&amp;HU$7,IF(HU$7=Stammdaten!$V$1,LEFT(HT$25,1)&amp;HU$7,""))</f>
        <v/>
      </c>
      <c r="HV12" s="97" t="str">
        <f>IF(HV$7=Stammdaten!$W$1,LEFT(HV$25,1)&amp;HV$7,IF(HV$7=Stammdaten!$V$1,LEFT(HU$25,1)&amp;HV$7,""))</f>
        <v/>
      </c>
      <c r="HW12" s="97" t="str">
        <f>IF(HW$7=Stammdaten!$W$1,LEFT(HW$25,1)&amp;HW$7,IF(HW$7=Stammdaten!$V$1,LEFT(HV$25,1)&amp;HW$7,""))</f>
        <v/>
      </c>
      <c r="HX12" s="97" t="str">
        <f>IF(HX$7=Stammdaten!$W$1,LEFT(HX$25,1)&amp;HX$7,IF(HX$7=Stammdaten!$V$1,LEFT(HW$25,1)&amp;HX$7,""))</f>
        <v/>
      </c>
      <c r="HY12" s="97" t="str">
        <f>IF(HY$7=Stammdaten!$W$1,LEFT(HY$25,1)&amp;HY$7,IF(HY$7=Stammdaten!$V$1,LEFT(HX$25,1)&amp;HY$7,""))</f>
        <v>2Ein</v>
      </c>
      <c r="HZ12" s="97" t="str">
        <f>IF(HZ$7=Stammdaten!$W$1,LEFT(HZ$25,1)&amp;HZ$7,IF(HZ$7=Stammdaten!$V$1,LEFT(HY$25,1)&amp;HZ$7,""))</f>
        <v>2Res</v>
      </c>
      <c r="IA12" s="97" t="str">
        <f>IF(IA$7=Stammdaten!$W$1,LEFT(IA$25,1)&amp;IA$7,IF(IA$7=Stammdaten!$V$1,LEFT(HZ$25,1)&amp;IA$7,""))</f>
        <v/>
      </c>
      <c r="IB12" s="97" t="str">
        <f>IF(IB$7=Stammdaten!$W$1,LEFT(IB$25,1)&amp;IB$7,IF(IB$7=Stammdaten!$V$1,LEFT(IA$25,1)&amp;IB$7,""))</f>
        <v/>
      </c>
      <c r="IC12" s="97" t="str">
        <f>IF(IC$7=Stammdaten!$W$1,LEFT(IC$25,1)&amp;IC$7,IF(IC$7=Stammdaten!$V$1,LEFT(IB$25,1)&amp;IC$7,""))</f>
        <v/>
      </c>
      <c r="ID12" s="97" t="str">
        <f>IF(ID$7=Stammdaten!$W$1,LEFT(ID$25,1)&amp;ID$7,IF(ID$7=Stammdaten!$V$1,LEFT(IC$25,1)&amp;ID$7,""))</f>
        <v/>
      </c>
      <c r="IE12" s="97" t="str">
        <f>IF(IE$7=Stammdaten!$W$1,LEFT(IE$25,1)&amp;IE$7,IF(IE$7=Stammdaten!$V$1,LEFT(ID$25,1)&amp;IE$7,""))</f>
        <v/>
      </c>
      <c r="IF12" s="97" t="str">
        <f>IF(IF$7=Stammdaten!$W$1,LEFT(IF$25,1)&amp;IF$7,IF(IF$7=Stammdaten!$V$1,LEFT(IE$25,1)&amp;IF$7,""))</f>
        <v/>
      </c>
      <c r="IG12" s="97" t="str">
        <f>IF(IG$7=Stammdaten!$W$1,LEFT(IG$25,1)&amp;IG$7,IF(IG$7=Stammdaten!$V$1,LEFT(IF$25,1)&amp;IG$7,""))</f>
        <v/>
      </c>
      <c r="IH12" s="97" t="str">
        <f>IF(IH$7=Stammdaten!$W$1,LEFT(IH$25,1)&amp;IH$7,IF(IH$7=Stammdaten!$V$1,LEFT(IG$25,1)&amp;IH$7,""))</f>
        <v>2Ein</v>
      </c>
      <c r="II12" s="97" t="str">
        <f>IF(II$7=Stammdaten!$W$1,LEFT(II$25,1)&amp;II$7,IF(II$7=Stammdaten!$V$1,LEFT(IH$25,1)&amp;II$7,""))</f>
        <v>2Res</v>
      </c>
      <c r="IJ12" s="97" t="str">
        <f>IF(IJ$7=Stammdaten!$W$1,LEFT(IJ$25,1)&amp;IJ$7,IF(IJ$7=Stammdaten!$V$1,LEFT(II$25,1)&amp;IJ$7,""))</f>
        <v/>
      </c>
      <c r="IK12" s="97" t="str">
        <f>IF(IK$7=Stammdaten!$W$1,LEFT(IK$25,1)&amp;IK$7,IF(IK$7=Stammdaten!$V$1,LEFT(IJ$25,1)&amp;IK$7,""))</f>
        <v/>
      </c>
      <c r="IL12" s="97" t="str">
        <f>IF(IL$7=Stammdaten!$W$1,LEFT(IL$25,1)&amp;IL$7,IF(IL$7=Stammdaten!$V$1,LEFT(IK$25,1)&amp;IL$7,""))</f>
        <v/>
      </c>
      <c r="IM12" s="97" t="str">
        <f>IF(IM$7=Stammdaten!$W$1,LEFT(IM$25,1)&amp;IM$7,IF(IM$7=Stammdaten!$V$1,LEFT(IL$25,1)&amp;IM$7,""))</f>
        <v/>
      </c>
      <c r="IN12" s="97" t="str">
        <f>IF(IN$7=Stammdaten!$W$1,LEFT(IN$25,1)&amp;IN$7,IF(IN$7=Stammdaten!$V$1,LEFT(IM$25,1)&amp;IN$7,""))</f>
        <v/>
      </c>
      <c r="IO12" s="97" t="str">
        <f>IF(IO$7=Stammdaten!$W$1,LEFT(IO$25,1)&amp;IO$7,IF(IO$7=Stammdaten!$V$1,LEFT(IN$25,1)&amp;IO$7,""))</f>
        <v/>
      </c>
      <c r="IP12" s="97" t="str">
        <f>IF(IP$7=Stammdaten!$W$1,LEFT(IP$25,1)&amp;IP$7,IF(IP$7=Stammdaten!$V$1,LEFT(IO$25,1)&amp;IP$7,""))</f>
        <v/>
      </c>
      <c r="IQ12" s="97" t="str">
        <f>IF(IQ$7=Stammdaten!$W$1,LEFT(IQ$25,1)&amp;IQ$7,IF(IQ$7=Stammdaten!$V$1,LEFT(IP$25,1)&amp;IQ$7,""))</f>
        <v>2Ein</v>
      </c>
      <c r="IR12" s="97" t="str">
        <f>IF(IR$7=Stammdaten!$W$1,LEFT(IR$25,1)&amp;IR$7,IF(IR$7=Stammdaten!$V$1,LEFT(IQ$25,1)&amp;IR$7,""))</f>
        <v>2Res</v>
      </c>
      <c r="IS12" s="97" t="str">
        <f>IF(IS$7=Stammdaten!$W$1,LEFT(IS$25,1)&amp;IS$7,IF(IS$7=Stammdaten!$V$1,LEFT(IR$25,1)&amp;IS$7,""))</f>
        <v/>
      </c>
      <c r="IT12" s="97" t="str">
        <f>IF(IT$7=Stammdaten!$W$1,LEFT(IT$25,1)&amp;IT$7,IF(IT$7=Stammdaten!$V$1,LEFT(IS$25,1)&amp;IT$7,""))</f>
        <v/>
      </c>
      <c r="IU12" s="97" t="str">
        <f>IF(IU$7=Stammdaten!$W$1,LEFT(IU$25,1)&amp;IU$7,IF(IU$7=Stammdaten!$V$1,LEFT(IT$25,1)&amp;IU$7,""))</f>
        <v/>
      </c>
      <c r="IV12" s="97" t="str">
        <f>IF(IV$7=Stammdaten!$W$1,LEFT(IV$25,1)&amp;IV$7,IF(IV$7=Stammdaten!$V$1,LEFT(IU$25,1)&amp;IV$7,""))</f>
        <v/>
      </c>
      <c r="IW12" s="97" t="str">
        <f>IF(IW$7=Stammdaten!$W$1,LEFT(IW$25,1)&amp;IW$7,IF(IW$7=Stammdaten!$V$1,LEFT(IV$25,1)&amp;IW$7,""))</f>
        <v/>
      </c>
      <c r="IX12" s="97" t="str">
        <f>IF(IX$7=Stammdaten!$W$1,LEFT(IX$25,1)&amp;IX$7,IF(IX$7=Stammdaten!$V$1,LEFT(IW$25,1)&amp;IX$7,""))</f>
        <v/>
      </c>
      <c r="IY12" s="97" t="str">
        <f>IF(IY$7=Stammdaten!$W$1,LEFT(IY$25,1)&amp;IY$7,IF(IY$7=Stammdaten!$V$1,LEFT(IX$25,1)&amp;IY$7,""))</f>
        <v/>
      </c>
      <c r="IZ12" s="97" t="str">
        <f>IF(IZ$7=Stammdaten!$W$1,LEFT(IZ$25,1)&amp;IZ$7,IF(IZ$7=Stammdaten!$V$1,LEFT(IY$25,1)&amp;IZ$7,""))</f>
        <v>2Ein</v>
      </c>
      <c r="JA12" s="97" t="str">
        <f>IF(JA$7=Stammdaten!$W$1,LEFT(JA$25,1)&amp;JA$7,IF(JA$7=Stammdaten!$V$1,LEFT(IZ$25,1)&amp;JA$7,""))</f>
        <v>2Res</v>
      </c>
      <c r="JB12" s="97" t="str">
        <f>IF(JB$7=Stammdaten!$W$1,LEFT(JB$25,1)&amp;JB$7,IF(JB$7=Stammdaten!$V$1,LEFT(JA$25,1)&amp;JB$7,""))</f>
        <v/>
      </c>
      <c r="JC12" s="97" t="str">
        <f>IF(JC$7=Stammdaten!$W$1,LEFT(JC$25,1)&amp;JC$7,IF(JC$7=Stammdaten!$V$1,LEFT(JB$25,1)&amp;JC$7,""))</f>
        <v/>
      </c>
      <c r="JD12" s="97" t="str">
        <f>IF(JD$7=Stammdaten!$W$1,LEFT(JD$25,1)&amp;JD$7,IF(JD$7=Stammdaten!$V$1,LEFT(JC$25,1)&amp;JD$7,""))</f>
        <v/>
      </c>
      <c r="JE12" s="97" t="str">
        <f>IF(JE$7=Stammdaten!$W$1,LEFT(JE$25,1)&amp;JE$7,IF(JE$7=Stammdaten!$V$1,LEFT(JD$25,1)&amp;JE$7,""))</f>
        <v/>
      </c>
      <c r="JF12" s="97" t="str">
        <f>IF(JF$7=Stammdaten!$W$1,LEFT(JF$25,1)&amp;JF$7,IF(JF$7=Stammdaten!$V$1,LEFT(JE$25,1)&amp;JF$7,""))</f>
        <v/>
      </c>
      <c r="JG12" s="97" t="str">
        <f>IF(JG$7=Stammdaten!$W$1,LEFT(JG$25,1)&amp;JG$7,IF(JG$7=Stammdaten!$V$1,LEFT(JF$25,1)&amp;JG$7,""))</f>
        <v/>
      </c>
      <c r="JH12" s="97" t="str">
        <f>IF(JH$7=Stammdaten!$W$1,LEFT(JH$25,1)&amp;JH$7,IF(JH$7=Stammdaten!$V$1,LEFT(JG$25,1)&amp;JH$7,""))</f>
        <v/>
      </c>
      <c r="JI12" s="97" t="str">
        <f>IF(JI$7=Stammdaten!$W$1,LEFT(JI$25,1)&amp;JI$7,IF(JI$7=Stammdaten!$V$1,LEFT(JH$25,1)&amp;JI$7,""))</f>
        <v>2Ein</v>
      </c>
      <c r="JJ12" s="97" t="str">
        <f>IF(JJ$7=Stammdaten!$W$1,LEFT(JJ$25,1)&amp;JJ$7,IF(JJ$7=Stammdaten!$V$1,LEFT(JI$25,1)&amp;JJ$7,""))</f>
        <v>2Res</v>
      </c>
      <c r="JK12" s="97" t="str">
        <f>IF(JK$7=Stammdaten!$W$1,LEFT(JK$25,1)&amp;JK$7,IF(JK$7=Stammdaten!$V$1,LEFT(JJ$25,1)&amp;JK$7,""))</f>
        <v/>
      </c>
      <c r="JL12" s="97" t="str">
        <f>IF(JL$7=Stammdaten!$W$1,LEFT(JL$25,1)&amp;JL$7,IF(JL$7=Stammdaten!$V$1,LEFT(JK$25,1)&amp;JL$7,""))</f>
        <v/>
      </c>
      <c r="JM12" s="97" t="str">
        <f>IF(JM$7=Stammdaten!$W$1,LEFT(JM$25,1)&amp;JM$7,IF(JM$7=Stammdaten!$V$1,LEFT(JL$25,1)&amp;JM$7,""))</f>
        <v/>
      </c>
      <c r="JN12" s="97" t="str">
        <f>IF(JN$7=Stammdaten!$W$1,LEFT(JN$25,1)&amp;JN$7,IF(JN$7=Stammdaten!$V$1,LEFT(JM$25,1)&amp;JN$7,""))</f>
        <v/>
      </c>
      <c r="JO12" s="97" t="str">
        <f>IF(JO$7=Stammdaten!$W$1,LEFT(JO$25,1)&amp;JO$7,IF(JO$7=Stammdaten!$V$1,LEFT(JN$25,1)&amp;JO$7,""))</f>
        <v/>
      </c>
      <c r="JP12" s="97" t="str">
        <f>IF(JP$7=Stammdaten!$W$1,LEFT(JP$25,1)&amp;JP$7,IF(JP$7=Stammdaten!$V$1,LEFT(JO$25,1)&amp;JP$7,""))</f>
        <v/>
      </c>
      <c r="JQ12" s="97" t="str">
        <f>IF(JQ$7=Stammdaten!$W$1,LEFT(JQ$25,1)&amp;JQ$7,IF(JQ$7=Stammdaten!$V$1,LEFT(JP$25,1)&amp;JQ$7,""))</f>
        <v/>
      </c>
      <c r="JR12" s="97" t="str">
        <f>IF(JR$7=Stammdaten!$W$1,LEFT(JR$25,1)&amp;JR$7,IF(JR$7=Stammdaten!$V$1,LEFT(JQ$25,1)&amp;JR$7,""))</f>
        <v>Res</v>
      </c>
      <c r="JS12" s="97" t="str">
        <f>IF(JS$7=Stammdaten!$W$1,LEFT(JS$25,1)&amp;JS$7,IF(JS$7=Stammdaten!$V$1,LEFT(JR$25,1)&amp;JS$7,""))</f>
        <v>Res</v>
      </c>
      <c r="JT12" s="97" t="str">
        <f>IF(JT$7=Stammdaten!$W$1,LEFT(JT$25,1)&amp;JT$7,IF(JT$7=Stammdaten!$V$1,LEFT(JS$25,1)&amp;JT$7,""))</f>
        <v>Res</v>
      </c>
      <c r="JU12" s="97" t="str">
        <f>IF(JU$7=Stammdaten!$W$1,LEFT(JU$25,1)&amp;JU$7,IF(JU$7=Stammdaten!$V$1,LEFT(JT$25,1)&amp;JU$7,""))</f>
        <v>Res</v>
      </c>
      <c r="JV12" s="97" t="str">
        <f>IF(JV$7=Stammdaten!$W$1,LEFT(JV$25,1)&amp;JV$7,IF(JV$7=Stammdaten!$V$1,LEFT(JU$25,1)&amp;JV$7,""))</f>
        <v>Res</v>
      </c>
      <c r="JW12" s="97" t="str">
        <f>IF(JW$7=Stammdaten!$W$1,LEFT(JW$25,1)&amp;JW$7,IF(JW$7=Stammdaten!$V$1,LEFT(JV$25,1)&amp;JW$7,""))</f>
        <v>Res</v>
      </c>
      <c r="JX12" s="97" t="str">
        <f>IF(JX$7=Stammdaten!$W$1,LEFT(JX$25,1)&amp;JX$7,IF(JX$7=Stammdaten!$V$1,LEFT(JW$25,1)&amp;JX$7,""))</f>
        <v/>
      </c>
      <c r="JY12" s="97" t="str">
        <f>IF(JY$7=Stammdaten!$W$1,LEFT(JY$25,1)&amp;JY$7,IF(JY$7=Stammdaten!$V$1,LEFT(JX$25,1)&amp;JY$7,""))</f>
        <v/>
      </c>
      <c r="JZ12" s="97" t="str">
        <f>IF(JZ$7=Stammdaten!$W$1,LEFT(JZ$25,1)&amp;JZ$7,IF(JZ$7=Stammdaten!$V$1,LEFT(JY$25,1)&amp;JZ$7,""))</f>
        <v/>
      </c>
      <c r="KA12" s="97" t="str">
        <f>IF(KA$7=Stammdaten!$W$1,LEFT(KA$25,1)&amp;KA$7,IF(KA$7=Stammdaten!$V$1,LEFT(JZ$25,1)&amp;KA$7,""))</f>
        <v/>
      </c>
      <c r="KB12" s="97" t="str">
        <f>IF(KB$7=Stammdaten!$W$1,LEFT(KB$25,1)&amp;KB$7,IF(KB$7=Stammdaten!$V$1,LEFT(KA$25,1)&amp;KB$7,""))</f>
        <v/>
      </c>
      <c r="KC12" s="97" t="str">
        <f>IF(KC$7=Stammdaten!$W$1,LEFT(KC$25,1)&amp;KC$7,IF(KC$7=Stammdaten!$V$1,LEFT(KB$25,1)&amp;KC$7,""))</f>
        <v/>
      </c>
      <c r="KD12" s="97" t="str">
        <f>IF(KD$7=Stammdaten!$W$1,LEFT(KD$25,1)&amp;KD$7,IF(KD$7=Stammdaten!$V$1,LEFT(KC$25,1)&amp;KD$7,""))</f>
        <v/>
      </c>
      <c r="KE12" s="97" t="str">
        <f>IF(KE$7=Stammdaten!$W$1,LEFT(KE$25,1)&amp;KE$7,IF(KE$7=Stammdaten!$V$1,LEFT(KD$25,1)&amp;KE$7,""))</f>
        <v/>
      </c>
      <c r="KF12" s="97" t="str">
        <f>IF(KF$7=Stammdaten!$W$1,LEFT(KF$25,1)&amp;KF$7,IF(KF$7=Stammdaten!$V$1,LEFT(KE$25,1)&amp;KF$7,""))</f>
        <v/>
      </c>
      <c r="KG12" s="97" t="str">
        <f>IF(KG$7=Stammdaten!$W$1,LEFT(KG$25,1)&amp;KG$7,IF(KG$7=Stammdaten!$V$1,LEFT(KF$25,1)&amp;KG$7,""))</f>
        <v/>
      </c>
      <c r="KH12" s="97" t="str">
        <f>IF(KH$7=Stammdaten!$W$1,LEFT(KH$25,1)&amp;KH$7,IF(KH$7=Stammdaten!$V$1,LEFT(KG$25,1)&amp;KH$7,""))</f>
        <v/>
      </c>
      <c r="KI12" s="97" t="str">
        <f>IF(KI$7=Stammdaten!$W$1,LEFT(KI$25,1)&amp;KI$7,IF(KI$7=Stammdaten!$V$1,LEFT(KH$25,1)&amp;KI$7,""))</f>
        <v/>
      </c>
      <c r="KJ12" s="97" t="str">
        <f>IF(KJ$7=Stammdaten!$W$1,LEFT(KJ$25,1)&amp;KJ$7,IF(KJ$7=Stammdaten!$V$1,LEFT(KI$25,1)&amp;KJ$7,""))</f>
        <v/>
      </c>
      <c r="KK12" s="97" t="str">
        <f>IF(KK$7=Stammdaten!$W$1,LEFT(KK$25,1)&amp;KK$7,IF(KK$7=Stammdaten!$V$1,LEFT(KJ$25,1)&amp;KK$7,""))</f>
        <v/>
      </c>
      <c r="KL12" s="97" t="str">
        <f>IF(KL$7=Stammdaten!$W$1,LEFT(KL$25,1)&amp;KL$7,IF(KL$7=Stammdaten!$V$1,LEFT(KK$25,1)&amp;KL$7,""))</f>
        <v/>
      </c>
      <c r="KM12" s="97" t="str">
        <f>IF(KM$7=Stammdaten!$W$1,LEFT(KM$25,1)&amp;KM$7,IF(KM$7=Stammdaten!$V$1,LEFT(KL$25,1)&amp;KM$7,""))</f>
        <v/>
      </c>
      <c r="KN12" s="97" t="str">
        <f>IF(KN$7=Stammdaten!$W$1,LEFT(KN$25,1)&amp;KN$7,IF(KN$7=Stammdaten!$V$1,LEFT(KM$25,1)&amp;KN$7,""))</f>
        <v/>
      </c>
      <c r="KO12" s="97" t="str">
        <f>IF(KO$7=Stammdaten!$W$1,LEFT(KO$25,1)&amp;KO$7,IF(KO$7=Stammdaten!$V$1,LEFT(KN$25,1)&amp;KO$7,""))</f>
        <v/>
      </c>
      <c r="KP12" s="97" t="str">
        <f>IF(KP$7=Stammdaten!$W$1,LEFT(KP$25,1)&amp;KP$7,IF(KP$7=Stammdaten!$V$1,LEFT(KO$25,1)&amp;KP$7,""))</f>
        <v/>
      </c>
      <c r="KQ12" s="97" t="str">
        <f>IF(KQ$7=Stammdaten!$W$1,LEFT(KQ$25,1)&amp;KQ$7,IF(KQ$7=Stammdaten!$V$1,LEFT(KP$25,1)&amp;KQ$7,""))</f>
        <v/>
      </c>
      <c r="KR12" s="97" t="str">
        <f>IF(KR$7=Stammdaten!$W$1,LEFT(KR$25,1)&amp;KR$7,IF(KR$7=Stammdaten!$V$1,LEFT(KQ$25,1)&amp;KR$7,""))</f>
        <v/>
      </c>
      <c r="KS12" s="97" t="str">
        <f>IF(KS$7=Stammdaten!$W$1,LEFT(KS$25,1)&amp;KS$7,IF(KS$7=Stammdaten!$V$1,LEFT(KR$25,1)&amp;KS$7,""))</f>
        <v/>
      </c>
      <c r="KT12" s="97" t="str">
        <f>IF(KT$7=Stammdaten!$W$1,LEFT(KT$25,1)&amp;KT$7,IF(KT$7=Stammdaten!$V$1,LEFT(KS$25,1)&amp;KT$7,""))</f>
        <v/>
      </c>
      <c r="KU12" s="97" t="str">
        <f>IF(KU$7=Stammdaten!$W$1,LEFT(KU$25,1)&amp;KU$7,IF(KU$7=Stammdaten!$V$1,LEFT(KT$25,1)&amp;KU$7,""))</f>
        <v/>
      </c>
      <c r="KV12" s="97" t="str">
        <f>IF(KV$7=Stammdaten!$W$1,LEFT(KV$25,1)&amp;KV$7,IF(KV$7=Stammdaten!$V$1,LEFT(KU$25,1)&amp;KV$7,""))</f>
        <v/>
      </c>
      <c r="KW12" s="97" t="str">
        <f>IF(KW$7=Stammdaten!$W$1,LEFT(KW$25,1)&amp;KW$7,IF(KW$7=Stammdaten!$V$1,LEFT(KV$25,1)&amp;KW$7,""))</f>
        <v/>
      </c>
      <c r="KX12" s="97" t="str">
        <f>IF(KX$7=Stammdaten!$W$1,LEFT(KX$25,1)&amp;KX$7,IF(KX$7=Stammdaten!$V$1,LEFT(KW$25,1)&amp;KX$7,""))</f>
        <v/>
      </c>
      <c r="KY12" s="97" t="str">
        <f>IF(KY$7=Stammdaten!$W$1,LEFT(KY$25,1)&amp;KY$7,IF(KY$7=Stammdaten!$V$1,LEFT(KX$25,1)&amp;KY$7,""))</f>
        <v/>
      </c>
      <c r="KZ12" s="97" t="str">
        <f>IF(KZ$7=Stammdaten!$W$1,LEFT(KZ$25,1)&amp;KZ$7,IF(KZ$7=Stammdaten!$V$1,LEFT(KY$25,1)&amp;KZ$7,""))</f>
        <v/>
      </c>
      <c r="LA12" s="97" t="str">
        <f>IF(LA$7=Stammdaten!$W$1,LEFT(LA$25,1)&amp;LA$7,IF(LA$7=Stammdaten!$V$1,LEFT(KZ$25,1)&amp;LA$7,""))</f>
        <v/>
      </c>
      <c r="LB12" s="97" t="str">
        <f>IF(LB$7=Stammdaten!$W$1,LEFT(LB$25,1)&amp;LB$7,IF(LB$7=Stammdaten!$V$1,LEFT(LA$25,1)&amp;LB$7,""))</f>
        <v/>
      </c>
      <c r="LC12" s="97" t="str">
        <f>IF(LC$7=Stammdaten!$W$1,LEFT(LC$25,1)&amp;LC$7,IF(LC$7=Stammdaten!$V$1,LEFT(LB$25,1)&amp;LC$7,""))</f>
        <v/>
      </c>
      <c r="LD12" s="97" t="str">
        <f>IF(LD$7=Stammdaten!$W$1,LEFT(LD$25,1)&amp;LD$7,IF(LD$7=Stammdaten!$V$1,LEFT(LC$25,1)&amp;LD$7,""))</f>
        <v/>
      </c>
      <c r="LE12" s="97" t="str">
        <f>IF(LE$7=Stammdaten!$W$1,LEFT(LE$25,1)&amp;LE$7,IF(LE$7=Stammdaten!$V$1,LEFT(LD$25,1)&amp;LE$7,""))</f>
        <v/>
      </c>
      <c r="LF12" s="97" t="str">
        <f>IF(LF$7=Stammdaten!$W$1,LEFT(LF$25,1)&amp;LF$7,IF(LF$7=Stammdaten!$V$1,LEFT(LE$25,1)&amp;LF$7,""))</f>
        <v/>
      </c>
      <c r="LG12" s="97" t="str">
        <f>IF(LG$7=Stammdaten!$W$1,LEFT(LG$25,1)&amp;LG$7,IF(LG$7=Stammdaten!$V$1,LEFT(LF$25,1)&amp;LG$7,""))</f>
        <v/>
      </c>
      <c r="LH12" s="97" t="str">
        <f>IF(LH$7=Stammdaten!$W$1,LEFT(LH$25,1)&amp;LH$7,IF(LH$7=Stammdaten!$V$1,LEFT(LG$25,1)&amp;LH$7,""))</f>
        <v/>
      </c>
      <c r="LI12" s="97" t="str">
        <f>IF(LI$7=Stammdaten!$W$1,LEFT(LI$25,1)&amp;LI$7,IF(LI$7=Stammdaten!$V$1,LEFT(LH$25,1)&amp;LI$7,""))</f>
        <v/>
      </c>
      <c r="LJ12" s="97" t="str">
        <f>IF(LJ$7=Stammdaten!$W$1,LEFT(LJ$25,1)&amp;LJ$7,IF(LJ$7=Stammdaten!$V$1,LEFT(LI$25,1)&amp;LJ$7,""))</f>
        <v/>
      </c>
      <c r="LK12" s="97" t="str">
        <f>IF(LK$7=Stammdaten!$W$1,LEFT(LK$25,1)&amp;LK$7,IF(LK$7=Stammdaten!$V$1,LEFT(LJ$25,1)&amp;LK$7,""))</f>
        <v/>
      </c>
      <c r="LL12" s="97" t="str">
        <f>IF(LL$7=Stammdaten!$W$1,LEFT(LL$25,1)&amp;LL$7,IF(LL$7=Stammdaten!$V$1,LEFT(LK$25,1)&amp;LL$7,""))</f>
        <v/>
      </c>
      <c r="LM12" s="97" t="str">
        <f>IF(LM$7=Stammdaten!$W$1,LEFT(LM$25,1)&amp;LM$7,IF(LM$7=Stammdaten!$V$1,LEFT(LL$25,1)&amp;LM$7,""))</f>
        <v/>
      </c>
      <c r="LN12" s="97" t="str">
        <f>IF(LN$7=Stammdaten!$W$1,LEFT(LN$25,1)&amp;LN$7,IF(LN$7=Stammdaten!$V$1,LEFT(LM$25,1)&amp;LN$7,""))</f>
        <v/>
      </c>
      <c r="LO12" s="97" t="str">
        <f>IF(LO$7=Stammdaten!$W$1,LEFT(LO$25,1)&amp;LO$7,IF(LO$7=Stammdaten!$V$1,LEFT(LN$25,1)&amp;LO$7,""))</f>
        <v/>
      </c>
      <c r="LP12" s="97" t="str">
        <f>IF(LP$7=Stammdaten!$W$1,LEFT(LP$25,1)&amp;LP$7,IF(LP$7=Stammdaten!$V$1,LEFT(LO$25,1)&amp;LP$7,""))</f>
        <v/>
      </c>
      <c r="LQ12" s="97" t="str">
        <f>IF(LQ$7=Stammdaten!$W$1,LEFT(LQ$25,1)&amp;LQ$7,IF(LQ$7=Stammdaten!$V$1,LEFT(LP$25,1)&amp;LQ$7,""))</f>
        <v/>
      </c>
      <c r="LR12" s="97" t="str">
        <f>IF(LR$7=Stammdaten!$W$1,LEFT(LR$25,1)&amp;LR$7,IF(LR$7=Stammdaten!$V$1,LEFT(LQ$25,1)&amp;LR$7,""))</f>
        <v/>
      </c>
      <c r="LS12" s="97" t="str">
        <f>IF(LS$7=Stammdaten!$W$1,LEFT(LS$25,1)&amp;LS$7,IF(LS$7=Stammdaten!$V$1,LEFT(LR$25,1)&amp;LS$7,""))</f>
        <v/>
      </c>
      <c r="LT12" s="97" t="str">
        <f>IF(LT$7=Stammdaten!$W$1,LEFT(LT$25,1)&amp;LT$7,IF(LT$7=Stammdaten!$V$1,LEFT(LS$25,1)&amp;LT$7,""))</f>
        <v/>
      </c>
      <c r="LU12" s="97" t="str">
        <f>IF(LU$7=Stammdaten!$W$1,LEFT(LU$25,1)&amp;LU$7,IF(LU$7=Stammdaten!$V$1,LEFT(LT$25,1)&amp;LU$7,""))</f>
        <v/>
      </c>
      <c r="LV12" s="97" t="str">
        <f>IF(LV$7=Stammdaten!$W$1,LEFT(LV$25,1)&amp;LV$7,IF(LV$7=Stammdaten!$V$1,LEFT(LU$25,1)&amp;LV$7,""))</f>
        <v/>
      </c>
      <c r="LW12" s="97" t="str">
        <f>IF(LW$7=Stammdaten!$W$1,LEFT(LW$25,1)&amp;LW$7,IF(LW$7=Stammdaten!$V$1,LEFT(LV$25,1)&amp;LW$7,""))</f>
        <v/>
      </c>
      <c r="LX12" s="97" t="str">
        <f>IF(LX$7=Stammdaten!$W$1,LEFT(LX$25,1)&amp;LX$7,IF(LX$7=Stammdaten!$V$1,LEFT(LW$25,1)&amp;LX$7,""))</f>
        <v/>
      </c>
      <c r="LY12" s="97" t="str">
        <f>IF(LY$7=Stammdaten!$W$1,LEFT(LY$25,1)&amp;LY$7,IF(LY$7=Stammdaten!$V$1,LEFT(LX$25,1)&amp;LY$7,""))</f>
        <v/>
      </c>
      <c r="LZ12" s="97" t="str">
        <f>IF(LZ$7=Stammdaten!$W$1,LEFT(LZ$25,1)&amp;LZ$7,IF(LZ$7=Stammdaten!$V$1,LEFT(LY$25,1)&amp;LZ$7,""))</f>
        <v/>
      </c>
      <c r="MA12" s="97" t="str">
        <f>IF(MA$7=Stammdaten!$W$1,LEFT(MA$25,1)&amp;MA$7,IF(MA$7=Stammdaten!$V$1,LEFT(LZ$25,1)&amp;MA$7,""))</f>
        <v/>
      </c>
      <c r="MB12" s="97" t="str">
        <f>IF(MB$7=Stammdaten!$W$1,LEFT(MB$25,1)&amp;MB$7,IF(MB$7=Stammdaten!$V$1,LEFT(MA$25,1)&amp;MB$7,""))</f>
        <v/>
      </c>
      <c r="MC12" s="97" t="str">
        <f>IF(MC$7=Stammdaten!$W$1,LEFT(MC$25,1)&amp;MC$7,IF(MC$7=Stammdaten!$V$1,LEFT(MB$25,1)&amp;MC$7,""))</f>
        <v/>
      </c>
      <c r="MD12" s="97" t="str">
        <f>IF(MD$7=Stammdaten!$W$1,LEFT(MD$25,1)&amp;MD$7,IF(MD$7=Stammdaten!$V$1,LEFT(MC$25,1)&amp;MD$7,""))</f>
        <v/>
      </c>
      <c r="ME12" s="97" t="str">
        <f>IF(ME$7=Stammdaten!$W$1,LEFT(ME$25,1)&amp;ME$7,IF(ME$7=Stammdaten!$V$1,LEFT(MD$25,1)&amp;ME$7,""))</f>
        <v/>
      </c>
      <c r="MF12" s="97" t="str">
        <f>IF(MF$7=Stammdaten!$W$1,LEFT(MF$25,1)&amp;MF$7,IF(MF$7=Stammdaten!$V$1,LEFT(ME$25,1)&amp;MF$7,""))</f>
        <v/>
      </c>
      <c r="MG12" s="97" t="str">
        <f>IF(MG$7=Stammdaten!$W$1,LEFT(MG$25,1)&amp;MG$7,IF(MG$7=Stammdaten!$V$1,LEFT(MF$25,1)&amp;MG$7,""))</f>
        <v/>
      </c>
      <c r="MH12" s="97" t="str">
        <f>IF(MH$7=Stammdaten!$W$1,LEFT(MH$25,1)&amp;MH$7,IF(MH$7=Stammdaten!$V$1,LEFT(MG$25,1)&amp;MH$7,""))</f>
        <v/>
      </c>
      <c r="MI12" s="97" t="str">
        <f>IF(MI$7=Stammdaten!$W$1,LEFT(MI$25,1)&amp;MI$7,IF(MI$7=Stammdaten!$V$1,LEFT(MH$25,1)&amp;MI$7,""))</f>
        <v/>
      </c>
      <c r="MJ12" s="97" t="str">
        <f>IF(MJ$7=Stammdaten!$W$1,LEFT(MJ$25,1)&amp;MJ$7,IF(MJ$7=Stammdaten!$V$1,LEFT(MI$25,1)&amp;MJ$7,""))</f>
        <v/>
      </c>
      <c r="MK12" s="97" t="str">
        <f>IF(MK$7=Stammdaten!$W$1,LEFT(MK$25,1)&amp;MK$7,IF(MK$7=Stammdaten!$V$1,LEFT(MJ$25,1)&amp;MK$7,""))</f>
        <v/>
      </c>
      <c r="ML12" s="97" t="str">
        <f>IF(ML$7=Stammdaten!$W$1,LEFT(ML$25,1)&amp;ML$7,IF(ML$7=Stammdaten!$V$1,LEFT(MK$25,1)&amp;ML$7,""))</f>
        <v/>
      </c>
      <c r="MM12" s="97" t="str">
        <f>IF(MM$7=Stammdaten!$W$1,LEFT(MM$25,1)&amp;MM$7,IF(MM$7=Stammdaten!$V$1,LEFT(ML$25,1)&amp;MM$7,""))</f>
        <v/>
      </c>
      <c r="MN12" s="97" t="str">
        <f>IF(MN$7=Stammdaten!$W$1,LEFT(MN$25,1)&amp;MN$7,IF(MN$7=Stammdaten!$V$1,LEFT(MM$25,1)&amp;MN$7,""))</f>
        <v/>
      </c>
      <c r="MO12" s="97" t="str">
        <f>IF(MO$7=Stammdaten!$W$1,LEFT(MO$25,1)&amp;MO$7,IF(MO$7=Stammdaten!$V$1,LEFT(MN$25,1)&amp;MO$7,""))</f>
        <v/>
      </c>
      <c r="MP12" s="97" t="str">
        <f>IF(MP$7=Stammdaten!$W$1,LEFT(MP$25,1)&amp;MP$7,IF(MP$7=Stammdaten!$V$1,LEFT(MO$25,1)&amp;MP$7,""))</f>
        <v/>
      </c>
      <c r="MQ12" s="97" t="str">
        <f>IF(MQ$7=Stammdaten!$W$1,LEFT(MQ$25,1)&amp;MQ$7,IF(MQ$7=Stammdaten!$V$1,LEFT(MP$25,1)&amp;MQ$7,""))</f>
        <v/>
      </c>
      <c r="MR12" s="97" t="str">
        <f>IF(MR$7=Stammdaten!$W$1,LEFT(MR$25,1)&amp;MR$7,IF(MR$7=Stammdaten!$V$1,LEFT(MQ$25,1)&amp;MR$7,""))</f>
        <v/>
      </c>
      <c r="MS12" s="97" t="str">
        <f>IF(MS$7=Stammdaten!$W$1,LEFT(MS$25,1)&amp;MS$7,IF(MS$7=Stammdaten!$V$1,LEFT(MR$25,1)&amp;MS$7,""))</f>
        <v/>
      </c>
      <c r="MT12" s="97" t="str">
        <f>IF(MT$7=Stammdaten!$W$1,LEFT(MT$25,1)&amp;MT$7,IF(MT$7=Stammdaten!$V$1,LEFT(MS$25,1)&amp;MT$7,""))</f>
        <v/>
      </c>
      <c r="MU12" s="97" t="str">
        <f>IF(MU$7=Stammdaten!$W$1,LEFT(MU$25,1)&amp;MU$7,IF(MU$7=Stammdaten!$V$1,LEFT(MT$25,1)&amp;MU$7,""))</f>
        <v/>
      </c>
      <c r="MV12" s="97" t="str">
        <f>IF(MV$7=Stammdaten!$W$1,LEFT(MV$25,1)&amp;MV$7,IF(MV$7=Stammdaten!$V$1,LEFT(MU$25,1)&amp;MV$7,""))</f>
        <v/>
      </c>
      <c r="MW12" s="97" t="str">
        <f>IF(MW$7=Stammdaten!$W$1,LEFT(MW$25,1)&amp;MW$7,IF(MW$7=Stammdaten!$V$1,LEFT(MV$25,1)&amp;MW$7,""))</f>
        <v/>
      </c>
      <c r="MX12" s="97" t="str">
        <f>IF(MX$7=Stammdaten!$W$1,LEFT(MX$25,1)&amp;MX$7,IF(MX$7=Stammdaten!$V$1,LEFT(MW$25,1)&amp;MX$7,""))</f>
        <v/>
      </c>
      <c r="MY12" s="97" t="str">
        <f>IF(MY$7=Stammdaten!$W$1,LEFT(MY$25,1)&amp;MY$7,IF(MY$7=Stammdaten!$V$1,LEFT(MX$25,1)&amp;MY$7,""))</f>
        <v/>
      </c>
      <c r="MZ12" s="97" t="str">
        <f>IF(MZ$7=Stammdaten!$W$1,LEFT(MZ$25,1)&amp;MZ$7,IF(MZ$7=Stammdaten!$V$1,LEFT(MY$25,1)&amp;MZ$7,""))</f>
        <v/>
      </c>
      <c r="NA12" s="97" t="str">
        <f>IF(NA$7=Stammdaten!$W$1,LEFT(NA$25,1)&amp;NA$7,IF(NA$7=Stammdaten!$V$1,LEFT(MZ$25,1)&amp;NA$7,""))</f>
        <v/>
      </c>
      <c r="NB12" s="97" t="str">
        <f>IF(NB$7=Stammdaten!$W$1,LEFT(NB$25,1)&amp;NB$7,IF(NB$7=Stammdaten!$V$1,LEFT(NA$25,1)&amp;NB$7,""))</f>
        <v/>
      </c>
      <c r="NC12" s="97" t="str">
        <f>IF(NC$7=Stammdaten!$W$1,LEFT(NC$25,1)&amp;NC$7,IF(NC$7=Stammdaten!$V$1,LEFT(NB$25,1)&amp;NC$7,""))</f>
        <v/>
      </c>
      <c r="ND12" s="97" t="str">
        <f>IF(ND$7=Stammdaten!$W$1,LEFT(ND$25,1)&amp;ND$7,IF(ND$7=Stammdaten!$V$1,LEFT(NC$25,1)&amp;ND$7,""))</f>
        <v/>
      </c>
      <c r="NE12" s="97" t="str">
        <f>IF(NE$7=Stammdaten!$W$1,LEFT(NE$25,1)&amp;NE$7,IF(NE$7=Stammdaten!$V$1,LEFT(ND$25,1)&amp;NE$7,""))</f>
        <v/>
      </c>
      <c r="NF12" s="97" t="str">
        <f>IF(NF$7=Stammdaten!$W$1,LEFT(NF$25,1)&amp;NF$7,IF(NF$7=Stammdaten!$V$1,LEFT(NE$25,1)&amp;NF$7,""))</f>
        <v/>
      </c>
      <c r="NG12" s="97" t="str">
        <f>IF(NG$7=Stammdaten!$W$1,LEFT(NG$25,1)&amp;NG$7,IF(NG$7=Stammdaten!$V$1,LEFT(NF$25,1)&amp;NG$7,""))</f>
        <v>2Ein</v>
      </c>
      <c r="NH12" s="97" t="str">
        <f>IF(NH$7=Stammdaten!$W$1,LEFT(NH$25,1)&amp;NH$7,IF(NH$7=Stammdaten!$V$1,LEFT(NG$25,1)&amp;NH$7,""))</f>
        <v>2Res</v>
      </c>
      <c r="NI12" s="97" t="str">
        <f>IF(NI$7=Stammdaten!$W$1,LEFT(NI$25,1)&amp;NI$7,IF(NI$7=Stammdaten!$V$1,LEFT(NH$25,1)&amp;NI$7,""))</f>
        <v/>
      </c>
      <c r="NJ12" s="97" t="str">
        <f>IF(NJ$7=Stammdaten!$W$1,LEFT(NJ$25,1)&amp;NJ$7,IF(NJ$7=Stammdaten!$V$1,LEFT(NI$25,1)&amp;NJ$7,""))</f>
        <v/>
      </c>
      <c r="NK12" s="97" t="str">
        <f>IF(NK$7=Stammdaten!$W$1,LEFT(NK$25,1)&amp;NK$7,IF(NK$7=Stammdaten!$V$1,LEFT(NJ$25,1)&amp;NK$7,""))</f>
        <v/>
      </c>
      <c r="NL12" s="97" t="str">
        <f>IF(NL$7=Stammdaten!$W$1,LEFT(NL$25,1)&amp;NL$7,IF(NL$7=Stammdaten!$V$1,LEFT(NK$25,1)&amp;NL$7,""))</f>
        <v/>
      </c>
      <c r="NM12" s="97" t="str">
        <f>IF(NM$7=Stammdaten!$W$1,LEFT(NM$25,1)&amp;NM$7,IF(NM$7=Stammdaten!$V$1,LEFT(NL$25,1)&amp;NM$7,""))</f>
        <v/>
      </c>
      <c r="NN12" s="97" t="str">
        <f>IF(NN$7=Stammdaten!$W$1,LEFT(NN$25,1)&amp;NN$7,IF(NN$7=Stammdaten!$V$1,LEFT(NM$25,1)&amp;NN$7,""))</f>
        <v/>
      </c>
      <c r="NO12" s="97" t="str">
        <f>IF(NO$7=Stammdaten!$W$1,LEFT(NO$25,1)&amp;NO$7,IF(NO$7=Stammdaten!$V$1,LEFT(NN$25,1)&amp;NO$7,""))</f>
        <v/>
      </c>
      <c r="NP12" s="97" t="str">
        <f>IF(NP$7=Stammdaten!$W$1,LEFT(NP$25,1)&amp;NP$7,IF(NP$7=Stammdaten!$V$1,LEFT(NO$25,1)&amp;NP$7,""))</f>
        <v/>
      </c>
      <c r="NQ12" s="97" t="str">
        <f>IF(NQ$7=Stammdaten!$W$1,LEFT(NQ$25,1)&amp;NQ$7,IF(NQ$7=Stammdaten!$V$1,LEFT(NP$25,1)&amp;NQ$7,""))</f>
        <v/>
      </c>
      <c r="NR12" s="97" t="str">
        <f>IF(NR$7=Stammdaten!$W$1,LEFT(NR$25,1)&amp;NR$7,IF(NR$7=Stammdaten!$V$1,LEFT(NQ$25,1)&amp;NR$7,""))</f>
        <v/>
      </c>
      <c r="NS12" s="97" t="str">
        <f>IF(NS$7=Stammdaten!$W$1,LEFT(NS$25,1)&amp;NS$7,IF(NS$7=Stammdaten!$V$1,LEFT(NR$25,1)&amp;NS$7,""))</f>
        <v/>
      </c>
      <c r="NT12" s="97" t="str">
        <f>IF(NT$7=Stammdaten!$W$1,LEFT(NT$25,1)&amp;NT$7,IF(NT$7=Stammdaten!$V$1,LEFT(NS$25,1)&amp;NT$7,""))</f>
        <v>Res</v>
      </c>
      <c r="NU12" s="97" t="str">
        <f>IF(NU$7=Stammdaten!$W$1,LEFT(NU$25,1)&amp;NU$7,IF(NU$7=Stammdaten!$V$1,LEFT(NT$25,1)&amp;NU$7,""))</f>
        <v>Res</v>
      </c>
      <c r="NV12" s="97" t="str">
        <f>IF(NV$7=Stammdaten!$W$1,LEFT(NV$25,1)&amp;NV$7,IF(NV$7=Stammdaten!$V$1,LEFT(NU$25,1)&amp;NV$7,""))</f>
        <v/>
      </c>
      <c r="NW12" s="97" t="str">
        <f>IF(NW$7=Stammdaten!$W$1,LEFT(NW$25,1)&amp;NW$7,IF(NW$7=Stammdaten!$V$1,LEFT(NV$25,1)&amp;NW$7,""))</f>
        <v/>
      </c>
      <c r="NX12" s="97" t="str">
        <f>IF(NX$7=Stammdaten!$W$1,LEFT(NX$25,1)&amp;NX$7,IF(NX$7=Stammdaten!$V$1,LEFT(NW$25,1)&amp;NX$7,""))</f>
        <v/>
      </c>
      <c r="NY12" s="97" t="str">
        <f>IF(NY$7=Stammdaten!$W$1,LEFT(NY$25,1)&amp;NY$7,IF(NY$7=Stammdaten!$V$1,LEFT(NX$25,1)&amp;NY$7,""))</f>
        <v/>
      </c>
      <c r="NZ12" s="97" t="str">
        <f>IF(NZ$7=Stammdaten!$W$1,LEFT(NZ$25,1)&amp;NZ$7,IF(NZ$7=Stammdaten!$V$1,LEFT(NY$25,1)&amp;NZ$7,""))</f>
        <v/>
      </c>
      <c r="OA12" s="97" t="str">
        <f>IF(OA$7=Stammdaten!$W$1,LEFT(OA$25,1)&amp;OA$7,IF(OA$7=Stammdaten!$V$1,LEFT(NZ$25,1)&amp;OA$7,""))</f>
        <v/>
      </c>
      <c r="OB12" s="97" t="str">
        <f>IF(OB$7=Stammdaten!$W$1,LEFT(OB$25,1)&amp;OB$7,IF(OB$7=Stammdaten!$V$1,LEFT(OA$25,1)&amp;OB$7,""))</f>
        <v/>
      </c>
      <c r="OC12" s="97" t="str">
        <f>IF(OC$7=Stammdaten!$W$1,LEFT(OC$25,1)&amp;OC$7,IF(OC$7=Stammdaten!$V$1,LEFT(OB$25,1)&amp;OC$7,""))</f>
        <v/>
      </c>
      <c r="OD12" s="97" t="str">
        <f>IF(OD$7=Stammdaten!$W$1,LEFT(OD$25,1)&amp;OD$7,IF(OD$7=Stammdaten!$V$1,LEFT(OC$25,1)&amp;OD$7,""))</f>
        <v/>
      </c>
      <c r="OE12" s="97" t="str">
        <f>IF(OE$7=Stammdaten!$W$1,LEFT(OE$25,1)&amp;OE$7,IF(OE$7=Stammdaten!$V$1,LEFT(OD$25,1)&amp;OE$7,""))</f>
        <v/>
      </c>
      <c r="OF12" s="97" t="str">
        <f>IF(OF$7=Stammdaten!$W$1,LEFT(OF$25,1)&amp;OF$7,IF(OF$7=Stammdaten!$V$1,LEFT(OE$25,1)&amp;OF$7,""))</f>
        <v/>
      </c>
      <c r="OG12" s="97" t="str">
        <f>IF(OG$7=Stammdaten!$W$1,LEFT(OG$25,1)&amp;OG$7,IF(OG$7=Stammdaten!$V$1,LEFT(OF$25,1)&amp;OG$7,""))</f>
        <v/>
      </c>
      <c r="OH12" s="97" t="str">
        <f>IF(OH$7=Stammdaten!$W$1,LEFT(OH$25,1)&amp;OH$7,IF(OH$7=Stammdaten!$V$1,LEFT(OG$25,1)&amp;OH$7,""))</f>
        <v/>
      </c>
      <c r="OI12" s="97" t="str">
        <f>IF(OI$7=Stammdaten!$W$1,LEFT(OI$25,1)&amp;OI$7,IF(OI$7=Stammdaten!$V$1,LEFT(OH$25,1)&amp;OI$7,""))</f>
        <v/>
      </c>
      <c r="OJ12" s="97" t="str">
        <f>IF(OJ$7=Stammdaten!$W$1,LEFT(OJ$25,1)&amp;OJ$7,IF(OJ$7=Stammdaten!$V$1,LEFT(OI$25,1)&amp;OJ$7,""))</f>
        <v/>
      </c>
      <c r="OK12" s="97" t="str">
        <f>IF(OK$7=Stammdaten!$W$1,LEFT(OK$25,1)&amp;OK$7,IF(OK$7=Stammdaten!$V$1,LEFT(OJ$25,1)&amp;OK$7,""))</f>
        <v/>
      </c>
      <c r="OL12" s="97" t="str">
        <f>IF(OL$7=Stammdaten!$W$1,LEFT(OL$25,1)&amp;OL$7,IF(OL$7=Stammdaten!$V$1,LEFT(OK$25,1)&amp;OL$7,""))</f>
        <v/>
      </c>
      <c r="OM12" s="97" t="str">
        <f>IF(OM$7=Stammdaten!$W$1,LEFT(OM$25,1)&amp;OM$7,IF(OM$7=Stammdaten!$V$1,LEFT(OL$25,1)&amp;OM$7,""))</f>
        <v/>
      </c>
      <c r="ON12" s="97" t="str">
        <f>IF(ON$7=Stammdaten!$W$1,LEFT(ON$25,1)&amp;ON$7,IF(ON$7=Stammdaten!$V$1,LEFT(OM$25,1)&amp;ON$7,""))</f>
        <v/>
      </c>
      <c r="OO12" s="97" t="str">
        <f>IF(OO$7=Stammdaten!$W$1,LEFT(OO$25,1)&amp;OO$7,IF(OO$7=Stammdaten!$V$1,LEFT(ON$25,1)&amp;OO$7,""))</f>
        <v/>
      </c>
      <c r="OP12" s="97" t="str">
        <f>IF(OP$7=Stammdaten!$W$1,LEFT(OP$25,1)&amp;OP$7,IF(OP$7=Stammdaten!$V$1,LEFT(OO$25,1)&amp;OP$7,""))</f>
        <v/>
      </c>
      <c r="OQ12" s="97" t="str">
        <f>IF(OQ$7=Stammdaten!$W$1,LEFT(OQ$25,1)&amp;OQ$7,IF(OQ$7=Stammdaten!$V$1,LEFT(OP$25,1)&amp;OQ$7,""))</f>
        <v/>
      </c>
      <c r="OR12" s="97" t="str">
        <f>IF(OR$7=Stammdaten!$W$1,LEFT(OR$25,1)&amp;OR$7,IF(OR$7=Stammdaten!$V$1,LEFT(OQ$25,1)&amp;OR$7,""))</f>
        <v/>
      </c>
      <c r="OS12" s="97" t="str">
        <f>IF(OS$7=Stammdaten!$W$1,LEFT(OS$25,1)&amp;OS$7,IF(OS$7=Stammdaten!$V$1,LEFT(OR$25,1)&amp;OS$7,""))</f>
        <v/>
      </c>
      <c r="OT12" s="97" t="str">
        <f>IF(OT$7=Stammdaten!$W$1,LEFT(OT$25,1)&amp;OT$7,IF(OT$7=Stammdaten!$V$1,LEFT(OS$25,1)&amp;OT$7,""))</f>
        <v/>
      </c>
      <c r="OU12" s="97" t="str">
        <f>IF(OU$7=Stammdaten!$W$1,LEFT(OU$25,1)&amp;OU$7,IF(OU$7=Stammdaten!$V$1,LEFT(OT$25,1)&amp;OU$7,""))</f>
        <v/>
      </c>
      <c r="OV12" s="97" t="str">
        <f>IF(OV$7=Stammdaten!$W$1,LEFT(OV$25,1)&amp;OV$7,IF(OV$7=Stammdaten!$V$1,LEFT(OU$25,1)&amp;OV$7,""))</f>
        <v/>
      </c>
      <c r="OW12" s="97" t="str">
        <f>IF(OW$7=Stammdaten!$W$1,LEFT(OW$25,1)&amp;OW$7,IF(OW$7=Stammdaten!$V$1,LEFT(OV$25,1)&amp;OW$7,""))</f>
        <v/>
      </c>
      <c r="OX12" s="97" t="str">
        <f>IF(OX$7=Stammdaten!$W$1,LEFT(OX$25,1)&amp;OX$7,IF(OX$7=Stammdaten!$V$1,LEFT(OW$25,1)&amp;OX$7,""))</f>
        <v/>
      </c>
      <c r="OY12" s="97" t="str">
        <f>IF(OY$7=Stammdaten!$W$1,LEFT(OY$25,1)&amp;OY$7,IF(OY$7=Stammdaten!$V$1,LEFT(OX$25,1)&amp;OY$7,""))</f>
        <v/>
      </c>
      <c r="OZ12" s="97" t="str">
        <f>IF(OZ$7=Stammdaten!$W$1,LEFT(OZ$25,1)&amp;OZ$7,IF(OZ$7=Stammdaten!$V$1,LEFT(OY$25,1)&amp;OZ$7,""))</f>
        <v/>
      </c>
      <c r="PA12" s="97" t="str">
        <f>IF(PA$7=Stammdaten!$W$1,LEFT(PA$25,1)&amp;PA$7,IF(PA$7=Stammdaten!$V$1,LEFT(OZ$25,1)&amp;PA$7,""))</f>
        <v/>
      </c>
      <c r="PB12" s="97" t="str">
        <f>IF(PB$7=Stammdaten!$W$1,LEFT(PB$25,1)&amp;PB$7,IF(PB$7=Stammdaten!$V$1,LEFT(PA$25,1)&amp;PB$7,""))</f>
        <v/>
      </c>
      <c r="PC12" s="97" t="str">
        <f>IF(PC$7=Stammdaten!$W$1,LEFT(PC$25,1)&amp;PC$7,IF(PC$7=Stammdaten!$V$1,LEFT(PB$25,1)&amp;PC$7,""))</f>
        <v>2Ein</v>
      </c>
      <c r="PD12" s="97" t="str">
        <f>IF(PD$7=Stammdaten!$W$1,LEFT(PD$25,1)&amp;PD$7,IF(PD$7=Stammdaten!$V$1,LEFT(PC$25,1)&amp;PD$7,""))</f>
        <v>2Res</v>
      </c>
      <c r="PE12" s="97" t="str">
        <f>IF(PE$7=Stammdaten!$W$1,LEFT(PE$25,1)&amp;PE$7,IF(PE$7=Stammdaten!$V$1,LEFT(PD$25,1)&amp;PE$7,""))</f>
        <v/>
      </c>
      <c r="PF12" s="97" t="str">
        <f>IF(PF$7=Stammdaten!$W$1,LEFT(PF$25,1)&amp;PF$7,IF(PF$7=Stammdaten!$V$1,LEFT(PE$25,1)&amp;PF$7,""))</f>
        <v/>
      </c>
      <c r="PG12" s="97" t="str">
        <f>IF(PG$7=Stammdaten!$W$1,LEFT(PG$25,1)&amp;PG$7,IF(PG$7=Stammdaten!$V$1,LEFT(PF$25,1)&amp;PG$7,""))</f>
        <v/>
      </c>
      <c r="PH12" s="97" t="str">
        <f>IF(PH$7=Stammdaten!$W$1,LEFT(PH$25,1)&amp;PH$7,IF(PH$7=Stammdaten!$V$1,LEFT(PG$25,1)&amp;PH$7,""))</f>
        <v/>
      </c>
      <c r="PI12" s="97" t="str">
        <f>IF(PI$7=Stammdaten!$W$1,LEFT(PI$25,1)&amp;PI$7,IF(PI$7=Stammdaten!$V$1,LEFT(PH$25,1)&amp;PI$7,""))</f>
        <v/>
      </c>
      <c r="PJ12" s="97" t="str">
        <f>IF(PJ$7=Stammdaten!$W$1,LEFT(PJ$25,1)&amp;PJ$7,IF(PJ$7=Stammdaten!$V$1,LEFT(PI$25,1)&amp;PJ$7,""))</f>
        <v/>
      </c>
      <c r="PK12" s="97" t="str">
        <f>IF(PK$7=Stammdaten!$W$1,LEFT(PK$25,1)&amp;PK$7,IF(PK$7=Stammdaten!$V$1,LEFT(PJ$25,1)&amp;PK$7,""))</f>
        <v/>
      </c>
      <c r="PL12" s="97" t="str">
        <f>IF(PL$7=Stammdaten!$W$1,LEFT(PL$25,1)&amp;PL$7,IF(PL$7=Stammdaten!$V$1,LEFT(PK$25,1)&amp;PL$7,""))</f>
        <v/>
      </c>
      <c r="PM12" s="97" t="str">
        <f>IF(PM$7=Stammdaten!$W$1,LEFT(PM$25,1)&amp;PM$7,IF(PM$7=Stammdaten!$V$1,LEFT(PL$25,1)&amp;PM$7,""))</f>
        <v/>
      </c>
      <c r="PN12" s="97" t="str">
        <f>IF(PN$7=Stammdaten!$W$1,LEFT(PN$25,1)&amp;PN$7,IF(PN$7=Stammdaten!$V$1,LEFT(PM$25,1)&amp;PN$7,""))</f>
        <v/>
      </c>
      <c r="PO12" s="97" t="str">
        <f>IF(PO$7=Stammdaten!$W$1,LEFT(PO$25,1)&amp;PO$7,IF(PO$7=Stammdaten!$V$1,LEFT(PN$25,1)&amp;PO$7,""))</f>
        <v>2Ein</v>
      </c>
      <c r="PP12" s="97" t="str">
        <f>IF(PP$7=Stammdaten!$W$1,LEFT(PP$25,1)&amp;PP$7,IF(PP$7=Stammdaten!$V$1,LEFT(PO$25,1)&amp;PP$7,""))</f>
        <v>2Res</v>
      </c>
      <c r="PQ12" s="97" t="str">
        <f>IF(PQ$7=Stammdaten!$W$1,LEFT(PQ$25,1)&amp;PQ$7,IF(PQ$7=Stammdaten!$V$1,LEFT(PP$25,1)&amp;PQ$7,""))</f>
        <v/>
      </c>
      <c r="PR12" s="97" t="str">
        <f>IF(PR$7=Stammdaten!$W$1,LEFT(PR$25,1)&amp;PR$7,IF(PR$7=Stammdaten!$V$1,LEFT(PQ$25,1)&amp;PR$7,""))</f>
        <v/>
      </c>
      <c r="PS12" s="97" t="str">
        <f>IF(PS$7=Stammdaten!$W$1,LEFT(PS$25,1)&amp;PS$7,IF(PS$7=Stammdaten!$V$1,LEFT(PR$25,1)&amp;PS$7,""))</f>
        <v/>
      </c>
      <c r="PT12" s="97" t="str">
        <f>IF(PT$7=Stammdaten!$W$1,LEFT(PT$25,1)&amp;PT$7,IF(PT$7=Stammdaten!$V$1,LEFT(PS$25,1)&amp;PT$7,""))</f>
        <v/>
      </c>
      <c r="PU12" s="97" t="str">
        <f>IF(PU$7=Stammdaten!$W$1,LEFT(PU$25,1)&amp;PU$7,IF(PU$7=Stammdaten!$V$1,LEFT(PT$25,1)&amp;PU$7,""))</f>
        <v/>
      </c>
      <c r="PV12" s="97" t="str">
        <f>IF(PV$7=Stammdaten!$W$1,LEFT(PV$25,1)&amp;PV$7,IF(PV$7=Stammdaten!$V$1,LEFT(PU$25,1)&amp;PV$7,""))</f>
        <v/>
      </c>
      <c r="PW12" s="97" t="str">
        <f>IF(PW$7=Stammdaten!$W$1,LEFT(PW$25,1)&amp;PW$7,IF(PW$7=Stammdaten!$V$1,LEFT(PV$25,1)&amp;PW$7,""))</f>
        <v/>
      </c>
      <c r="PX12" s="97" t="str">
        <f>IF(PX$7=Stammdaten!$W$1,LEFT(PX$25,1)&amp;PX$7,IF(PX$7=Stammdaten!$V$1,LEFT(PW$25,1)&amp;PX$7,""))</f>
        <v/>
      </c>
      <c r="PY12" s="97" t="str">
        <f>IF(PY$7=Stammdaten!$W$1,LEFT(PY$25,1)&amp;PY$7,IF(PY$7=Stammdaten!$V$1,LEFT(PX$25,1)&amp;PY$7,""))</f>
        <v/>
      </c>
      <c r="PZ12" s="97" t="str">
        <f>IF(PZ$7=Stammdaten!$W$1,LEFT(PZ$25,1)&amp;PZ$7,IF(PZ$7=Stammdaten!$V$1,LEFT(PY$25,1)&amp;PZ$7,""))</f>
        <v/>
      </c>
      <c r="QA12" s="97" t="str">
        <f>IF(QA$7=Stammdaten!$W$1,LEFT(QA$25,1)&amp;QA$7,IF(QA$7=Stammdaten!$V$1,LEFT(PZ$25,1)&amp;QA$7,""))</f>
        <v/>
      </c>
      <c r="QB12" s="97" t="str">
        <f>IF(QB$7=Stammdaten!$W$1,LEFT(QB$25,1)&amp;QB$7,IF(QB$7=Stammdaten!$V$1,LEFT(QA$25,1)&amp;QB$7,""))</f>
        <v>2Ein</v>
      </c>
      <c r="QC12" s="97" t="str">
        <f>IF(QC$7=Stammdaten!$W$1,LEFT(QC$25,1)&amp;QC$7,IF(QC$7=Stammdaten!$V$1,LEFT(QB$25,1)&amp;QC$7,""))</f>
        <v>2Res</v>
      </c>
      <c r="QD12" s="97" t="str">
        <f>IF(QD$7=Stammdaten!$W$1,LEFT(QD$25,1)&amp;QD$7,IF(QD$7=Stammdaten!$V$1,LEFT(QC$25,1)&amp;QD$7,""))</f>
        <v/>
      </c>
      <c r="QE12" s="97" t="str">
        <f>IF(QE$7=Stammdaten!$W$1,LEFT(QE$25,1)&amp;QE$7,IF(QE$7=Stammdaten!$V$1,LEFT(QD$25,1)&amp;QE$7,""))</f>
        <v/>
      </c>
      <c r="QF12" s="97" t="str">
        <f>IF(QF$7=Stammdaten!$W$1,LEFT(QF$25,1)&amp;QF$7,IF(QF$7=Stammdaten!$V$1,LEFT(QE$25,1)&amp;QF$7,""))</f>
        <v/>
      </c>
      <c r="QG12" s="97" t="str">
        <f>IF(QG$7=Stammdaten!$W$1,LEFT(QG$25,1)&amp;QG$7,IF(QG$7=Stammdaten!$V$1,LEFT(QF$25,1)&amp;QG$7,""))</f>
        <v/>
      </c>
      <c r="QH12" s="97" t="str">
        <f>IF(QH$7=Stammdaten!$W$1,LEFT(QH$25,1)&amp;QH$7,IF(QH$7=Stammdaten!$V$1,LEFT(QG$25,1)&amp;QH$7,""))</f>
        <v/>
      </c>
      <c r="QI12" s="97" t="str">
        <f>IF(QI$7=Stammdaten!$W$1,LEFT(QI$25,1)&amp;QI$7,IF(QI$7=Stammdaten!$V$1,LEFT(QH$25,1)&amp;QI$7,""))</f>
        <v/>
      </c>
      <c r="QJ12" s="97" t="str">
        <f>IF(QJ$7=Stammdaten!$W$1,LEFT(QJ$25,1)&amp;QJ$7,IF(QJ$7=Stammdaten!$V$1,LEFT(QI$25,1)&amp;QJ$7,""))</f>
        <v/>
      </c>
      <c r="QK12" s="97" t="str">
        <f>IF(QK$7=Stammdaten!$W$1,LEFT(QK$25,1)&amp;QK$7,IF(QK$7=Stammdaten!$V$1,LEFT(QJ$25,1)&amp;QK$7,""))</f>
        <v/>
      </c>
      <c r="QL12" s="97" t="str">
        <f>IF(QL$7=Stammdaten!$W$1,LEFT(QL$25,1)&amp;QL$7,IF(QL$7=Stammdaten!$V$1,LEFT(QK$25,1)&amp;QL$7,""))</f>
        <v/>
      </c>
      <c r="QM12" s="97" t="str">
        <f>IF(QM$7=Stammdaten!$W$1,LEFT(QM$25,1)&amp;QM$7,IF(QM$7=Stammdaten!$V$1,LEFT(QL$25,1)&amp;QM$7,""))</f>
        <v/>
      </c>
      <c r="QN12" s="97" t="str">
        <f>IF(QN$7=Stammdaten!$W$1,LEFT(QN$25,1)&amp;QN$7,IF(QN$7=Stammdaten!$V$1,LEFT(QM$25,1)&amp;QN$7,""))</f>
        <v>Res</v>
      </c>
      <c r="QO12" s="97" t="str">
        <f>IF(QO$7=Stammdaten!$W$1,LEFT(QO$25,1)&amp;QO$7,IF(QO$7=Stammdaten!$V$1,LEFT(QN$25,1)&amp;QO$7,""))</f>
        <v>Res</v>
      </c>
      <c r="QP12" s="97" t="str">
        <f>IF(QP$7=Stammdaten!$W$1,LEFT(QP$25,1)&amp;QP$7,IF(QP$7=Stammdaten!$V$1,LEFT(QO$25,1)&amp;QP$7,""))</f>
        <v>Res</v>
      </c>
      <c r="QQ12" s="97" t="str">
        <f>IF(QQ$7=Stammdaten!$W$1,LEFT(QQ$25,1)&amp;QQ$7,IF(QQ$7=Stammdaten!$V$1,LEFT(QP$25,1)&amp;QQ$7,""))</f>
        <v/>
      </c>
      <c r="QR12" s="97" t="str">
        <f>IF(QR$7=Stammdaten!$W$1,LEFT(QR$25,1)&amp;QR$7,IF(QR$7=Stammdaten!$V$1,LEFT(QQ$25,1)&amp;QR$7,""))</f>
        <v/>
      </c>
      <c r="QS12" s="97" t="str">
        <f>IF(QS$7=Stammdaten!$W$1,LEFT(QS$25,1)&amp;QS$7,IF(QS$7=Stammdaten!$V$1,LEFT(QR$25,1)&amp;QS$7,""))</f>
        <v/>
      </c>
      <c r="QT12" s="97" t="str">
        <f>IF(QT$7=Stammdaten!$W$1,LEFT(QT$25,1)&amp;QT$7,IF(QT$7=Stammdaten!$V$1,LEFT(QS$25,1)&amp;QT$7,""))</f>
        <v/>
      </c>
      <c r="QU12" s="97" t="str">
        <f>IF(QU$7=Stammdaten!$W$1,LEFT(QU$25,1)&amp;QU$7,IF(QU$7=Stammdaten!$V$1,LEFT(QT$25,1)&amp;QU$7,""))</f>
        <v/>
      </c>
      <c r="QV12" s="97" t="str">
        <f>IF(QV$7=Stammdaten!$W$1,LEFT(QV$25,1)&amp;QV$7,IF(QV$7=Stammdaten!$V$1,LEFT(QU$25,1)&amp;QV$7,""))</f>
        <v/>
      </c>
      <c r="QW12" s="97" t="str">
        <f>IF(QW$7=Stammdaten!$W$1,LEFT(QW$25,1)&amp;QW$7,IF(QW$7=Stammdaten!$V$1,LEFT(QV$25,1)&amp;QW$7,""))</f>
        <v/>
      </c>
      <c r="QX12" s="97" t="str">
        <f>IF(QX$7=Stammdaten!$W$1,LEFT(QX$25,1)&amp;QX$7,IF(QX$7=Stammdaten!$V$1,LEFT(QW$25,1)&amp;QX$7,""))</f>
        <v/>
      </c>
      <c r="QY12" s="97" t="str">
        <f>IF(QY$7=Stammdaten!$W$1,LEFT(QY$25,1)&amp;QY$7,IF(QY$7=Stammdaten!$V$1,LEFT(QX$25,1)&amp;QY$7,""))</f>
        <v/>
      </c>
      <c r="QZ12" s="97" t="str">
        <f>IF(QZ$7=Stammdaten!$W$1,LEFT(QZ$25,1)&amp;QZ$7,IF(QZ$7=Stammdaten!$V$1,LEFT(QY$25,1)&amp;QZ$7,""))</f>
        <v/>
      </c>
      <c r="RA12" s="97" t="str">
        <f>IF(RA$7=Stammdaten!$W$1,LEFT(RA$25,1)&amp;RA$7,IF(RA$7=Stammdaten!$V$1,LEFT(QZ$25,1)&amp;RA$7,""))</f>
        <v/>
      </c>
      <c r="RB12" s="97" t="str">
        <f>IF(RB$7=Stammdaten!$W$1,LEFT(RB$25,1)&amp;RB$7,IF(RB$7=Stammdaten!$V$1,LEFT(RA$25,1)&amp;RB$7,""))</f>
        <v/>
      </c>
      <c r="RC12" s="97" t="str">
        <f>IF(RC$7=Stammdaten!$W$1,LEFT(RC$25,1)&amp;RC$7,IF(RC$7=Stammdaten!$V$1,LEFT(RB$25,1)&amp;RC$7,""))</f>
        <v/>
      </c>
      <c r="RD12" s="97" t="str">
        <f>IF(RD$7=Stammdaten!$W$1,LEFT(RD$25,1)&amp;RD$7,IF(RD$7=Stammdaten!$V$1,LEFT(RC$25,1)&amp;RD$7,""))</f>
        <v/>
      </c>
      <c r="RE12" s="97" t="str">
        <f>IF(RE$7=Stammdaten!$W$1,LEFT(RE$25,1)&amp;RE$7,IF(RE$7=Stammdaten!$V$1,LEFT(RD$25,1)&amp;RE$7,""))</f>
        <v/>
      </c>
      <c r="RF12" s="97" t="str">
        <f>IF(RF$7=Stammdaten!$W$1,LEFT(RF$25,1)&amp;RF$7,IF(RF$7=Stammdaten!$V$1,LEFT(RE$25,1)&amp;RF$7,""))</f>
        <v/>
      </c>
      <c r="RG12" s="97" t="str">
        <f>IF(RG$7=Stammdaten!$W$1,LEFT(RG$25,1)&amp;RG$7,IF(RG$7=Stammdaten!$V$1,LEFT(RF$25,1)&amp;RG$7,""))</f>
        <v/>
      </c>
      <c r="RH12" s="97" t="str">
        <f>IF(RH$7=Stammdaten!$W$1,LEFT(RH$25,1)&amp;RH$7,IF(RH$7=Stammdaten!$V$1,LEFT(RG$25,1)&amp;RH$7,""))</f>
        <v/>
      </c>
      <c r="RI12" s="97" t="str">
        <f>IF(RI$7=Stammdaten!$W$1,LEFT(RI$25,1)&amp;RI$7,IF(RI$7=Stammdaten!$V$1,LEFT(RH$25,1)&amp;RI$7,""))</f>
        <v/>
      </c>
      <c r="RJ12" s="97" t="str">
        <f>IF(RJ$7=Stammdaten!$W$1,LEFT(RJ$25,1)&amp;RJ$7,IF(RJ$7=Stammdaten!$V$1,LEFT(RI$25,1)&amp;RJ$7,""))</f>
        <v/>
      </c>
      <c r="RK12" s="97" t="str">
        <f>IF(RK$7=Stammdaten!$W$1,LEFT(RK$25,1)&amp;RK$7,IF(RK$7=Stammdaten!$V$1,LEFT(RJ$25,1)&amp;RK$7,""))</f>
        <v/>
      </c>
      <c r="RL12" s="97" t="str">
        <f>IF(RL$7=Stammdaten!$W$1,LEFT(RL$25,1)&amp;RL$7,IF(RL$7=Stammdaten!$V$1,LEFT(RK$25,1)&amp;RL$7,""))</f>
        <v/>
      </c>
      <c r="RM12" s="97" t="str">
        <f>IF(RM$7=Stammdaten!$W$1,LEFT(RM$25,1)&amp;RM$7,IF(RM$7=Stammdaten!$V$1,LEFT(RL$25,1)&amp;RM$7,""))</f>
        <v/>
      </c>
      <c r="RN12" s="97" t="str">
        <f>IF(RN$7=Stammdaten!$W$1,LEFT(RN$25,1)&amp;RN$7,IF(RN$7=Stammdaten!$V$1,LEFT(RM$25,1)&amp;RN$7,""))</f>
        <v>2Ein</v>
      </c>
      <c r="RO12" s="97" t="str">
        <f>IF(RO$7=Stammdaten!$W$1,LEFT(RO$25,1)&amp;RO$7,IF(RO$7=Stammdaten!$V$1,LEFT(RN$25,1)&amp;RO$7,""))</f>
        <v>2Res</v>
      </c>
      <c r="RP12" s="97" t="str">
        <f>IF(RP$7=Stammdaten!$W$1,LEFT(RP$25,1)&amp;RP$7,IF(RP$7=Stammdaten!$V$1,LEFT(RO$25,1)&amp;RP$7,""))</f>
        <v/>
      </c>
      <c r="RQ12" s="97" t="str">
        <f>IF(RQ$7=Stammdaten!$W$1,LEFT(RQ$25,1)&amp;RQ$7,IF(RQ$7=Stammdaten!$V$1,LEFT(RP$25,1)&amp;RQ$7,""))</f>
        <v/>
      </c>
      <c r="RR12" s="97" t="str">
        <f>IF(RR$7=Stammdaten!$W$1,LEFT(RR$25,1)&amp;RR$7,IF(RR$7=Stammdaten!$V$1,LEFT(RQ$25,1)&amp;RR$7,""))</f>
        <v/>
      </c>
      <c r="RS12" s="97" t="str">
        <f>IF(RS$7=Stammdaten!$W$1,LEFT(RS$25,1)&amp;RS$7,IF(RS$7=Stammdaten!$V$1,LEFT(RR$25,1)&amp;RS$7,""))</f>
        <v/>
      </c>
      <c r="RT12" s="97" t="str">
        <f>IF(RT$7=Stammdaten!$W$1,LEFT(RT$25,1)&amp;RT$7,IF(RT$7=Stammdaten!$V$1,LEFT(RS$25,1)&amp;RT$7,""))</f>
        <v/>
      </c>
      <c r="RU12" s="97" t="str">
        <f>IF(RU$7=Stammdaten!$W$1,LEFT(RU$25,1)&amp;RU$7,IF(RU$7=Stammdaten!$V$1,LEFT(RT$25,1)&amp;RU$7,""))</f>
        <v/>
      </c>
      <c r="RV12" s="97" t="str">
        <f>IF(RV$7=Stammdaten!$W$1,LEFT(RV$25,1)&amp;RV$7,IF(RV$7=Stammdaten!$V$1,LEFT(RU$25,1)&amp;RV$7,""))</f>
        <v/>
      </c>
      <c r="RW12" s="97" t="str">
        <f>IF(RW$7=Stammdaten!$W$1,LEFT(RW$25,1)&amp;RW$7,IF(RW$7=Stammdaten!$V$1,LEFT(RV$25,1)&amp;RW$7,""))</f>
        <v/>
      </c>
      <c r="RX12" s="97" t="str">
        <f>IF(RX$7=Stammdaten!$W$1,LEFT(RX$25,1)&amp;RX$7,IF(RX$7=Stammdaten!$V$1,LEFT(RW$25,1)&amp;RX$7,""))</f>
        <v/>
      </c>
      <c r="RY12" s="97" t="str">
        <f>IF(RY$7=Stammdaten!$W$1,LEFT(RY$25,1)&amp;RY$7,IF(RY$7=Stammdaten!$V$1,LEFT(RX$25,1)&amp;RY$7,""))</f>
        <v/>
      </c>
      <c r="RZ12" s="97" t="str">
        <f>IF(RZ$7=Stammdaten!$W$1,LEFT(RZ$25,1)&amp;RZ$7,IF(RZ$7=Stammdaten!$V$1,LEFT(RY$25,1)&amp;RZ$7,""))</f>
        <v>2Ein</v>
      </c>
      <c r="SA12" s="97" t="str">
        <f>IF(SA$7=Stammdaten!$W$1,LEFT(SA$25,1)&amp;SA$7,IF(SA$7=Stammdaten!$V$1,LEFT(RZ$25,1)&amp;SA$7,""))</f>
        <v>2Res</v>
      </c>
      <c r="SB12" s="97" t="str">
        <f>IF(SB$7=Stammdaten!$W$1,LEFT(SB$25,1)&amp;SB$7,IF(SB$7=Stammdaten!$V$1,LEFT(SA$25,1)&amp;SB$7,""))</f>
        <v/>
      </c>
      <c r="SC12" s="97" t="str">
        <f>IF(SC$7=Stammdaten!$W$1,LEFT(SC$25,1)&amp;SC$7,IF(SC$7=Stammdaten!$V$1,LEFT(SB$25,1)&amp;SC$7,""))</f>
        <v/>
      </c>
      <c r="SD12" s="97" t="str">
        <f>IF(SD$7=Stammdaten!$W$1,LEFT(SD$25,1)&amp;SD$7,IF(SD$7=Stammdaten!$V$1,LEFT(SC$25,1)&amp;SD$7,""))</f>
        <v/>
      </c>
      <c r="SE12" s="97" t="str">
        <f>IF(SE$7=Stammdaten!$W$1,LEFT(SE$25,1)&amp;SE$7,IF(SE$7=Stammdaten!$V$1,LEFT(SD$25,1)&amp;SE$7,""))</f>
        <v/>
      </c>
      <c r="SF12" s="97" t="str">
        <f>IF(SF$7=Stammdaten!$W$1,LEFT(SF$25,1)&amp;SF$7,IF(SF$7=Stammdaten!$V$1,LEFT(SE$25,1)&amp;SF$7,""))</f>
        <v/>
      </c>
      <c r="SG12" s="97" t="str">
        <f>IF(SG$7=Stammdaten!$W$1,LEFT(SG$25,1)&amp;SG$7,IF(SG$7=Stammdaten!$V$1,LEFT(SF$25,1)&amp;SG$7,""))</f>
        <v/>
      </c>
      <c r="SH12" s="97" t="str">
        <f>IF(SH$7=Stammdaten!$W$1,LEFT(SH$25,1)&amp;SH$7,IF(SH$7=Stammdaten!$V$1,LEFT(SG$25,1)&amp;SH$7,""))</f>
        <v/>
      </c>
      <c r="SI12" s="97" t="str">
        <f>IF(SI$7=Stammdaten!$W$1,LEFT(SI$25,1)&amp;SI$7,IF(SI$7=Stammdaten!$V$1,LEFT(SH$25,1)&amp;SI$7,""))</f>
        <v/>
      </c>
      <c r="SJ12" s="97" t="str">
        <f>IF(SJ$7=Stammdaten!$W$1,LEFT(SJ$25,1)&amp;SJ$7,IF(SJ$7=Stammdaten!$V$1,LEFT(SI$25,1)&amp;SJ$7,""))</f>
        <v/>
      </c>
      <c r="SK12" s="97" t="str">
        <f>IF(SK$7=Stammdaten!$W$1,LEFT(SK$25,1)&amp;SK$7,IF(SK$7=Stammdaten!$V$1,LEFT(SJ$25,1)&amp;SK$7,""))</f>
        <v/>
      </c>
      <c r="SL12" s="97" t="str">
        <f>IF(SL$7=Stammdaten!$W$1,LEFT(SL$25,1)&amp;SL$7,IF(SL$7=Stammdaten!$V$1,LEFT(SK$25,1)&amp;SL$7,""))</f>
        <v>2Ein</v>
      </c>
      <c r="SM12" s="97" t="str">
        <f>IF(SM$7=Stammdaten!$W$1,LEFT(SM$25,1)&amp;SM$7,IF(SM$7=Stammdaten!$V$1,LEFT(SL$25,1)&amp;SM$7,""))</f>
        <v>2Res</v>
      </c>
      <c r="SN12" s="97" t="str">
        <f>IF(SN$7=Stammdaten!$W$1,LEFT(SN$25,1)&amp;SN$7,IF(SN$7=Stammdaten!$V$1,LEFT(SM$25,1)&amp;SN$7,""))</f>
        <v/>
      </c>
      <c r="SO12" s="97" t="str">
        <f>IF(SO$7=Stammdaten!$W$1,LEFT(SO$25,1)&amp;SO$7,IF(SO$7=Stammdaten!$V$1,LEFT(SN$25,1)&amp;SO$7,""))</f>
        <v/>
      </c>
      <c r="SP12" s="97" t="str">
        <f>IF(SP$7=Stammdaten!$W$1,LEFT(SP$25,1)&amp;SP$7,IF(SP$7=Stammdaten!$V$1,LEFT(SO$25,1)&amp;SP$7,""))</f>
        <v/>
      </c>
      <c r="SQ12" s="97" t="str">
        <f>IF(SQ$7=Stammdaten!$W$1,LEFT(SQ$25,1)&amp;SQ$7,IF(SQ$7=Stammdaten!$V$1,LEFT(SP$25,1)&amp;SQ$7,""))</f>
        <v/>
      </c>
      <c r="SR12" s="97" t="str">
        <f>IF(SR$7=Stammdaten!$W$1,LEFT(SR$25,1)&amp;SR$7,IF(SR$7=Stammdaten!$V$1,LEFT(SQ$25,1)&amp;SR$7,""))</f>
        <v/>
      </c>
      <c r="SS12" s="97" t="str">
        <f>IF(SS$7=Stammdaten!$W$1,LEFT(SS$25,1)&amp;SS$7,IF(SS$7=Stammdaten!$V$1,LEFT(SR$25,1)&amp;SS$7,""))</f>
        <v/>
      </c>
      <c r="ST12" s="97" t="str">
        <f>IF(ST$7=Stammdaten!$W$1,LEFT(ST$25,1)&amp;ST$7,IF(ST$7=Stammdaten!$V$1,LEFT(SS$25,1)&amp;ST$7,""))</f>
        <v/>
      </c>
      <c r="SU12" s="97" t="str">
        <f>IF(SU$7=Stammdaten!$W$1,LEFT(SU$25,1)&amp;SU$7,IF(SU$7=Stammdaten!$V$1,LEFT(ST$25,1)&amp;SU$7,""))</f>
        <v/>
      </c>
      <c r="SV12" s="97" t="str">
        <f>IF(SV$7=Stammdaten!$W$1,LEFT(SV$25,1)&amp;SV$7,IF(SV$7=Stammdaten!$V$1,LEFT(SU$25,1)&amp;SV$7,""))</f>
        <v/>
      </c>
      <c r="SW12" s="97" t="str">
        <f>IF(SW$7=Stammdaten!$W$1,LEFT(SW$25,1)&amp;SW$7,IF(SW$7=Stammdaten!$V$1,LEFT(SV$25,1)&amp;SW$7,""))</f>
        <v/>
      </c>
      <c r="SX12" s="97" t="str">
        <f>IF(SX$7=Stammdaten!$W$1,LEFT(SX$25,1)&amp;SX$7,IF(SX$7=Stammdaten!$V$1,LEFT(SW$25,1)&amp;SX$7,""))</f>
        <v>2Ein</v>
      </c>
      <c r="SY12" s="97" t="str">
        <f>IF(SY$7=Stammdaten!$W$1,LEFT(SY$25,1)&amp;SY$7,IF(SY$7=Stammdaten!$V$1,LEFT(SX$25,1)&amp;SY$7,""))</f>
        <v>2Res</v>
      </c>
      <c r="SZ12" s="97" t="str">
        <f>IF(SZ$7=Stammdaten!$W$1,LEFT(SZ$25,1)&amp;SZ$7,IF(SZ$7=Stammdaten!$V$1,LEFT(SY$25,1)&amp;SZ$7,""))</f>
        <v/>
      </c>
      <c r="TA12" s="97" t="str">
        <f>IF(TA$7=Stammdaten!$W$1,LEFT(TA$25,1)&amp;TA$7,IF(TA$7=Stammdaten!$V$1,LEFT(SZ$25,1)&amp;TA$7,""))</f>
        <v/>
      </c>
      <c r="TB12" s="97" t="str">
        <f>IF(TB$7=Stammdaten!$W$1,LEFT(TB$25,1)&amp;TB$7,IF(TB$7=Stammdaten!$V$1,LEFT(TA$25,1)&amp;TB$7,""))</f>
        <v/>
      </c>
      <c r="TC12" s="97" t="str">
        <f>IF(TC$7=Stammdaten!$W$1,LEFT(TC$25,1)&amp;TC$7,IF(TC$7=Stammdaten!$V$1,LEFT(TB$25,1)&amp;TC$7,""))</f>
        <v/>
      </c>
      <c r="TD12" s="97" t="str">
        <f>IF(TD$7=Stammdaten!$W$1,LEFT(TD$25,1)&amp;TD$7,IF(TD$7=Stammdaten!$V$1,LEFT(TC$25,1)&amp;TD$7,""))</f>
        <v/>
      </c>
      <c r="TE12" s="97" t="str">
        <f>IF(TE$7=Stammdaten!$W$1,LEFT(TE$25,1)&amp;TE$7,IF(TE$7=Stammdaten!$V$1,LEFT(TD$25,1)&amp;TE$7,""))</f>
        <v/>
      </c>
      <c r="TF12" s="97" t="str">
        <f>IF(TF$7=Stammdaten!$W$1,LEFT(TF$25,1)&amp;TF$7,IF(TF$7=Stammdaten!$V$1,LEFT(TE$25,1)&amp;TF$7,""))</f>
        <v/>
      </c>
      <c r="TG12" s="97" t="str">
        <f>IF(TG$7=Stammdaten!$W$1,LEFT(TG$25,1)&amp;TG$7,IF(TG$7=Stammdaten!$V$1,LEFT(TF$25,1)&amp;TG$7,""))</f>
        <v/>
      </c>
      <c r="TH12" s="97" t="str">
        <f>IF(TH$7=Stammdaten!$W$1,LEFT(TH$25,1)&amp;TH$7,IF(TH$7=Stammdaten!$V$1,LEFT(TG$25,1)&amp;TH$7,""))</f>
        <v/>
      </c>
      <c r="TI12" s="97" t="str">
        <f>IF(TI$7=Stammdaten!$W$1,LEFT(TI$25,1)&amp;TI$7,IF(TI$7=Stammdaten!$V$1,LEFT(TH$25,1)&amp;TI$7,""))</f>
        <v/>
      </c>
      <c r="TJ12" s="97" t="str">
        <f>IF(TJ$7=Stammdaten!$W$1,LEFT(TJ$25,1)&amp;TJ$7,IF(TJ$7=Stammdaten!$V$1,LEFT(TI$25,1)&amp;TJ$7,""))</f>
        <v>2Ein</v>
      </c>
      <c r="TK12" s="97" t="str">
        <f>IF(TK$7=Stammdaten!$W$1,LEFT(TK$25,1)&amp;TK$7,IF(TK$7=Stammdaten!$V$1,LEFT(TJ$25,1)&amp;TK$7,""))</f>
        <v>2Res</v>
      </c>
      <c r="TL12" s="97" t="str">
        <f>IF(TL$7=Stammdaten!$W$1,LEFT(TL$25,1)&amp;TL$7,IF(TL$7=Stammdaten!$V$1,LEFT(TK$25,1)&amp;TL$7,""))</f>
        <v/>
      </c>
      <c r="TM12" s="97" t="str">
        <f>IF(TM$7=Stammdaten!$W$1,LEFT(TM$25,1)&amp;TM$7,IF(TM$7=Stammdaten!$V$1,LEFT(TL$25,1)&amp;TM$7,""))</f>
        <v/>
      </c>
      <c r="TN12" s="97" t="str">
        <f>IF(TN$7=Stammdaten!$W$1,LEFT(TN$25,1)&amp;TN$7,IF(TN$7=Stammdaten!$V$1,LEFT(TM$25,1)&amp;TN$7,""))</f>
        <v/>
      </c>
      <c r="TO12" s="97" t="str">
        <f>IF(TO$7=Stammdaten!$W$1,LEFT(TO$25,1)&amp;TO$7,IF(TO$7=Stammdaten!$V$1,LEFT(TN$25,1)&amp;TO$7,""))</f>
        <v/>
      </c>
      <c r="TP12" s="97" t="str">
        <f>IF(TP$7=Stammdaten!$W$1,LEFT(TP$25,1)&amp;TP$7,IF(TP$7=Stammdaten!$V$1,LEFT(TO$25,1)&amp;TP$7,""))</f>
        <v/>
      </c>
      <c r="TQ12" s="97" t="str">
        <f>IF(TQ$7=Stammdaten!$W$1,LEFT(TQ$25,1)&amp;TQ$7,IF(TQ$7=Stammdaten!$V$1,LEFT(TP$25,1)&amp;TQ$7,""))</f>
        <v/>
      </c>
      <c r="TR12" s="97" t="str">
        <f>IF(TR$7=Stammdaten!$W$1,LEFT(TR$25,1)&amp;TR$7,IF(TR$7=Stammdaten!$V$1,LEFT(TQ$25,1)&amp;TR$7,""))</f>
        <v/>
      </c>
      <c r="TS12" s="97" t="str">
        <f>IF(TS$7=Stammdaten!$W$1,LEFT(TS$25,1)&amp;TS$7,IF(TS$7=Stammdaten!$V$1,LEFT(TR$25,1)&amp;TS$7,""))</f>
        <v/>
      </c>
      <c r="TT12" s="97" t="str">
        <f>IF(TT$7=Stammdaten!$W$1,LEFT(TT$25,1)&amp;TT$7,IF(TT$7=Stammdaten!$V$1,LEFT(TS$25,1)&amp;TT$7,""))</f>
        <v/>
      </c>
      <c r="TU12" s="97" t="str">
        <f>IF(TU$7=Stammdaten!$W$1,LEFT(TU$25,1)&amp;TU$7,IF(TU$7=Stammdaten!$V$1,LEFT(TT$25,1)&amp;TU$7,""))</f>
        <v/>
      </c>
      <c r="TV12" s="97" t="str">
        <f>IF(TV$7=Stammdaten!$W$1,LEFT(TV$25,1)&amp;TV$7,IF(TV$7=Stammdaten!$V$1,LEFT(TU$25,1)&amp;TV$7,""))</f>
        <v/>
      </c>
      <c r="TW12" s="97" t="str">
        <f>IF(TW$7=Stammdaten!$W$1,LEFT(TW$25,1)&amp;TW$7,IF(TW$7=Stammdaten!$V$1,LEFT(TV$25,1)&amp;TW$7,""))</f>
        <v/>
      </c>
      <c r="TX12" s="97" t="str">
        <f>IF(TX$7=Stammdaten!$W$1,LEFT(TX$25,1)&amp;TX$7,IF(TX$7=Stammdaten!$V$1,LEFT(TW$25,1)&amp;TX$7,""))</f>
        <v/>
      </c>
      <c r="TY12" s="97" t="str">
        <f>IF(TY$7=Stammdaten!$W$1,LEFT(TY$25,1)&amp;TY$7,IF(TY$7=Stammdaten!$V$1,LEFT(TX$25,1)&amp;TY$7,""))</f>
        <v/>
      </c>
      <c r="TZ12" s="97" t="str">
        <f>IF(TZ$7=Stammdaten!$W$1,LEFT(TZ$25,1)&amp;TZ$7,IF(TZ$7=Stammdaten!$V$1,LEFT(TY$25,1)&amp;TZ$7,""))</f>
        <v/>
      </c>
      <c r="UA12" s="97" t="str">
        <f>IF(UA$7=Stammdaten!$W$1,LEFT(UA$25,1)&amp;UA$7,IF(UA$7=Stammdaten!$V$1,LEFT(TZ$25,1)&amp;UA$7,""))</f>
        <v/>
      </c>
      <c r="UB12" s="97" t="str">
        <f>IF(UB$7=Stammdaten!$W$1,LEFT(UB$25,1)&amp;UB$7,IF(UB$7=Stammdaten!$V$1,LEFT(UA$25,1)&amp;UB$7,""))</f>
        <v/>
      </c>
      <c r="UC12" s="97" t="str">
        <f>IF(UC$7=Stammdaten!$W$1,LEFT(UC$25,1)&amp;UC$7,IF(UC$7=Stammdaten!$V$1,LEFT(UB$25,1)&amp;UC$7,""))</f>
        <v/>
      </c>
      <c r="UD12" s="97" t="str">
        <f>IF(UD$7=Stammdaten!$W$1,LEFT(UD$25,1)&amp;UD$7,IF(UD$7=Stammdaten!$V$1,LEFT(UC$25,1)&amp;UD$7,""))</f>
        <v/>
      </c>
      <c r="UE12" s="97" t="str">
        <f>IF(UE$7=Stammdaten!$W$1,LEFT(UE$25,1)&amp;UE$7,IF(UE$7=Stammdaten!$V$1,LEFT(UD$25,1)&amp;UE$7,""))</f>
        <v/>
      </c>
      <c r="UF12" s="97" t="str">
        <f>IF(UF$7=Stammdaten!$W$1,LEFT(UF$25,1)&amp;UF$7,IF(UF$7=Stammdaten!$V$1,LEFT(UE$25,1)&amp;UF$7,""))</f>
        <v/>
      </c>
      <c r="UG12" s="97" t="str">
        <f>IF(UG$7=Stammdaten!$W$1,LEFT(UG$25,1)&amp;UG$7,IF(UG$7=Stammdaten!$V$1,LEFT(UF$25,1)&amp;UG$7,""))</f>
        <v/>
      </c>
      <c r="UH12" s="97" t="str">
        <f>IF(UH$7=Stammdaten!$W$1,LEFT(UH$25,1)&amp;UH$7,IF(UH$7=Stammdaten!$V$1,LEFT(UG$25,1)&amp;UH$7,""))</f>
        <v/>
      </c>
      <c r="UI12" s="97" t="str">
        <f>IF(UI$7=Stammdaten!$W$1,LEFT(UI$25,1)&amp;UI$7,IF(UI$7=Stammdaten!$V$1,LEFT(UH$25,1)&amp;UI$7,""))</f>
        <v/>
      </c>
      <c r="UJ12" s="97" t="str">
        <f>IF(UJ$7=Stammdaten!$W$1,LEFT(UJ$25,1)&amp;UJ$7,IF(UJ$7=Stammdaten!$V$1,LEFT(UI$25,1)&amp;UJ$7,""))</f>
        <v/>
      </c>
      <c r="UK12" s="97" t="str">
        <f>IF(UK$7=Stammdaten!$W$1,LEFT(UK$25,1)&amp;UK$7,IF(UK$7=Stammdaten!$V$1,LEFT(UJ$25,1)&amp;UK$7,""))</f>
        <v/>
      </c>
      <c r="UL12" s="97" t="str">
        <f>IF(UL$7=Stammdaten!$W$1,LEFT(UL$25,1)&amp;UL$7,IF(UL$7=Stammdaten!$V$1,LEFT(UK$25,1)&amp;UL$7,""))</f>
        <v/>
      </c>
      <c r="UM12" s="97" t="str">
        <f>IF(UM$7=Stammdaten!$W$1,LEFT(UM$25,1)&amp;UM$7,IF(UM$7=Stammdaten!$V$1,LEFT(UL$25,1)&amp;UM$7,""))</f>
        <v/>
      </c>
      <c r="UN12" s="97" t="str">
        <f>IF(UN$7=Stammdaten!$W$1,LEFT(UN$25,1)&amp;UN$7,IF(UN$7=Stammdaten!$V$1,LEFT(UM$25,1)&amp;UN$7,""))</f>
        <v/>
      </c>
      <c r="UO12" s="97" t="str">
        <f>IF(UO$7=Stammdaten!$W$1,LEFT(UO$25,1)&amp;UO$7,IF(UO$7=Stammdaten!$V$1,LEFT(UN$25,1)&amp;UO$7,""))</f>
        <v/>
      </c>
      <c r="UP12" s="97" t="str">
        <f>IF(UP$7=Stammdaten!$W$1,LEFT(UP$25,1)&amp;UP$7,IF(UP$7=Stammdaten!$V$1,LEFT(UO$25,1)&amp;UP$7,""))</f>
        <v/>
      </c>
      <c r="UQ12" s="97" t="str">
        <f>IF(UQ$7=Stammdaten!$W$1,LEFT(UQ$25,1)&amp;UQ$7,IF(UQ$7=Stammdaten!$V$1,LEFT(UP$25,1)&amp;UQ$7,""))</f>
        <v/>
      </c>
      <c r="UR12" s="97" t="str">
        <f>IF(UR$7=Stammdaten!$W$1,LEFT(UR$25,1)&amp;UR$7,IF(UR$7=Stammdaten!$V$1,LEFT(UQ$25,1)&amp;UR$7,""))</f>
        <v/>
      </c>
      <c r="US12" s="97" t="str">
        <f>IF(US$7=Stammdaten!$W$1,LEFT(US$25,1)&amp;US$7,IF(US$7=Stammdaten!$V$1,LEFT(UR$25,1)&amp;US$7,""))</f>
        <v/>
      </c>
      <c r="UT12" s="97" t="str">
        <f>IF(UT$7=Stammdaten!$W$1,LEFT(UT$25,1)&amp;UT$7,IF(UT$7=Stammdaten!$V$1,LEFT(US$25,1)&amp;UT$7,""))</f>
        <v/>
      </c>
      <c r="UU12" s="97" t="str">
        <f>IF(UU$7=Stammdaten!$W$1,LEFT(UU$25,1)&amp;UU$7,IF(UU$7=Stammdaten!$V$1,LEFT(UT$25,1)&amp;UU$7,""))</f>
        <v/>
      </c>
      <c r="UV12" s="97" t="str">
        <f>IF(UV$7=Stammdaten!$W$1,LEFT(UV$25,1)&amp;UV$7,IF(UV$7=Stammdaten!$V$1,LEFT(UU$25,1)&amp;UV$7,""))</f>
        <v/>
      </c>
      <c r="UW12" s="97" t="str">
        <f>IF(UW$7=Stammdaten!$W$1,LEFT(UW$25,1)&amp;UW$7,IF(UW$7=Stammdaten!$V$1,LEFT(UV$25,1)&amp;UW$7,""))</f>
        <v/>
      </c>
      <c r="UX12" s="97" t="str">
        <f>IF(UX$7=Stammdaten!$W$1,LEFT(UX$25,1)&amp;UX$7,IF(UX$7=Stammdaten!$V$1,LEFT(UW$25,1)&amp;UX$7,""))</f>
        <v/>
      </c>
      <c r="UY12" s="97" t="str">
        <f>IF(UY$7=Stammdaten!$W$1,LEFT(UY$25,1)&amp;UY$7,IF(UY$7=Stammdaten!$V$1,LEFT(UX$25,1)&amp;UY$7,""))</f>
        <v/>
      </c>
      <c r="UZ12" s="97" t="str">
        <f>IF(UZ$7=Stammdaten!$W$1,LEFT(UZ$25,1)&amp;UZ$7,IF(UZ$7=Stammdaten!$V$1,LEFT(UY$25,1)&amp;UZ$7,""))</f>
        <v/>
      </c>
      <c r="VA12" s="97" t="str">
        <f>IF(VA$7=Stammdaten!$W$1,LEFT(VA$25,1)&amp;VA$7,IF(VA$7=Stammdaten!$V$1,LEFT(UZ$25,1)&amp;VA$7,""))</f>
        <v/>
      </c>
      <c r="VB12" s="97" t="str">
        <f>IF(VB$7=Stammdaten!$W$1,LEFT(VB$25,1)&amp;VB$7,IF(VB$7=Stammdaten!$V$1,LEFT(VA$25,1)&amp;VB$7,""))</f>
        <v/>
      </c>
      <c r="VC12" s="97" t="str">
        <f>IF(VC$7=Stammdaten!$W$1,LEFT(VC$25,1)&amp;VC$7,IF(VC$7=Stammdaten!$V$1,LEFT(VB$25,1)&amp;VC$7,""))</f>
        <v/>
      </c>
      <c r="VD12" s="97" t="str">
        <f>IF(VD$7=Stammdaten!$W$1,LEFT(VD$25,1)&amp;VD$7,IF(VD$7=Stammdaten!$V$1,LEFT(VC$25,1)&amp;VD$7,""))</f>
        <v/>
      </c>
      <c r="VE12" s="97" t="str">
        <f>IF(VE$7=Stammdaten!$W$1,LEFT(VE$25,1)&amp;VE$7,IF(VE$7=Stammdaten!$V$1,LEFT(VD$25,1)&amp;VE$7,""))</f>
        <v/>
      </c>
      <c r="VF12" s="97" t="str">
        <f>IF(VF$7=Stammdaten!$W$1,LEFT(VF$25,1)&amp;VF$7,IF(VF$7=Stammdaten!$V$1,LEFT(VE$25,1)&amp;VF$7,""))</f>
        <v/>
      </c>
      <c r="VG12" s="97" t="str">
        <f>IF(VG$7=Stammdaten!$W$1,LEFT(VG$25,1)&amp;VG$7,IF(VG$7=Stammdaten!$V$1,LEFT(VF$25,1)&amp;VG$7,""))</f>
        <v/>
      </c>
      <c r="VH12" s="97" t="str">
        <f>IF(VH$7=Stammdaten!$W$1,LEFT(VH$25,1)&amp;VH$7,IF(VH$7=Stammdaten!$V$1,LEFT(VG$25,1)&amp;VH$7,""))</f>
        <v/>
      </c>
      <c r="VI12" s="97" t="str">
        <f>IF(VI$7=Stammdaten!$W$1,LEFT(VI$25,1)&amp;VI$7,IF(VI$7=Stammdaten!$V$1,LEFT(VH$25,1)&amp;VI$7,""))</f>
        <v/>
      </c>
      <c r="VJ12" s="97" t="str">
        <f>IF(VJ$7=Stammdaten!$W$1,LEFT(VJ$25,1)&amp;VJ$7,IF(VJ$7=Stammdaten!$V$1,LEFT(VI$25,1)&amp;VJ$7,""))</f>
        <v/>
      </c>
      <c r="VK12" s="97" t="str">
        <f>IF(VK$7=Stammdaten!$W$1,LEFT(VK$25,1)&amp;VK$7,IF(VK$7=Stammdaten!$V$1,LEFT(VJ$25,1)&amp;VK$7,""))</f>
        <v/>
      </c>
      <c r="VL12" s="97" t="str">
        <f>IF(VL$7=Stammdaten!$W$1,LEFT(VL$25,1)&amp;VL$7,IF(VL$7=Stammdaten!$V$1,LEFT(VK$25,1)&amp;VL$7,""))</f>
        <v/>
      </c>
      <c r="VM12" s="97" t="str">
        <f>IF(VM$7=Stammdaten!$W$1,LEFT(VM$25,1)&amp;VM$7,IF(VM$7=Stammdaten!$V$1,LEFT(VL$25,1)&amp;VM$7,""))</f>
        <v/>
      </c>
      <c r="VN12" s="97" t="str">
        <f>IF(VN$7=Stammdaten!$W$1,LEFT(VN$25,1)&amp;VN$7,IF(VN$7=Stammdaten!$V$1,LEFT(VM$25,1)&amp;VN$7,""))</f>
        <v/>
      </c>
      <c r="VO12" s="97" t="str">
        <f>IF(VO$7=Stammdaten!$W$1,LEFT(VO$25,1)&amp;VO$7,IF(VO$7=Stammdaten!$V$1,LEFT(VN$25,1)&amp;VO$7,""))</f>
        <v/>
      </c>
      <c r="VP12" s="97" t="str">
        <f>IF(VP$7=Stammdaten!$W$1,LEFT(VP$25,1)&amp;VP$7,IF(VP$7=Stammdaten!$V$1,LEFT(VO$25,1)&amp;VP$7,""))</f>
        <v/>
      </c>
      <c r="VQ12" s="97" t="str">
        <f>IF(VQ$7=Stammdaten!$W$1,LEFT(VQ$25,1)&amp;VQ$7,IF(VQ$7=Stammdaten!$V$1,LEFT(VP$25,1)&amp;VQ$7,""))</f>
        <v/>
      </c>
      <c r="VR12" s="97" t="str">
        <f>IF(VR$7=Stammdaten!$W$1,LEFT(VR$25,1)&amp;VR$7,IF(VR$7=Stammdaten!$V$1,LEFT(VQ$25,1)&amp;VR$7,""))</f>
        <v/>
      </c>
      <c r="VS12" s="97" t="str">
        <f>IF(VS$7=Stammdaten!$W$1,LEFT(VS$25,1)&amp;VS$7,IF(VS$7=Stammdaten!$V$1,LEFT(VR$25,1)&amp;VS$7,""))</f>
        <v/>
      </c>
      <c r="VT12" s="97" t="str">
        <f>IF(VT$7=Stammdaten!$W$1,LEFT(VT$25,1)&amp;VT$7,IF(VT$7=Stammdaten!$V$1,LEFT(VS$25,1)&amp;VT$7,""))</f>
        <v/>
      </c>
      <c r="VU12" s="97" t="str">
        <f>IF(VU$7=Stammdaten!$W$1,LEFT(VU$25,1)&amp;VU$7,IF(VU$7=Stammdaten!$V$1,LEFT(VT$25,1)&amp;VU$7,""))</f>
        <v/>
      </c>
      <c r="VV12" s="97" t="str">
        <f>IF(VV$7=Stammdaten!$W$1,LEFT(VV$25,1)&amp;VV$7,IF(VV$7=Stammdaten!$V$1,LEFT(VU$25,1)&amp;VV$7,""))</f>
        <v/>
      </c>
      <c r="VW12" s="97" t="str">
        <f>IF(VW$7=Stammdaten!$W$1,LEFT(VW$25,1)&amp;VW$7,IF(VW$7=Stammdaten!$V$1,LEFT(VV$25,1)&amp;VW$7,""))</f>
        <v/>
      </c>
      <c r="VX12" s="97" t="str">
        <f>IF(VX$7=Stammdaten!$W$1,LEFT(VX$25,1)&amp;VX$7,IF(VX$7=Stammdaten!$V$1,LEFT(VW$25,1)&amp;VX$7,""))</f>
        <v/>
      </c>
      <c r="VY12" s="97" t="str">
        <f>IF(VY$7=Stammdaten!$W$1,LEFT(VY$25,1)&amp;VY$7,IF(VY$7=Stammdaten!$V$1,LEFT(VX$25,1)&amp;VY$7,""))</f>
        <v/>
      </c>
      <c r="VZ12" s="97" t="str">
        <f>IF(VZ$7=Stammdaten!$W$1,LEFT(VZ$25,1)&amp;VZ$7,IF(VZ$7=Stammdaten!$V$1,LEFT(VY$25,1)&amp;VZ$7,""))</f>
        <v/>
      </c>
      <c r="WA12" s="97" t="str">
        <f>IF(WA$7=Stammdaten!$W$1,LEFT(WA$25,1)&amp;WA$7,IF(WA$7=Stammdaten!$V$1,LEFT(VZ$25,1)&amp;WA$7,""))</f>
        <v/>
      </c>
      <c r="WB12" s="97" t="str">
        <f>IF(WB$7=Stammdaten!$W$1,LEFT(WB$25,1)&amp;WB$7,IF(WB$7=Stammdaten!$V$1,LEFT(WA$25,1)&amp;WB$7,""))</f>
        <v/>
      </c>
      <c r="WC12" s="97" t="str">
        <f>IF(WC$7=Stammdaten!$W$1,LEFT(WC$25,1)&amp;WC$7,IF(WC$7=Stammdaten!$V$1,LEFT(WB$25,1)&amp;WC$7,""))</f>
        <v/>
      </c>
      <c r="WD12" s="97" t="str">
        <f>IF(WD$7=Stammdaten!$W$1,LEFT(WD$25,1)&amp;WD$7,IF(WD$7=Stammdaten!$V$1,LEFT(WC$25,1)&amp;WD$7,""))</f>
        <v/>
      </c>
      <c r="WE12" s="97" t="str">
        <f>IF(WE$7=Stammdaten!$W$1,LEFT(WE$25,1)&amp;WE$7,IF(WE$7=Stammdaten!$V$1,LEFT(WD$25,1)&amp;WE$7,""))</f>
        <v/>
      </c>
      <c r="WF12" s="97" t="str">
        <f>IF(WF$7=Stammdaten!$W$1,LEFT(WF$25,1)&amp;WF$7,IF(WF$7=Stammdaten!$V$1,LEFT(WE$25,1)&amp;WF$7,""))</f>
        <v/>
      </c>
      <c r="WG12" s="97" t="str">
        <f>IF(WG$7=Stammdaten!$W$1,LEFT(WG$25,1)&amp;WG$7,IF(WG$7=Stammdaten!$V$1,LEFT(WF$25,1)&amp;WG$7,""))</f>
        <v/>
      </c>
      <c r="WH12" s="97" t="str">
        <f>IF(WH$7=Stammdaten!$W$1,LEFT(WH$25,1)&amp;WH$7,IF(WH$7=Stammdaten!$V$1,LEFT(WG$25,1)&amp;WH$7,""))</f>
        <v/>
      </c>
      <c r="WI12" s="97" t="str">
        <f>IF(WI$7=Stammdaten!$W$1,LEFT(WI$25,1)&amp;WI$7,IF(WI$7=Stammdaten!$V$1,LEFT(WH$25,1)&amp;WI$7,""))</f>
        <v/>
      </c>
      <c r="WJ12" s="97" t="str">
        <f>IF(WJ$7=Stammdaten!$W$1,LEFT(WJ$25,1)&amp;WJ$7,IF(WJ$7=Stammdaten!$V$1,LEFT(WI$25,1)&amp;WJ$7,""))</f>
        <v/>
      </c>
      <c r="WK12" s="97" t="str">
        <f>IF(WK$7=Stammdaten!$W$1,LEFT(WK$25,1)&amp;WK$7,IF(WK$7=Stammdaten!$V$1,LEFT(WJ$25,1)&amp;WK$7,""))</f>
        <v/>
      </c>
      <c r="WL12" s="97" t="str">
        <f>IF(WL$7=Stammdaten!$W$1,LEFT(WL$25,1)&amp;WL$7,IF(WL$7=Stammdaten!$V$1,LEFT(WK$25,1)&amp;WL$7,""))</f>
        <v/>
      </c>
      <c r="WM12" s="97" t="str">
        <f>IF(WM$7=Stammdaten!$W$1,LEFT(WM$25,1)&amp;WM$7,IF(WM$7=Stammdaten!$V$1,LEFT(WL$25,1)&amp;WM$7,""))</f>
        <v/>
      </c>
      <c r="WN12" s="97" t="str">
        <f>IF(WN$7=Stammdaten!$W$1,LEFT(WN$25,1)&amp;WN$7,IF(WN$7=Stammdaten!$V$1,LEFT(WM$25,1)&amp;WN$7,""))</f>
        <v/>
      </c>
      <c r="WO12" s="97" t="str">
        <f>IF(WO$7=Stammdaten!$W$1,LEFT(WO$25,1)&amp;WO$7,IF(WO$7=Stammdaten!$V$1,LEFT(WN$25,1)&amp;WO$7,""))</f>
        <v/>
      </c>
      <c r="WP12" s="97" t="str">
        <f>IF(WP$7=Stammdaten!$W$1,LEFT(WP$25,1)&amp;WP$7,IF(WP$7=Stammdaten!$V$1,LEFT(WO$25,1)&amp;WP$7,""))</f>
        <v/>
      </c>
      <c r="WQ12" s="97" t="str">
        <f>IF(WQ$7=Stammdaten!$W$1,LEFT(WQ$25,1)&amp;WQ$7,IF(WQ$7=Stammdaten!$V$1,LEFT(WP$25,1)&amp;WQ$7,""))</f>
        <v/>
      </c>
      <c r="WR12" s="97" t="str">
        <f>IF(WR$7=Stammdaten!$W$1,LEFT(WR$25,1)&amp;WR$7,IF(WR$7=Stammdaten!$V$1,LEFT(WQ$25,1)&amp;WR$7,""))</f>
        <v/>
      </c>
      <c r="WS12" s="97" t="str">
        <f>IF(WS$7=Stammdaten!$W$1,LEFT(WS$25,1)&amp;WS$7,IF(WS$7=Stammdaten!$V$1,LEFT(WR$25,1)&amp;WS$7,""))</f>
        <v/>
      </c>
      <c r="WT12" s="97" t="str">
        <f>IF(WT$7=Stammdaten!$W$1,LEFT(WT$25,1)&amp;WT$7,IF(WT$7=Stammdaten!$V$1,LEFT(WS$25,1)&amp;WT$7,""))</f>
        <v>Res</v>
      </c>
      <c r="WU12" s="97" t="str">
        <f>IF(WU$7=Stammdaten!$W$1,LEFT(WU$25,1)&amp;WU$7,IF(WU$7=Stammdaten!$V$1,LEFT(WT$25,1)&amp;WU$7,""))</f>
        <v>Res</v>
      </c>
      <c r="WV12" s="97" t="str">
        <f>IF(WV$7=Stammdaten!$W$1,LEFT(WV$25,1)&amp;WV$7,IF(WV$7=Stammdaten!$V$1,LEFT(WU$25,1)&amp;WV$7,""))</f>
        <v>Res</v>
      </c>
      <c r="WW12" s="97" t="str">
        <f>IF(WW$7=Stammdaten!$W$1,LEFT(WW$25,1)&amp;WW$7,IF(WW$7=Stammdaten!$V$1,LEFT(WV$25,1)&amp;WW$7,""))</f>
        <v>Res</v>
      </c>
      <c r="WX12" s="97" t="str">
        <f>IF(WX$7=Stammdaten!$W$1,LEFT(WX$25,1)&amp;WX$7,IF(WX$7=Stammdaten!$V$1,LEFT(WW$25,1)&amp;WX$7,""))</f>
        <v>Res</v>
      </c>
      <c r="WY12" s="97" t="str">
        <f>IF(WY$7=Stammdaten!$W$1,LEFT(WY$25,1)&amp;WY$7,IF(WY$7=Stammdaten!$V$1,LEFT(WX$25,1)&amp;WY$7,""))</f>
        <v/>
      </c>
      <c r="WZ12" s="97" t="str">
        <f>IF(WZ$7=Stammdaten!$W$1,LEFT(WZ$25,1)&amp;WZ$7,IF(WZ$7=Stammdaten!$V$1,LEFT(WY$25,1)&amp;WZ$7,""))</f>
        <v/>
      </c>
      <c r="XA12" s="97" t="str">
        <f>IF(XA$7=Stammdaten!$W$1,LEFT(XA$25,1)&amp;XA$7,IF(XA$7=Stammdaten!$V$1,LEFT(WZ$25,1)&amp;XA$7,""))</f>
        <v/>
      </c>
      <c r="XB12" s="97" t="str">
        <f>IF(XB$7=Stammdaten!$W$1,LEFT(XB$25,1)&amp;XB$7,IF(XB$7=Stammdaten!$V$1,LEFT(XA$25,1)&amp;XB$7,""))</f>
        <v/>
      </c>
      <c r="XC12" s="97" t="str">
        <f>IF(XC$7=Stammdaten!$W$1,LEFT(XC$25,1)&amp;XC$7,IF(XC$7=Stammdaten!$V$1,LEFT(XB$25,1)&amp;XC$7,""))</f>
        <v/>
      </c>
      <c r="XD12" s="97" t="str">
        <f>IF(XD$7=Stammdaten!$W$1,LEFT(XD$25,1)&amp;XD$7,IF(XD$7=Stammdaten!$V$1,LEFT(XC$25,1)&amp;XD$7,""))</f>
        <v/>
      </c>
      <c r="XE12" s="97" t="str">
        <f>IF(XE$7=Stammdaten!$W$1,LEFT(XE$25,1)&amp;XE$7,IF(XE$7=Stammdaten!$V$1,LEFT(XD$25,1)&amp;XE$7,""))</f>
        <v/>
      </c>
      <c r="XF12" s="97" t="str">
        <f>IF(XF$7=Stammdaten!$W$1,LEFT(XF$25,1)&amp;XF$7,IF(XF$7=Stammdaten!$V$1,LEFT(XE$25,1)&amp;XF$7,""))</f>
        <v/>
      </c>
      <c r="XG12" s="97" t="str">
        <f>IF(XG$7=Stammdaten!$W$1,LEFT(XG$25,1)&amp;XG$7,IF(XG$7=Stammdaten!$V$1,LEFT(XF$25,1)&amp;XG$7,""))</f>
        <v/>
      </c>
      <c r="XH12" s="97" t="str">
        <f>IF(XH$7=Stammdaten!$W$1,LEFT(XH$25,1)&amp;XH$7,IF(XH$7=Stammdaten!$V$1,LEFT(XG$25,1)&amp;XH$7,""))</f>
        <v/>
      </c>
      <c r="XI12" s="97" t="str">
        <f>IF(XI$7=Stammdaten!$W$1,LEFT(XI$25,1)&amp;XI$7,IF(XI$7=Stammdaten!$V$1,LEFT(XH$25,1)&amp;XI$7,""))</f>
        <v/>
      </c>
      <c r="XJ12" s="97" t="str">
        <f>IF(XJ$7=Stammdaten!$W$1,LEFT(XJ$25,1)&amp;XJ$7,IF(XJ$7=Stammdaten!$V$1,LEFT(XI$25,1)&amp;XJ$7,""))</f>
        <v/>
      </c>
      <c r="XK12" s="97" t="str">
        <f>IF(XK$7=Stammdaten!$W$1,LEFT(XK$25,1)&amp;XK$7,IF(XK$7=Stammdaten!$V$1,LEFT(XJ$25,1)&amp;XK$7,""))</f>
        <v/>
      </c>
      <c r="XL12" s="97" t="str">
        <f>IF(XL$7=Stammdaten!$W$1,LEFT(XL$25,1)&amp;XL$7,IF(XL$7=Stammdaten!$V$1,LEFT(XK$25,1)&amp;XL$7,""))</f>
        <v/>
      </c>
      <c r="XM12" s="97" t="str">
        <f>IF(XM$7=Stammdaten!$W$1,LEFT(XM$25,1)&amp;XM$7,IF(XM$7=Stammdaten!$V$1,LEFT(XL$25,1)&amp;XM$7,""))</f>
        <v/>
      </c>
      <c r="XN12" s="97" t="str">
        <f>IF(XN$7=Stammdaten!$W$1,LEFT(XN$25,1)&amp;XN$7,IF(XN$7=Stammdaten!$V$1,LEFT(XM$25,1)&amp;XN$7,""))</f>
        <v/>
      </c>
      <c r="XO12" s="97" t="str">
        <f>IF(XO$7=Stammdaten!$W$1,LEFT(XO$25,1)&amp;XO$7,IF(XO$7=Stammdaten!$V$1,LEFT(XN$25,1)&amp;XO$7,""))</f>
        <v/>
      </c>
      <c r="XP12" s="97" t="str">
        <f>IF(XP$7=Stammdaten!$W$1,LEFT(XP$25,1)&amp;XP$7,IF(XP$7=Stammdaten!$V$1,LEFT(XO$25,1)&amp;XP$7,""))</f>
        <v/>
      </c>
      <c r="XQ12" s="97" t="str">
        <f>IF(XQ$7=Stammdaten!$W$1,LEFT(XQ$25,1)&amp;XQ$7,IF(XQ$7=Stammdaten!$V$1,LEFT(XP$25,1)&amp;XQ$7,""))</f>
        <v/>
      </c>
      <c r="XR12" s="97" t="str">
        <f>IF(XR$7=Stammdaten!$W$1,LEFT(XR$25,1)&amp;XR$7,IF(XR$7=Stammdaten!$V$1,LEFT(XQ$25,1)&amp;XR$7,""))</f>
        <v/>
      </c>
      <c r="XS12" s="97" t="str">
        <f>IF(XS$7=Stammdaten!$W$1,LEFT(XS$25,1)&amp;XS$7,IF(XS$7=Stammdaten!$V$1,LEFT(XR$25,1)&amp;XS$7,""))</f>
        <v/>
      </c>
      <c r="XT12" s="97" t="str">
        <f>IF(XT$7=Stammdaten!$W$1,LEFT(XT$25,1)&amp;XT$7,IF(XT$7=Stammdaten!$V$1,LEFT(XS$25,1)&amp;XT$7,""))</f>
        <v/>
      </c>
      <c r="XU12" s="97" t="str">
        <f>IF(XU$7=Stammdaten!$W$1,LEFT(XU$25,1)&amp;XU$7,IF(XU$7=Stammdaten!$V$1,LEFT(XT$25,1)&amp;XU$7,""))</f>
        <v/>
      </c>
      <c r="XV12" s="97" t="str">
        <f>IF(XV$7=Stammdaten!$W$1,LEFT(XV$25,1)&amp;XV$7,IF(XV$7=Stammdaten!$V$1,LEFT(XU$25,1)&amp;XV$7,""))</f>
        <v/>
      </c>
      <c r="XW12" s="97" t="str">
        <f>IF(XW$7=Stammdaten!$W$1,LEFT(XW$25,1)&amp;XW$7,IF(XW$7=Stammdaten!$V$1,LEFT(XV$25,1)&amp;XW$7,""))</f>
        <v/>
      </c>
      <c r="XX12" s="97" t="str">
        <f>IF(XX$7=Stammdaten!$W$1,LEFT(XX$25,1)&amp;XX$7,IF(XX$7=Stammdaten!$V$1,LEFT(XW$25,1)&amp;XX$7,""))</f>
        <v/>
      </c>
      <c r="XY12" s="97" t="str">
        <f>IF(XY$7=Stammdaten!$W$1,LEFT(XY$25,1)&amp;XY$7,IF(XY$7=Stammdaten!$V$1,LEFT(XX$25,1)&amp;XY$7,""))</f>
        <v/>
      </c>
      <c r="XZ12" s="97" t="str">
        <f>IF(XZ$7=Stammdaten!$W$1,LEFT(XZ$25,1)&amp;XZ$7,IF(XZ$7=Stammdaten!$V$1,LEFT(XY$25,1)&amp;XZ$7,""))</f>
        <v/>
      </c>
      <c r="YA12" s="97" t="str">
        <f>IF(YA$7=Stammdaten!$W$1,LEFT(YA$25,1)&amp;YA$7,IF(YA$7=Stammdaten!$V$1,LEFT(XZ$25,1)&amp;YA$7,""))</f>
        <v/>
      </c>
      <c r="YB12" s="97" t="str">
        <f>IF(YB$7=Stammdaten!$W$1,LEFT(YB$25,1)&amp;YB$7,IF(YB$7=Stammdaten!$V$1,LEFT(YA$25,1)&amp;YB$7,""))</f>
        <v/>
      </c>
      <c r="YC12" s="97" t="str">
        <f>IF(YC$7=Stammdaten!$W$1,LEFT(YC$25,1)&amp;YC$7,IF(YC$7=Stammdaten!$V$1,LEFT(YB$25,1)&amp;YC$7,""))</f>
        <v/>
      </c>
      <c r="YD12" s="97" t="str">
        <f>IF(YD$7=Stammdaten!$W$1,LEFT(YD$25,1)&amp;YD$7,IF(YD$7=Stammdaten!$V$1,LEFT(YC$25,1)&amp;YD$7,""))</f>
        <v/>
      </c>
      <c r="YE12" s="97" t="str">
        <f>IF(YE$7=Stammdaten!$W$1,LEFT(YE$25,1)&amp;YE$7,IF(YE$7=Stammdaten!$V$1,LEFT(YD$25,1)&amp;YE$7,""))</f>
        <v/>
      </c>
      <c r="YF12" s="97" t="str">
        <f>IF(YF$7=Stammdaten!$W$1,LEFT(YF$25,1)&amp;YF$7,IF(YF$7=Stammdaten!$V$1,LEFT(YE$25,1)&amp;YF$7,""))</f>
        <v/>
      </c>
      <c r="YG12" s="97" t="str">
        <f>IF(YG$7=Stammdaten!$W$1,LEFT(YG$25,1)&amp;YG$7,IF(YG$7=Stammdaten!$V$1,LEFT(YF$25,1)&amp;YG$7,""))</f>
        <v/>
      </c>
      <c r="YH12" s="97" t="str">
        <f>IF(YH$7=Stammdaten!$W$1,LEFT(YH$25,1)&amp;YH$7,IF(YH$7=Stammdaten!$V$1,LEFT(YG$25,1)&amp;YH$7,""))</f>
        <v/>
      </c>
      <c r="YI12" s="97" t="str">
        <f>IF(YI$7=Stammdaten!$W$1,LEFT(YI$25,1)&amp;YI$7,IF(YI$7=Stammdaten!$V$1,LEFT(YH$25,1)&amp;YI$7,""))</f>
        <v/>
      </c>
      <c r="YJ12" s="97" t="str">
        <f>IF(YJ$7=Stammdaten!$W$1,LEFT(YJ$25,1)&amp;YJ$7,IF(YJ$7=Stammdaten!$V$1,LEFT(YI$25,1)&amp;YJ$7,""))</f>
        <v/>
      </c>
      <c r="YK12" s="97" t="str">
        <f>IF(YK$7=Stammdaten!$W$1,LEFT(YK$25,1)&amp;YK$7,IF(YK$7=Stammdaten!$V$1,LEFT(YJ$25,1)&amp;YK$7,""))</f>
        <v/>
      </c>
      <c r="YL12" s="97" t="str">
        <f>IF(YL$7=Stammdaten!$W$1,LEFT(YL$25,1)&amp;YL$7,IF(YL$7=Stammdaten!$V$1,LEFT(YK$25,1)&amp;YL$7,""))</f>
        <v/>
      </c>
      <c r="YM12" s="97" t="str">
        <f>IF(YM$7=Stammdaten!$W$1,LEFT(YM$25,1)&amp;YM$7,IF(YM$7=Stammdaten!$V$1,LEFT(YL$25,1)&amp;YM$7,""))</f>
        <v/>
      </c>
      <c r="YN12" s="97" t="str">
        <f>IF(YN$7=Stammdaten!$W$1,LEFT(YN$25,1)&amp;YN$7,IF(YN$7=Stammdaten!$V$1,LEFT(YM$25,1)&amp;YN$7,""))</f>
        <v/>
      </c>
      <c r="YO12" s="97" t="str">
        <f>IF(YO$7=Stammdaten!$W$1,LEFT(YO$25,1)&amp;YO$7,IF(YO$7=Stammdaten!$V$1,LEFT(YN$25,1)&amp;YO$7,""))</f>
        <v/>
      </c>
      <c r="YP12" s="97" t="str">
        <f>IF(YP$7=Stammdaten!$W$1,LEFT(YP$25,1)&amp;YP$7,IF(YP$7=Stammdaten!$V$1,LEFT(YO$25,1)&amp;YP$7,""))</f>
        <v/>
      </c>
      <c r="YQ12" s="97" t="str">
        <f>IF(YQ$7=Stammdaten!$W$1,LEFT(YQ$25,1)&amp;YQ$7,IF(YQ$7=Stammdaten!$V$1,LEFT(YP$25,1)&amp;YQ$7,""))</f>
        <v/>
      </c>
      <c r="YR12" s="97" t="str">
        <f>IF(YR$7=Stammdaten!$W$1,LEFT(YR$25,1)&amp;YR$7,IF(YR$7=Stammdaten!$V$1,LEFT(YQ$25,1)&amp;YR$7,""))</f>
        <v/>
      </c>
      <c r="YS12" s="97" t="str">
        <f>IF(YS$7=Stammdaten!$W$1,LEFT(YS$25,1)&amp;YS$7,IF(YS$7=Stammdaten!$V$1,LEFT(YR$25,1)&amp;YS$7,""))</f>
        <v/>
      </c>
      <c r="YT12" s="97" t="str">
        <f>IF(YT$7=Stammdaten!$W$1,LEFT(YT$25,1)&amp;YT$7,IF(YT$7=Stammdaten!$V$1,LEFT(YS$25,1)&amp;YT$7,""))</f>
        <v/>
      </c>
      <c r="YU12" s="97" t="str">
        <f>IF(YU$7=Stammdaten!$W$1,LEFT(YU$25,1)&amp;YU$7,IF(YU$7=Stammdaten!$V$1,LEFT(YT$25,1)&amp;YU$7,""))</f>
        <v/>
      </c>
      <c r="YV12" s="97" t="str">
        <f>IF(YV$7=Stammdaten!$W$1,LEFT(YV$25,1)&amp;YV$7,IF(YV$7=Stammdaten!$V$1,LEFT(YU$25,1)&amp;YV$7,""))</f>
        <v/>
      </c>
      <c r="YW12" s="97" t="str">
        <f>IF(YW$7=Stammdaten!$W$1,LEFT(YW$25,1)&amp;YW$7,IF(YW$7=Stammdaten!$V$1,LEFT(YV$25,1)&amp;YW$7,""))</f>
        <v/>
      </c>
      <c r="YX12" s="97" t="str">
        <f>IF(YX$7=Stammdaten!$W$1,LEFT(YX$25,1)&amp;YX$7,IF(YX$7=Stammdaten!$V$1,LEFT(YW$25,1)&amp;YX$7,""))</f>
        <v/>
      </c>
      <c r="YY12" s="97" t="str">
        <f>IF(YY$7=Stammdaten!$W$1,LEFT(YY$25,1)&amp;YY$7,IF(YY$7=Stammdaten!$V$1,LEFT(YX$25,1)&amp;YY$7,""))</f>
        <v/>
      </c>
      <c r="YZ12" s="97" t="str">
        <f>IF(YZ$7=Stammdaten!$W$1,LEFT(YZ$25,1)&amp;YZ$7,IF(YZ$7=Stammdaten!$V$1,LEFT(YY$25,1)&amp;YZ$7,""))</f>
        <v/>
      </c>
      <c r="ZA12" s="97" t="str">
        <f>IF(ZA$7=Stammdaten!$W$1,LEFT(ZA$25,1)&amp;ZA$7,IF(ZA$7=Stammdaten!$V$1,LEFT(YZ$25,1)&amp;ZA$7,""))</f>
        <v/>
      </c>
      <c r="ZB12" s="97" t="str">
        <f>IF(ZB$7=Stammdaten!$W$1,LEFT(ZB$25,1)&amp;ZB$7,IF(ZB$7=Stammdaten!$V$1,LEFT(ZA$25,1)&amp;ZB$7,""))</f>
        <v/>
      </c>
      <c r="ZC12" s="97" t="str">
        <f>IF(ZC$7=Stammdaten!$W$1,LEFT(ZC$25,1)&amp;ZC$7,IF(ZC$7=Stammdaten!$V$1,LEFT(ZB$25,1)&amp;ZC$7,""))</f>
        <v/>
      </c>
      <c r="ZD12" s="97" t="str">
        <f>IF(ZD$7=Stammdaten!$W$1,LEFT(ZD$25,1)&amp;ZD$7,IF(ZD$7=Stammdaten!$V$1,LEFT(ZC$25,1)&amp;ZD$7,""))</f>
        <v/>
      </c>
      <c r="ZE12" s="97" t="str">
        <f>IF(ZE$7=Stammdaten!$W$1,LEFT(ZE$25,1)&amp;ZE$7,IF(ZE$7=Stammdaten!$V$1,LEFT(ZD$25,1)&amp;ZE$7,""))</f>
        <v/>
      </c>
      <c r="ZF12" s="97" t="str">
        <f>IF(ZF$7=Stammdaten!$W$1,LEFT(ZF$25,1)&amp;ZF$7,IF(ZF$7=Stammdaten!$V$1,LEFT(ZE$25,1)&amp;ZF$7,""))</f>
        <v/>
      </c>
      <c r="ZG12" s="97" t="str">
        <f>IF(ZG$7=Stammdaten!$W$1,LEFT(ZG$25,1)&amp;ZG$7,IF(ZG$7=Stammdaten!$V$1,LEFT(ZF$25,1)&amp;ZG$7,""))</f>
        <v/>
      </c>
      <c r="ZH12" s="97" t="str">
        <f>IF(ZH$7=Stammdaten!$W$1,LEFT(ZH$25,1)&amp;ZH$7,IF(ZH$7=Stammdaten!$V$1,LEFT(ZG$25,1)&amp;ZH$7,""))</f>
        <v/>
      </c>
      <c r="ZI12" s="97" t="str">
        <f>IF(ZI$7=Stammdaten!$W$1,LEFT(ZI$25,1)&amp;ZI$7,IF(ZI$7=Stammdaten!$V$1,LEFT(ZH$25,1)&amp;ZI$7,""))</f>
        <v/>
      </c>
      <c r="ZJ12" s="97" t="str">
        <f>IF(ZJ$7=Stammdaten!$W$1,LEFT(ZJ$25,1)&amp;ZJ$7,IF(ZJ$7=Stammdaten!$V$1,LEFT(ZI$25,1)&amp;ZJ$7,""))</f>
        <v/>
      </c>
      <c r="ZK12" s="98" t="str">
        <f>LEFT(_Stufe_Glei,1)&amp;"Ein"</f>
        <v>2Ein</v>
      </c>
      <c r="ZL12" s="97" t="str">
        <f>IF(ZL$7=Stammdaten!$W$1,LEFT(ZL$25,1)&amp;ZL$7,IF(ZL$7=Stammdaten!$V$1,LEFT(ZK$25,1)&amp;ZL$7,""))</f>
        <v/>
      </c>
      <c r="ZM12" s="98" t="str">
        <f>LEFT(_Stufe_Schw,1)&amp;"Ein"</f>
        <v>2Ein</v>
      </c>
      <c r="ZN12" s="97" t="str">
        <f>IF(ZN$7=Stammdaten!$W$1,LEFT(ZN$25,1)&amp;ZN$7,IF(ZN$7=Stammdaten!$V$1,LEFT(ZM$25,1)&amp;ZN$7,""))</f>
        <v>2Res</v>
      </c>
      <c r="ZO12" s="97" t="str">
        <f>IF(ZO$7=Stammdaten!$W$1,LEFT(#REF!,1)&amp;ZO$7,IF(ZO$7=Stammdaten!$V$1,LEFT(ZN$25,1)&amp;ZO$7,""))</f>
        <v/>
      </c>
      <c r="ZP12" s="97" t="str">
        <f>IF(ZP$7=Stammdaten!$W$1,LEFT(ZO$25,1)&amp;ZP$7,IF(ZP$7=Stammdaten!$V$1,LEFT(#REF!,1)&amp;ZP$7,""))</f>
        <v/>
      </c>
      <c r="ZQ12" s="97" t="str">
        <f>IF(ZQ$7=Stammdaten!$W$1,LEFT(ZQ$25,1)&amp;ZQ$7,IF(ZQ$7=Stammdaten!$V$1,LEFT(ZO$25,1)&amp;ZQ$7,""))</f>
        <v/>
      </c>
      <c r="ZR12" s="98" t="str">
        <f>LEFT(_Stufe_Schw,1)&amp;"Ein"</f>
        <v>2Ein</v>
      </c>
      <c r="ZS12" s="98" t="str">
        <f>LEFT(_Stufe_Schw,1)&amp;"Res"</f>
        <v>2Res</v>
      </c>
      <c r="ZT12" s="97" t="str">
        <f>IF(ZT$7=Stammdaten!$W$1,LEFT(ZT$25,1)&amp;ZT$7,IF(ZT$7=Stammdaten!$V$1,LEFT(ZS$25,1)&amp;ZT$7,""))</f>
        <v/>
      </c>
      <c r="ZU12" s="97" t="str">
        <f>IF(ZU$7=Stammdaten!$W$1,LEFT(ZU$25,1)&amp;ZU$7,IF(ZU$7=Stammdaten!$V$1,LEFT(ZT$25,1)&amp;ZU$7,""))</f>
        <v/>
      </c>
      <c r="ZV12" s="97" t="str">
        <f>IF(ZV$7=Stammdaten!$W$1,LEFT(ZV$25,1)&amp;ZV$7,IF(ZV$7=Stammdaten!$V$1,LEFT(ZU$25,1)&amp;ZV$7,""))</f>
        <v/>
      </c>
      <c r="ZW12" s="97" t="str">
        <f>IF(ZW$7=Stammdaten!$W$1,LEFT(ZW$25,1)&amp;ZW$7,IF(ZW$7=Stammdaten!$V$1,LEFT(ZV$25,1)&amp;ZW$7,""))</f>
        <v/>
      </c>
      <c r="ZX12" s="97" t="str">
        <f>IF(ZX$7=Stammdaten!$W$1,LEFT(ZX$25,1)&amp;ZX$7,IF(ZX$7=Stammdaten!$V$1,LEFT(ZW$25,1)&amp;ZX$7,""))</f>
        <v/>
      </c>
      <c r="ZY12" s="97" t="str">
        <f>IF(ZY$7=Stammdaten!$W$1,LEFT(ZY$25,1)&amp;ZY$7,IF(ZY$7=Stammdaten!$V$1,LEFT(ZX$25,1)&amp;ZY$7,""))</f>
        <v/>
      </c>
      <c r="ZZ12" s="97" t="str">
        <f>IF(ZZ$7=Stammdaten!$W$1,LEFT(ZZ$25,1)&amp;ZZ$7,IF(ZZ$7=Stammdaten!$V$1,LEFT(ZY$25,1)&amp;ZZ$7,""))</f>
        <v/>
      </c>
      <c r="AAA12" s="97" t="str">
        <f>IF(AAA$7=Stammdaten!$W$1,LEFT(AAA$25,1)&amp;AAA$7,IF(AAA$7=Stammdaten!$V$1,LEFT(ZZ$25,1)&amp;AAA$7,""))</f>
        <v/>
      </c>
      <c r="AAB12" s="97" t="str">
        <f>IF(AAB$7=Stammdaten!$W$1,LEFT(AAB$25,1)&amp;AAB$7,IF(AAB$7=Stammdaten!$V$1,LEFT(AAA$25,1)&amp;AAB$7,""))</f>
        <v/>
      </c>
      <c r="AAC12" s="97" t="str">
        <f>IF(AAC$7=Stammdaten!$W$1,LEFT(AAC$25,1)&amp;AAC$7,IF(AAC$7=Stammdaten!$V$1,LEFT(AAB$25,1)&amp;AAC$7,""))</f>
        <v/>
      </c>
      <c r="AAD12" s="97" t="str">
        <f>IF(AAD$7=Stammdaten!$W$1,LEFT(AAD$25,1)&amp;AAD$7,IF(AAD$7=Stammdaten!$V$1,LEFT(AAC$25,1)&amp;AAD$7,""))</f>
        <v/>
      </c>
      <c r="AAE12" s="97" t="str">
        <f>IF(AAE$7=Stammdaten!$W$1,LEFT(AAE$25,1)&amp;AAE$7,IF(AAE$7=Stammdaten!$V$1,LEFT(AAD$25,1)&amp;AAE$7,""))</f>
        <v/>
      </c>
      <c r="AAF12" s="97" t="str">
        <f>IF(AAF$7=Stammdaten!$W$1,LEFT(AAF$25,1)&amp;AAF$7,IF(AAF$7=Stammdaten!$V$1,LEFT(AAE$25,1)&amp;AAF$7,""))</f>
        <v>Res</v>
      </c>
      <c r="AAG12" s="97" t="str">
        <f>IF(AAG$7=Stammdaten!$W$1,LEFT(AAG$25,1)&amp;AAG$7,IF(AAG$7=Stammdaten!$V$1,LEFT(AAF$25,1)&amp;AAG$7,""))</f>
        <v/>
      </c>
      <c r="AAH12" s="97" t="str">
        <f>IF(AAH$7=Stammdaten!$W$1,LEFT(AAH$25,1)&amp;AAH$7,IF(AAH$7=Stammdaten!$V$1,LEFT(AAG$25,1)&amp;AAH$7,""))</f>
        <v/>
      </c>
      <c r="AAI12" s="97" t="str">
        <f>IF(AAI$7=Stammdaten!$W$1,LEFT(AAI$25,1)&amp;AAI$7,IF(AAI$7=Stammdaten!$V$1,LEFT(AAH$25,1)&amp;AAI$7,""))</f>
        <v/>
      </c>
      <c r="AAJ12" s="97" t="str">
        <f>IF(AAJ$7=Stammdaten!$W$1,LEFT(AAJ$25,1)&amp;AAJ$7,IF(AAJ$7=Stammdaten!$V$1,LEFT(AAI$25,1)&amp;AAJ$7,""))</f>
        <v/>
      </c>
      <c r="AAK12" s="97" t="str">
        <f>IF(AAK$7=Stammdaten!$W$1,LEFT(AAK$25,1)&amp;AAK$7,IF(AAK$7=Stammdaten!$V$1,LEFT(AAJ$25,1)&amp;AAK$7,""))</f>
        <v/>
      </c>
      <c r="AAL12" s="97" t="str">
        <f>IF(AAL$7=Stammdaten!$W$1,LEFT(AAL$25,1)&amp;AAL$7,IF(AAL$7=Stammdaten!$V$1,LEFT(AAK$25,1)&amp;AAL$7,""))</f>
        <v>Res</v>
      </c>
      <c r="AAM12" s="97" t="str">
        <f>IF(AAM$7=Stammdaten!$W$1,LEFT(AAM$25,1)&amp;AAM$7,IF(AAM$7=Stammdaten!$V$1,LEFT(AAL$25,1)&amp;AAM$7,""))</f>
        <v/>
      </c>
      <c r="AAN12" s="97" t="str">
        <f>IF(AAN$7=Stammdaten!$W$1,LEFT(AAN$25,1)&amp;AAN$7,IF(AAN$7=Stammdaten!$V$1,LEFT(AAM$25,1)&amp;AAN$7,""))</f>
        <v/>
      </c>
      <c r="AAO12" s="97" t="str">
        <f>IF(AAO$7=Stammdaten!$W$1,LEFT(AAO$25,1)&amp;AAO$7,IF(AAO$7=Stammdaten!$V$1,LEFT(AAN$25,1)&amp;AAO$7,""))</f>
        <v/>
      </c>
      <c r="AAP12" s="97" t="str">
        <f>IF(AAP$7=Stammdaten!$W$1,LEFT(AAP$25,1)&amp;AAP$7,IF(AAP$7=Stammdaten!$V$1,LEFT(AAO$25,1)&amp;AAP$7,""))</f>
        <v/>
      </c>
      <c r="AAQ12" s="97" t="str">
        <f>IF(AAQ$7=Stammdaten!$W$1,LEFT(AAQ$25,1)&amp;AAQ$7,IF(AAQ$7=Stammdaten!$V$1,LEFT(AAP$25,1)&amp;AAQ$7,""))</f>
        <v/>
      </c>
      <c r="AAR12" s="97" t="str">
        <f>IF(AAR$7=Stammdaten!$W$1,LEFT(AAR$25,1)&amp;AAR$7,IF(AAR$7=Stammdaten!$V$1,LEFT(AAQ$25,1)&amp;AAR$7,""))</f>
        <v>2Ein</v>
      </c>
      <c r="AAS12" s="97" t="str">
        <f>IF(AAS$7=Stammdaten!$W$1,LEFT(AAS$25,1)&amp;AAS$7,IF(AAS$7=Stammdaten!$V$1,LEFT(AAR$25,1)&amp;AAS$7,""))</f>
        <v>2Res</v>
      </c>
      <c r="AAT12" s="97" t="str">
        <f>IF(AAT$7=Stammdaten!$W$1,LEFT(AAT$25,1)&amp;AAT$7,IF(AAT$7=Stammdaten!$V$1,LEFT(AAS$25,1)&amp;AAT$7,""))</f>
        <v/>
      </c>
      <c r="AAU12" s="97" t="str">
        <f>IF(AAU$7=Stammdaten!$W$1,LEFT(AAU$25,1)&amp;AAU$7,IF(AAU$7=Stammdaten!$V$1,LEFT(AAT$25,1)&amp;AAU$7,""))</f>
        <v/>
      </c>
      <c r="AAV12" s="97" t="str">
        <f>IF(AAV$7=Stammdaten!$W$1,LEFT(AAV$25,1)&amp;AAV$7,IF(AAV$7=Stammdaten!$V$1,LEFT(AAU$25,1)&amp;AAV$7,""))</f>
        <v/>
      </c>
      <c r="AAW12" s="97" t="str">
        <f>IF(AAW$7=Stammdaten!$W$1,LEFT(AAW$25,1)&amp;AAW$7,IF(AAW$7=Stammdaten!$V$1,LEFT(AAV$25,1)&amp;AAW$7,""))</f>
        <v/>
      </c>
      <c r="AAX12" s="97" t="str">
        <f>IF(AAX$7=Stammdaten!$W$1,LEFT(AAX$25,1)&amp;AAX$7,IF(AAX$7=Stammdaten!$V$1,LEFT(AAW$25,1)&amp;AAX$7,""))</f>
        <v/>
      </c>
      <c r="AAY12" s="97" t="str">
        <f>IF(AAY$7=Stammdaten!$W$1,LEFT(AAY$25,1)&amp;AAY$7,IF(AAY$7=Stammdaten!$V$1,LEFT(AAX$25,1)&amp;AAY$7,""))</f>
        <v/>
      </c>
      <c r="AAZ12" s="97" t="str">
        <f>IF(AAZ$7=Stammdaten!$W$1,LEFT(AAZ$25,1)&amp;AAZ$7,IF(AAZ$7=Stammdaten!$V$1,LEFT(AAY$25,1)&amp;AAZ$7,""))</f>
        <v/>
      </c>
      <c r="ABA12" s="97" t="str">
        <f>IF(ABA$7=Stammdaten!$W$1,LEFT(ABA$25,1)&amp;ABA$7,IF(ABA$7=Stammdaten!$V$1,LEFT(AAZ$25,1)&amp;ABA$7,""))</f>
        <v/>
      </c>
      <c r="ABB12" s="97" t="str">
        <f>IF(ABB$7=Stammdaten!$W$1,LEFT(ABB$25,1)&amp;ABB$7,IF(ABB$7=Stammdaten!$V$1,LEFT(ABA$25,1)&amp;ABB$7,""))</f>
        <v/>
      </c>
      <c r="ABC12" s="97" t="str">
        <f>IF(ABC$7=Stammdaten!$W$1,LEFT(ABC$25,1)&amp;ABC$7,IF(ABC$7=Stammdaten!$V$1,LEFT(ABB$25,1)&amp;ABC$7,""))</f>
        <v/>
      </c>
      <c r="ABD12" s="97" t="str">
        <f>IF(ABD$7=Stammdaten!$W$1,LEFT(ABD$25,1)&amp;ABD$7,IF(ABD$7=Stammdaten!$V$1,LEFT(ABC$25,1)&amp;ABD$7,""))</f>
        <v>2Ein</v>
      </c>
      <c r="ABE12" s="97" t="str">
        <f>IF(ABE$7=Stammdaten!$W$1,LEFT(ABE$25,1)&amp;ABE$7,IF(ABE$7=Stammdaten!$V$1,LEFT(ABD$25,1)&amp;ABE$7,""))</f>
        <v>2Res</v>
      </c>
      <c r="ABF12" s="97" t="str">
        <f>IF(ABF$7=Stammdaten!$W$1,LEFT(ABF$25,1)&amp;ABF$7,IF(ABF$7=Stammdaten!$V$1,LEFT(ABE$25,1)&amp;ABF$7,""))</f>
        <v/>
      </c>
      <c r="ABG12" s="97" t="str">
        <f>IF(ABG$7=Stammdaten!$W$1,LEFT(ABG$25,1)&amp;ABG$7,IF(ABG$7=Stammdaten!$V$1,LEFT(ABF$25,1)&amp;ABG$7,""))</f>
        <v/>
      </c>
      <c r="ABH12" s="97" t="str">
        <f>IF(ABH$7=Stammdaten!$W$1,LEFT(ABH$25,1)&amp;ABH$7,IF(ABH$7=Stammdaten!$V$1,LEFT(ABG$25,1)&amp;ABH$7,""))</f>
        <v/>
      </c>
      <c r="ABI12" s="97" t="str">
        <f>IF(ABI$7=Stammdaten!$W$1,LEFT(ABI$25,1)&amp;ABI$7,IF(ABI$7=Stammdaten!$V$1,LEFT(ABH$25,1)&amp;ABI$7,""))</f>
        <v/>
      </c>
      <c r="ABJ12" s="97" t="str">
        <f>IF(ABJ$7=Stammdaten!$W$1,LEFT(ABJ$25,1)&amp;ABJ$7,IF(ABJ$7=Stammdaten!$V$1,LEFT(ABI$25,1)&amp;ABJ$7,""))</f>
        <v/>
      </c>
      <c r="ABK12" s="97" t="str">
        <f>IF(ABK$7=Stammdaten!$W$1,LEFT(ABK$25,1)&amp;ABK$7,IF(ABK$7=Stammdaten!$V$1,LEFT(ABJ$25,1)&amp;ABK$7,""))</f>
        <v/>
      </c>
      <c r="ABL12" s="97" t="str">
        <f>IF(ABL$7=Stammdaten!$W$1,LEFT(ABL$25,1)&amp;ABL$7,IF(ABL$7=Stammdaten!$V$1,LEFT(ABK$25,1)&amp;ABL$7,""))</f>
        <v/>
      </c>
      <c r="ABM12" s="97" t="str">
        <f>IF(ABM$7=Stammdaten!$W$1,LEFT(ABM$25,1)&amp;ABM$7,IF(ABM$7=Stammdaten!$V$1,LEFT(ABL$25,1)&amp;ABM$7,""))</f>
        <v/>
      </c>
      <c r="ABN12" s="97" t="str">
        <f>IF(ABN$7=Stammdaten!$W$1,LEFT(ABN$25,1)&amp;ABN$7,IF(ABN$7=Stammdaten!$V$1,LEFT(ABM$25,1)&amp;ABN$7,""))</f>
        <v/>
      </c>
      <c r="ABO12" s="97" t="str">
        <f>IF(ABO$7=Stammdaten!$W$1,LEFT(ABO$25,1)&amp;ABO$7,IF(ABO$7=Stammdaten!$V$1,LEFT(ABN$25,1)&amp;ABO$7,""))</f>
        <v/>
      </c>
      <c r="ABP12" s="97" t="str">
        <f>IF(ABP$7=Stammdaten!$W$1,LEFT(ABP$25,1)&amp;ABP$7,IF(ABP$7=Stammdaten!$V$1,LEFT(ABO$25,1)&amp;ABP$7,""))</f>
        <v>Res</v>
      </c>
      <c r="ABQ12" s="97" t="str">
        <f>IF(ABQ$7=Stammdaten!$W$1,LEFT(ABQ$25,1)&amp;ABQ$7,IF(ABQ$7=Stammdaten!$V$1,LEFT(ABP$25,1)&amp;ABQ$7,""))</f>
        <v/>
      </c>
      <c r="ABR12" s="97" t="str">
        <f>IF(ABR$7=Stammdaten!$W$1,LEFT(ABR$25,1)&amp;ABR$7,IF(ABR$7=Stammdaten!$V$1,LEFT(ABQ$25,1)&amp;ABR$7,""))</f>
        <v/>
      </c>
      <c r="ABS12" s="97" t="str">
        <f>IF(ABS$7=Stammdaten!$W$1,LEFT(ABS$25,1)&amp;ABS$7,IF(ABS$7=Stammdaten!$V$1,LEFT(ABR$25,1)&amp;ABS$7,""))</f>
        <v/>
      </c>
      <c r="ABT12" s="97" t="str">
        <f>IF(ABT$7=Stammdaten!$W$1,LEFT(ABT$25,1)&amp;ABT$7,IF(ABT$7=Stammdaten!$V$1,LEFT(ABS$25,1)&amp;ABT$7,""))</f>
        <v/>
      </c>
      <c r="ABU12" s="97" t="str">
        <f>IF(ABU$7=Stammdaten!$W$1,LEFT(ABU$25,1)&amp;ABU$7,IF(ABU$7=Stammdaten!$V$1,LEFT(ABT$25,1)&amp;ABU$7,""))</f>
        <v/>
      </c>
      <c r="ABV12" s="97" t="str">
        <f>IF(ABV$7=Stammdaten!$W$1,LEFT(ABV$25,1)&amp;ABV$7,IF(ABV$7=Stammdaten!$V$1,LEFT(ABU$25,1)&amp;ABV$7,""))</f>
        <v>Res</v>
      </c>
      <c r="ABW12" s="97" t="str">
        <f>IF(ABW$7=Stammdaten!$W$1,LEFT(ABW$25,1)&amp;ABW$7,IF(ABW$7=Stammdaten!$V$1,LEFT(ABV$25,1)&amp;ABW$7,""))</f>
        <v/>
      </c>
      <c r="ABX12" s="97" t="str">
        <f>IF(ABX$7=Stammdaten!$W$1,LEFT(ABX$25,1)&amp;ABX$7,IF(ABX$7=Stammdaten!$V$1,LEFT(ABW$25,1)&amp;ABX$7,""))</f>
        <v/>
      </c>
      <c r="ABY12" s="97" t="str">
        <f>IF(ABY$7=Stammdaten!$W$1,LEFT(ABY$25,1)&amp;ABY$7,IF(ABY$7=Stammdaten!$V$1,LEFT(ABX$25,1)&amp;ABY$7,""))</f>
        <v/>
      </c>
      <c r="ABZ12" s="97" t="str">
        <f>IF(ABZ$7=Stammdaten!$W$1,LEFT(ABZ$25,1)&amp;ABZ$7,IF(ABZ$7=Stammdaten!$V$1,LEFT(ABY$25,1)&amp;ABZ$7,""))</f>
        <v/>
      </c>
      <c r="ACA12" s="97" t="str">
        <f>IF(ACA$7=Stammdaten!$W$1,LEFT(ACA$25,1)&amp;ACA$7,IF(ACA$7=Stammdaten!$V$1,LEFT(ABZ$25,1)&amp;ACA$7,""))</f>
        <v/>
      </c>
      <c r="ACB12" s="97" t="str">
        <f>IF(ACB$7=Stammdaten!$W$1,LEFT(ACB$25,1)&amp;ACB$7,IF(ACB$7=Stammdaten!$V$1,LEFT(ACA$25,1)&amp;ACB$7,""))</f>
        <v>2Ein</v>
      </c>
      <c r="ACC12" s="97" t="str">
        <f>IF(ACC$7=Stammdaten!$W$1,LEFT(ACC$25,1)&amp;ACC$7,IF(ACC$7=Stammdaten!$V$1,LEFT(ACB$25,1)&amp;ACC$7,""))</f>
        <v>2Res</v>
      </c>
      <c r="ACD12" s="97" t="str">
        <f>IF(ACD$7=Stammdaten!$W$1,LEFT(ACD$25,1)&amp;ACD$7,IF(ACD$7=Stammdaten!$V$1,LEFT(ACC$25,1)&amp;ACD$7,""))</f>
        <v/>
      </c>
      <c r="ACE12" s="97" t="str">
        <f>IF(ACE$7=Stammdaten!$W$1,LEFT(ACE$25,1)&amp;ACE$7,IF(ACE$7=Stammdaten!$V$1,LEFT(ACD$25,1)&amp;ACE$7,""))</f>
        <v/>
      </c>
      <c r="ACF12" s="97" t="str">
        <f>IF(ACF$7=Stammdaten!$W$1,LEFT(ACF$25,1)&amp;ACF$7,IF(ACF$7=Stammdaten!$V$1,LEFT(ACE$25,1)&amp;ACF$7,""))</f>
        <v/>
      </c>
      <c r="ACG12" s="97" t="str">
        <f>IF(ACG$7=Stammdaten!$W$1,LEFT(ACG$25,1)&amp;ACG$7,IF(ACG$7=Stammdaten!$V$1,LEFT(ACF$25,1)&amp;ACG$7,""))</f>
        <v/>
      </c>
      <c r="ACH12" s="97" t="str">
        <f>IF(ACH$7=Stammdaten!$W$1,LEFT(ACH$25,1)&amp;ACH$7,IF(ACH$7=Stammdaten!$V$1,LEFT(ACG$25,1)&amp;ACH$7,""))</f>
        <v/>
      </c>
      <c r="ACI12" s="97" t="str">
        <f>IF(ACI$7=Stammdaten!$W$1,LEFT(ACI$25,1)&amp;ACI$7,IF(ACI$7=Stammdaten!$V$1,LEFT(ACH$25,1)&amp;ACI$7,""))</f>
        <v/>
      </c>
      <c r="ACJ12" s="97" t="str">
        <f>IF(ACJ$7=Stammdaten!$W$1,LEFT(ACJ$25,1)&amp;ACJ$7,IF(ACJ$7=Stammdaten!$V$1,LEFT(ACI$25,1)&amp;ACJ$7,""))</f>
        <v/>
      </c>
      <c r="ACK12" s="97" t="str">
        <f>IF(ACK$7=Stammdaten!$W$1,LEFT(ACK$25,1)&amp;ACK$7,IF(ACK$7=Stammdaten!$V$1,LEFT(ACJ$25,1)&amp;ACK$7,""))</f>
        <v/>
      </c>
      <c r="ACL12" s="97" t="str">
        <f>IF(ACL$7=Stammdaten!$W$1,LEFT(ACL$25,1)&amp;ACL$7,IF(ACL$7=Stammdaten!$V$1,LEFT(ACK$25,1)&amp;ACL$7,""))</f>
        <v/>
      </c>
      <c r="ACM12" s="97" t="str">
        <f>IF(ACM$7=Stammdaten!$W$1,LEFT(ACM$25,1)&amp;ACM$7,IF(ACM$7=Stammdaten!$V$1,LEFT(ACL$25,1)&amp;ACM$7,""))</f>
        <v/>
      </c>
      <c r="ACN12" s="97"/>
    </row>
    <row r="13" spans="1:768" s="92" customFormat="1" hidden="1">
      <c r="A13" s="92" t="str">
        <f>Stammdaten!$CA$16&amp;" (Spaltenindizes)"</f>
        <v>Diplomsteuerung (Spaltenindizes)</v>
      </c>
      <c r="B13" s="100"/>
      <c r="C13" s="97"/>
      <c r="D13" s="97"/>
      <c r="E13" s="91"/>
      <c r="F13" s="97"/>
      <c r="G13" s="97" t="str">
        <f>IF(ISERROR(FIND(Stammdaten!$BZ$26,G$20,1)),"",COLUMN())</f>
        <v/>
      </c>
      <c r="H13" s="97" t="str">
        <f>IF(ISERROR(FIND(Stammdaten!$BZ$26,H$20,1)),"",COLUMN())</f>
        <v/>
      </c>
      <c r="I13" s="97" t="str">
        <f>IF(ISERROR(FIND(Stammdaten!$BZ$26,I$20,1)),"",COLUMN())</f>
        <v/>
      </c>
      <c r="J13" s="97" t="str">
        <f>IF(ISERROR(FIND(Stammdaten!$BZ$26,J$20,1)),"",COLUMN())</f>
        <v/>
      </c>
      <c r="K13" s="97" t="str">
        <f>IF(ISERROR(FIND(Stammdaten!$BZ$26,K$20,1)),"",COLUMN())</f>
        <v/>
      </c>
      <c r="L13" s="97" t="str">
        <f>IF(ISERROR(FIND(Stammdaten!$BZ$26,L$20,1)),"",COLUMN())</f>
        <v/>
      </c>
      <c r="M13" s="97" t="str">
        <f>IF(ISERROR(FIND(Stammdaten!$BZ$26,M$20,1)),"",COLUMN())</f>
        <v/>
      </c>
      <c r="N13" s="97" t="str">
        <f>IF(ISERROR(FIND(Stammdaten!$BZ$26,N$20,1)),"",COLUMN())</f>
        <v/>
      </c>
      <c r="O13" s="97" t="str">
        <f>IF(ISERROR(FIND(Stammdaten!$BZ$26,O$20,1)),"",COLUMN())</f>
        <v/>
      </c>
      <c r="P13" s="97" t="str">
        <f>IF(ISERROR(FIND(Stammdaten!$BZ$26,P$20,1)),"",COLUMN())</f>
        <v/>
      </c>
      <c r="Q13" s="97" t="str">
        <f>IF(ISERROR(FIND(Stammdaten!$BZ$26,Q$20,1)),"",COLUMN())</f>
        <v/>
      </c>
      <c r="R13" s="97" t="str">
        <f>IF(ISERROR(FIND(Stammdaten!$BZ$26,R$20,1)),"",COLUMN())</f>
        <v/>
      </c>
      <c r="S13" s="97" t="str">
        <f>IF(ISERROR(FIND(Stammdaten!$BZ$26,S$20,1)),"",COLUMN())</f>
        <v/>
      </c>
      <c r="T13" s="97" t="str">
        <f>IF(ISERROR(FIND(Stammdaten!$BZ$26,T$20,1)),"",COLUMN())</f>
        <v/>
      </c>
      <c r="U13" s="97" t="str">
        <f>IF(ISERROR(FIND(Stammdaten!$BZ$26,U$20,1)),"",COLUMN())</f>
        <v/>
      </c>
      <c r="V13" s="97" t="str">
        <f>IF(ISERROR(FIND(Stammdaten!$BZ$26,V$20,1)),"",COLUMN())</f>
        <v/>
      </c>
      <c r="W13" s="97" t="str">
        <f>IF(ISERROR(FIND(Stammdaten!$BZ$26,W$20,1)),"",COLUMN())</f>
        <v/>
      </c>
      <c r="X13" s="97" t="str">
        <f>IF(ISERROR(FIND(Stammdaten!$BZ$26,X$20,1)),"",COLUMN())</f>
        <v/>
      </c>
      <c r="Y13" s="97" t="str">
        <f>IF(ISERROR(FIND(Stammdaten!$BZ$26,Y$20,1)),"",COLUMN())</f>
        <v/>
      </c>
      <c r="Z13" s="97" t="str">
        <f>IF(ISERROR(FIND(Stammdaten!$BZ$26,Z$20,1)),"",COLUMN())</f>
        <v/>
      </c>
      <c r="AA13" s="97" t="str">
        <f>IF(ISERROR(FIND(Stammdaten!$BZ$26,AA$20,1)),"",COLUMN())</f>
        <v/>
      </c>
      <c r="AB13" s="97" t="str">
        <f>IF(ISERROR(FIND(Stammdaten!$BZ$26,AB$20,1)),"",COLUMN())</f>
        <v/>
      </c>
      <c r="AC13" s="97" t="str">
        <f>IF(ISERROR(FIND(Stammdaten!$BZ$26,AC$20,1)),"",COLUMN())</f>
        <v/>
      </c>
      <c r="AD13" s="97" t="str">
        <f>IF(ISERROR(FIND(Stammdaten!$BZ$26,AD$20,1)),"",COLUMN())</f>
        <v/>
      </c>
      <c r="AE13" s="97" t="str">
        <f>IF(ISERROR(FIND(Stammdaten!$BZ$26,AE$20,1)),"",COLUMN())</f>
        <v/>
      </c>
      <c r="AF13" s="97" t="str">
        <f>IF(ISERROR(FIND(Stammdaten!$BZ$26,AF$20,1)),"",COLUMN())</f>
        <v/>
      </c>
      <c r="AG13" s="97" t="str">
        <f>IF(ISERROR(FIND(Stammdaten!$BZ$26,AG$20,1)),"",COLUMN())</f>
        <v/>
      </c>
      <c r="AH13" s="97" t="str">
        <f>IF(ISERROR(FIND(Stammdaten!$BZ$26,AH$20,1)),"",COLUMN())</f>
        <v/>
      </c>
      <c r="AI13" s="97" t="str">
        <f>IF(ISERROR(FIND(Stammdaten!$BZ$26,AI$20,1)),"",COLUMN())</f>
        <v/>
      </c>
      <c r="AJ13" s="97" t="str">
        <f>IF(ISERROR(FIND(Stammdaten!$BZ$26,AJ$20,1)),"",COLUMN())</f>
        <v/>
      </c>
      <c r="AK13" s="97" t="str">
        <f>IF(ISERROR(FIND(Stammdaten!$BZ$26,AK$20,1)),"",COLUMN())</f>
        <v/>
      </c>
      <c r="AL13" s="97" t="str">
        <f>IF(ISERROR(FIND(Stammdaten!$BZ$26,AL$20,1)),"",COLUMN())</f>
        <v/>
      </c>
      <c r="AM13" s="97" t="str">
        <f>IF(ISERROR(FIND(Stammdaten!$BZ$26,AM$20,1)),"",COLUMN())</f>
        <v/>
      </c>
      <c r="AN13" s="97" t="str">
        <f>IF(ISERROR(FIND(Stammdaten!$BZ$26,AN$20,1)),"",COLUMN())</f>
        <v/>
      </c>
      <c r="AO13" s="97" t="str">
        <f>IF(ISERROR(FIND(Stammdaten!$BZ$26,AO$20,1)),"",COLUMN())</f>
        <v/>
      </c>
      <c r="AP13" s="97" t="str">
        <f>IF(ISERROR(FIND(Stammdaten!$BZ$26,AP$20,1)),"",COLUMN())</f>
        <v/>
      </c>
      <c r="AQ13" s="97" t="str">
        <f>IF(ISERROR(FIND(Stammdaten!$BZ$26,AQ$20,1)),"",COLUMN())</f>
        <v/>
      </c>
      <c r="AR13" s="97" t="str">
        <f>IF(ISERROR(FIND(Stammdaten!$BZ$26,AR$20,1)),"",COLUMN())</f>
        <v/>
      </c>
      <c r="AS13" s="97" t="str">
        <f>IF(ISERROR(FIND(Stammdaten!$BZ$26,AS$20,1)),"",COLUMN())</f>
        <v/>
      </c>
      <c r="AT13" s="97" t="str">
        <f>IF(ISERROR(FIND(Stammdaten!$BZ$26,AT$20,1)),"",COLUMN())</f>
        <v/>
      </c>
      <c r="AU13" s="97" t="str">
        <f>IF(ISERROR(FIND(Stammdaten!$BZ$26,AU$20,1)),"",COLUMN())</f>
        <v/>
      </c>
      <c r="AV13" s="97" t="str">
        <f>IF(ISERROR(FIND(Stammdaten!$BZ$26,AV$20,1)),"",COLUMN())</f>
        <v/>
      </c>
      <c r="AW13" s="97" t="str">
        <f>IF(ISERROR(FIND(Stammdaten!$BZ$26,AW$20,1)),"",COLUMN())</f>
        <v/>
      </c>
      <c r="AX13" s="97" t="str">
        <f>IF(ISERROR(FIND(Stammdaten!$BZ$26,AX$20,1)),"",COLUMN())</f>
        <v/>
      </c>
      <c r="AY13" s="97" t="str">
        <f>IF(ISERROR(FIND(Stammdaten!$BZ$26,AY$20,1)),"",COLUMN())</f>
        <v/>
      </c>
      <c r="AZ13" s="97" t="str">
        <f>IF(ISERROR(FIND(Stammdaten!$BZ$26,AZ$20,1)),"",COLUMN())</f>
        <v/>
      </c>
      <c r="BA13" s="97" t="str">
        <f>IF(ISERROR(FIND(Stammdaten!$BZ$26,BA$20,1)),"",COLUMN())</f>
        <v/>
      </c>
      <c r="BB13" s="97" t="str">
        <f>IF(ISERROR(FIND(Stammdaten!$BZ$26,BB$20,1)),"",COLUMN())</f>
        <v/>
      </c>
      <c r="BC13" s="97" t="str">
        <f>IF(ISERROR(FIND(Stammdaten!$BZ$26,BC$20,1)),"",COLUMN())</f>
        <v/>
      </c>
      <c r="BD13" s="97" t="str">
        <f>IF(ISERROR(FIND(Stammdaten!$BZ$26,BD$20,1)),"",COLUMN())</f>
        <v/>
      </c>
      <c r="BE13" s="97" t="str">
        <f>IF(ISERROR(FIND(Stammdaten!$BZ$26,BE$20,1)),"",COLUMN())</f>
        <v/>
      </c>
      <c r="BF13" s="97" t="str">
        <f>IF(ISERROR(FIND(Stammdaten!$BZ$26,BF$20,1)),"",COLUMN())</f>
        <v/>
      </c>
      <c r="BG13" s="97" t="str">
        <f>IF(ISERROR(FIND(Stammdaten!$BZ$26,BG$20,1)),"",COLUMN())</f>
        <v/>
      </c>
      <c r="BH13" s="97" t="str">
        <f>IF(ISERROR(FIND(Stammdaten!$BZ$26,BH$20,1)),"",COLUMN())</f>
        <v/>
      </c>
      <c r="BI13" s="97" t="str">
        <f>IF(ISERROR(FIND(Stammdaten!$BZ$26,BI$20,1)),"",COLUMN())</f>
        <v/>
      </c>
      <c r="BJ13" s="97" t="str">
        <f>IF(ISERROR(FIND(Stammdaten!$BZ$26,BJ$20,1)),"",COLUMN())</f>
        <v/>
      </c>
      <c r="BK13" s="97" t="str">
        <f>IF(ISERROR(FIND(Stammdaten!$BZ$26,BK$20,1)),"",COLUMN())</f>
        <v/>
      </c>
      <c r="BL13" s="97" t="str">
        <f>IF(ISERROR(FIND(Stammdaten!$BZ$26,BL$20,1)),"",COLUMN())</f>
        <v/>
      </c>
      <c r="BM13" s="97" t="str">
        <f>IF(ISERROR(FIND(Stammdaten!$BZ$26,BM$20,1)),"",COLUMN())</f>
        <v/>
      </c>
      <c r="BN13" s="97" t="str">
        <f>IF(ISERROR(FIND(Stammdaten!$BZ$26,BN$20,1)),"",COLUMN())</f>
        <v/>
      </c>
      <c r="BO13" s="97" t="str">
        <f>IF(ISERROR(FIND(Stammdaten!$BZ$26,BO$20,1)),"",COLUMN())</f>
        <v/>
      </c>
      <c r="BP13" s="97" t="str">
        <f>IF(ISERROR(FIND(Stammdaten!$BZ$26,BP$20,1)),"",COLUMN())</f>
        <v/>
      </c>
      <c r="BQ13" s="97" t="str">
        <f>IF(ISERROR(FIND(Stammdaten!$BZ$26,BQ$20,1)),"",COLUMN())</f>
        <v/>
      </c>
      <c r="BR13" s="97" t="str">
        <f>IF(ISERROR(FIND(Stammdaten!$BZ$26,BR$20,1)),"",COLUMN())</f>
        <v/>
      </c>
      <c r="BS13" s="97" t="str">
        <f>IF(ISERROR(FIND(Stammdaten!$BZ$26,BS$20,1)),"",COLUMN())</f>
        <v/>
      </c>
      <c r="BT13" s="97" t="str">
        <f>IF(ISERROR(FIND(Stammdaten!$BZ$26,BT$20,1)),"",COLUMN())</f>
        <v/>
      </c>
      <c r="BU13" s="97" t="str">
        <f>IF(ISERROR(FIND(Stammdaten!$BZ$26,BU$20,1)),"",COLUMN())</f>
        <v/>
      </c>
      <c r="BV13" s="97" t="str">
        <f>IF(ISERROR(FIND(Stammdaten!$BZ$26,BV$20,1)),"",COLUMN())</f>
        <v/>
      </c>
      <c r="BW13" s="97" t="str">
        <f>IF(ISERROR(FIND(Stammdaten!$BZ$26,BW$20,1)),"",COLUMN())</f>
        <v/>
      </c>
      <c r="BX13" s="97" t="str">
        <f>IF(ISERROR(FIND(Stammdaten!$BZ$26,BX$20,1)),"",COLUMN())</f>
        <v/>
      </c>
      <c r="BY13" s="97" t="str">
        <f>IF(ISERROR(FIND(Stammdaten!$BZ$26,BY$20,1)),"",COLUMN())</f>
        <v/>
      </c>
      <c r="BZ13" s="97" t="str">
        <f>IF(ISERROR(FIND(Stammdaten!$BZ$26,BZ$20,1)),"",COLUMN())</f>
        <v/>
      </c>
      <c r="CA13" s="97" t="str">
        <f>IF(ISERROR(FIND(Stammdaten!$BZ$26,CA$20,1)),"",COLUMN())</f>
        <v/>
      </c>
      <c r="CB13" s="97" t="str">
        <f>IF(ISERROR(FIND(Stammdaten!$BZ$26,CB$20,1)),"",COLUMN())</f>
        <v/>
      </c>
      <c r="CC13" s="97" t="str">
        <f>IF(ISERROR(FIND(Stammdaten!$BZ$26,CC$20,1)),"",COLUMN())</f>
        <v/>
      </c>
      <c r="CD13" s="97" t="str">
        <f>IF(ISERROR(FIND(Stammdaten!$BZ$26,CD$20,1)),"",COLUMN())</f>
        <v/>
      </c>
      <c r="CE13" s="97" t="str">
        <f>IF(ISERROR(FIND(Stammdaten!$BZ$26,CE$20,1)),"",COLUMN())</f>
        <v/>
      </c>
      <c r="CF13" s="97" t="str">
        <f>IF(ISERROR(FIND(Stammdaten!$BZ$26,CF$20,1)),"",COLUMN())</f>
        <v/>
      </c>
      <c r="CG13" s="97" t="str">
        <f>IF(ISERROR(FIND(Stammdaten!$BZ$26,CG$20,1)),"",COLUMN())</f>
        <v/>
      </c>
      <c r="CH13" s="97" t="str">
        <f>IF(ISERROR(FIND(Stammdaten!$BZ$26,CH$20,1)),"",COLUMN())</f>
        <v/>
      </c>
      <c r="CI13" s="97" t="str">
        <f>IF(ISERROR(FIND(Stammdaten!$BZ$26,CI$20,1)),"",COLUMN())</f>
        <v/>
      </c>
      <c r="CJ13" s="97" t="str">
        <f>IF(ISERROR(FIND(Stammdaten!$BZ$26,CJ$20,1)),"",COLUMN())</f>
        <v/>
      </c>
      <c r="CK13" s="97" t="str">
        <f>IF(ISERROR(FIND(Stammdaten!$BZ$26,CK$20,1)),"",COLUMN())</f>
        <v/>
      </c>
      <c r="CL13" s="97" t="str">
        <f>IF(ISERROR(FIND(Stammdaten!$BZ$26,CL$20,1)),"",COLUMN())</f>
        <v/>
      </c>
      <c r="CM13" s="97" t="str">
        <f>IF(ISERROR(FIND(Stammdaten!$BZ$26,CM$20,1)),"",COLUMN())</f>
        <v/>
      </c>
      <c r="CN13" s="97" t="str">
        <f>IF(ISERROR(FIND(Stammdaten!$BZ$26,CN$20,1)),"",COLUMN())</f>
        <v/>
      </c>
      <c r="CO13" s="97" t="str">
        <f>IF(ISERROR(FIND(Stammdaten!$BZ$26,CO$20,1)),"",COLUMN())</f>
        <v/>
      </c>
      <c r="CP13" s="97" t="str">
        <f>IF(ISERROR(FIND(Stammdaten!$BZ$26,CP$20,1)),"",COLUMN())</f>
        <v/>
      </c>
      <c r="CQ13" s="97" t="str">
        <f>IF(ISERROR(FIND(Stammdaten!$BZ$26,CQ$20,1)),"",COLUMN())</f>
        <v/>
      </c>
      <c r="CR13" s="97" t="str">
        <f>IF(ISERROR(FIND(Stammdaten!$BZ$26,CR$20,1)),"",COLUMN())</f>
        <v/>
      </c>
      <c r="CS13" s="97" t="str">
        <f>IF(ISERROR(FIND(Stammdaten!$BZ$26,CS$20,1)),"",COLUMN())</f>
        <v/>
      </c>
      <c r="CT13" s="97" t="str">
        <f>IF(ISERROR(FIND(Stammdaten!$BZ$26,CT$20,1)),"",COLUMN())</f>
        <v/>
      </c>
      <c r="CU13" s="97" t="str">
        <f>IF(ISERROR(FIND(Stammdaten!$BZ$26,CU$20,1)),"",COLUMN())</f>
        <v/>
      </c>
      <c r="CV13" s="97" t="str">
        <f>IF(ISERROR(FIND(Stammdaten!$BZ$26,CV$20,1)),"",COLUMN())</f>
        <v/>
      </c>
      <c r="CW13" s="97" t="str">
        <f>IF(ISERROR(FIND(Stammdaten!$BZ$26,CW$20,1)),"",COLUMN())</f>
        <v/>
      </c>
      <c r="CX13" s="97" t="str">
        <f>IF(ISERROR(FIND(Stammdaten!$BZ$26,CX$20,1)),"",COLUMN())</f>
        <v/>
      </c>
      <c r="CY13" s="97" t="str">
        <f>IF(ISERROR(FIND(Stammdaten!$BZ$26,CY$20,1)),"",COLUMN())</f>
        <v/>
      </c>
      <c r="CZ13" s="97" t="str">
        <f>IF(ISERROR(FIND(Stammdaten!$BZ$26,CZ$20,1)),"",COLUMN())</f>
        <v/>
      </c>
      <c r="DA13" s="97" t="str">
        <f>IF(ISERROR(FIND(Stammdaten!$BZ$26,DA$20,1)),"",COLUMN())</f>
        <v/>
      </c>
      <c r="DB13" s="97" t="str">
        <f>IF(ISERROR(FIND(Stammdaten!$BZ$26,DB$20,1)),"",COLUMN())</f>
        <v/>
      </c>
      <c r="DC13" s="97" t="str">
        <f>IF(ISERROR(FIND(Stammdaten!$BZ$26,DC$20,1)),"",COLUMN())</f>
        <v/>
      </c>
      <c r="DD13" s="97" t="str">
        <f>IF(ISERROR(FIND(Stammdaten!$BZ$26,DD$20,1)),"",COLUMN())</f>
        <v/>
      </c>
      <c r="DE13" s="97" t="str">
        <f>IF(ISERROR(FIND(Stammdaten!$BZ$26,DE$20,1)),"",COLUMN())</f>
        <v/>
      </c>
      <c r="DF13" s="97" t="str">
        <f>IF(ISERROR(FIND(Stammdaten!$BZ$26,DF$20,1)),"",COLUMN())</f>
        <v/>
      </c>
      <c r="DG13" s="97" t="str">
        <f>IF(ISERROR(FIND(Stammdaten!$BZ$26,DG$20,1)),"",COLUMN())</f>
        <v/>
      </c>
      <c r="DH13" s="97" t="str">
        <f>IF(ISERROR(FIND(Stammdaten!$BZ$26,DH$20,1)),"",COLUMN())</f>
        <v/>
      </c>
      <c r="DI13" s="97" t="str">
        <f>IF(ISERROR(FIND(Stammdaten!$BZ$26,DI$20,1)),"",COLUMN())</f>
        <v/>
      </c>
      <c r="DJ13" s="97" t="str">
        <f>IF(ISERROR(FIND(Stammdaten!$BZ$26,DJ$20,1)),"",COLUMN())</f>
        <v/>
      </c>
      <c r="DK13" s="97" t="str">
        <f ca="1">IF(ISERROR(FIND(Stammdaten!$BZ$26,DK$20,1)),"",COLUMN())</f>
        <v/>
      </c>
      <c r="DL13" s="97" t="str">
        <f ca="1">IF(ISERROR(FIND(Stammdaten!$BZ$26,DL$20,1)),"",COLUMN())</f>
        <v/>
      </c>
      <c r="DM13" s="97" t="str">
        <f ca="1">IF(ISERROR(FIND(Stammdaten!$BZ$26,DM$20,1)),"",COLUMN())</f>
        <v/>
      </c>
      <c r="DN13" s="97" t="str">
        <f ca="1">IF(ISERROR(FIND(Stammdaten!$BZ$26,DN$20,1)),"",COLUMN())</f>
        <v/>
      </c>
      <c r="DO13" s="97" t="str">
        <f>IF(ISERROR(FIND(Stammdaten!$BZ$26,DO$20,1)),"",COLUMN())</f>
        <v/>
      </c>
      <c r="DP13" s="97" t="str">
        <f>IF(ISERROR(FIND(Stammdaten!$BZ$26,DP$20,1)),"",COLUMN())</f>
        <v/>
      </c>
      <c r="DQ13" s="97" t="str">
        <f>IF(ISERROR(FIND(Stammdaten!$BZ$26,DQ$20,1)),"",COLUMN())</f>
        <v/>
      </c>
      <c r="DR13" s="97" t="str">
        <f>IF(ISERROR(FIND(Stammdaten!$BZ$26,DR$20,1)),"",COLUMN())</f>
        <v/>
      </c>
      <c r="DS13" s="97" t="str">
        <f>IF(ISERROR(FIND(Stammdaten!$BZ$26,DS$20,1)),"",COLUMN())</f>
        <v/>
      </c>
      <c r="DT13" s="97" t="str">
        <f>IF(ISERROR(FIND(Stammdaten!$BZ$26,DT$20,1)),"",COLUMN())</f>
        <v/>
      </c>
      <c r="DU13" s="97" t="str">
        <f>IF(ISERROR(FIND(Stammdaten!$BZ$26,DU$20,1)),"",COLUMN())</f>
        <v/>
      </c>
      <c r="DV13" s="97" t="str">
        <f>IF(ISERROR(FIND(Stammdaten!$BZ$26,DV$20,1)),"",COLUMN())</f>
        <v/>
      </c>
      <c r="DW13" s="97" t="str">
        <f>IF(ISERROR(FIND(Stammdaten!$BZ$26,DW$20,1)),"",COLUMN())</f>
        <v/>
      </c>
      <c r="DX13" s="97" t="str">
        <f>IF(ISERROR(FIND(Stammdaten!$BZ$26,DX$20,1)),"",COLUMN())</f>
        <v/>
      </c>
      <c r="DY13" s="97" t="str">
        <f>IF(ISERROR(FIND(Stammdaten!$BZ$26,DY$20,1)),"",COLUMN())</f>
        <v/>
      </c>
      <c r="DZ13" s="97" t="str">
        <f>IF(ISERROR(FIND(Stammdaten!$BZ$26,DZ$20,1)),"",COLUMN())</f>
        <v/>
      </c>
      <c r="EA13" s="97" t="str">
        <f>IF(ISERROR(FIND(Stammdaten!$BZ$26,EA$20,1)),"",COLUMN())</f>
        <v/>
      </c>
      <c r="EB13" s="97" t="str">
        <f>IF(ISERROR(FIND(Stammdaten!$BZ$26,EB$20,1)),"",COLUMN())</f>
        <v/>
      </c>
      <c r="EC13" s="97">
        <f>IF(ISERROR(FIND(Stammdaten!$BZ$26,EC$20,1)),"",COLUMN())</f>
        <v>133</v>
      </c>
      <c r="ED13" s="97">
        <f>IF(ISERROR(FIND(Stammdaten!$BZ$26,ED$20,1)),"",COLUMN())</f>
        <v>134</v>
      </c>
      <c r="EE13" s="97">
        <f>IF(ISERROR(FIND(Stammdaten!$BZ$26,EE$20,1)),"",COLUMN())</f>
        <v>135</v>
      </c>
      <c r="EF13" s="97" t="str">
        <f ca="1">IF(ISERROR(FIND(Stammdaten!$BZ$26,EF$20,1)),"",COLUMN())</f>
        <v/>
      </c>
      <c r="EG13" s="97" t="str">
        <f ca="1">IF(ISERROR(FIND(Stammdaten!$BZ$26,EG$20,1)),"",COLUMN())</f>
        <v/>
      </c>
      <c r="EH13" s="97" t="str">
        <f ca="1">IF(ISERROR(FIND(Stammdaten!$BZ$26,EH$20,1)),"",COLUMN())</f>
        <v/>
      </c>
      <c r="EI13" s="97" t="str">
        <f ca="1">IF(ISERROR(FIND(Stammdaten!$BZ$26,EI$20,1)),"",COLUMN())</f>
        <v/>
      </c>
      <c r="EJ13" s="97" t="str">
        <f>IF(ISERROR(FIND(Stammdaten!$BZ$26,EJ$20,1)),"",COLUMN())</f>
        <v/>
      </c>
      <c r="EK13" s="97" t="str">
        <f>IF(ISERROR(FIND(Stammdaten!$BZ$26,EK$20,1)),"",COLUMN())</f>
        <v/>
      </c>
      <c r="EL13" s="97" t="str">
        <f>IF(ISERROR(FIND(Stammdaten!$BZ$26,EL$20,1)),"",COLUMN())</f>
        <v/>
      </c>
      <c r="EM13" s="97" t="str">
        <f>IF(ISERROR(FIND(Stammdaten!$BZ$26,EM$20,1)),"",COLUMN())</f>
        <v/>
      </c>
      <c r="EN13" s="97" t="str">
        <f>IF(ISERROR(FIND(Stammdaten!$BZ$26,EN$20,1)),"",COLUMN())</f>
        <v/>
      </c>
      <c r="EO13" s="97" t="str">
        <f>IF(ISERROR(FIND(Stammdaten!$BZ$26,EO$20,1)),"",COLUMN())</f>
        <v/>
      </c>
      <c r="EP13" s="97" t="str">
        <f>IF(ISERROR(FIND(Stammdaten!$BZ$26,EP$20,1)),"",COLUMN())</f>
        <v/>
      </c>
      <c r="EQ13" s="97" t="str">
        <f>IF(ISERROR(FIND(Stammdaten!$BZ$26,EQ$20,1)),"",COLUMN())</f>
        <v/>
      </c>
      <c r="ER13" s="97" t="str">
        <f>IF(ISERROR(FIND(Stammdaten!$BZ$26,ER$20,1)),"",COLUMN())</f>
        <v/>
      </c>
      <c r="ES13" s="97" t="str">
        <f>IF(ISERROR(FIND(Stammdaten!$BZ$26,ES$20,1)),"",COLUMN())</f>
        <v/>
      </c>
      <c r="ET13" s="97" t="str">
        <f>IF(ISERROR(FIND(Stammdaten!$BZ$26,ET$20,1)),"",COLUMN())</f>
        <v/>
      </c>
      <c r="EU13" s="97" t="str">
        <f>IF(ISERROR(FIND(Stammdaten!$BZ$26,EU$20,1)),"",COLUMN())</f>
        <v/>
      </c>
      <c r="EV13" s="97" t="str">
        <f>IF(ISERROR(FIND(Stammdaten!$BZ$26,EV$20,1)),"",COLUMN())</f>
        <v/>
      </c>
      <c r="EW13" s="97" t="str">
        <f>IF(ISERROR(FIND(Stammdaten!$BZ$26,EW$20,1)),"",COLUMN())</f>
        <v/>
      </c>
      <c r="EX13" s="97">
        <f>IF(ISERROR(FIND(Stammdaten!$BZ$26,EX$20,1)),"",COLUMN())</f>
        <v>154</v>
      </c>
      <c r="EY13" s="97">
        <f>IF(ISERROR(FIND(Stammdaten!$BZ$26,EY$20,1)),"",COLUMN())</f>
        <v>155</v>
      </c>
      <c r="EZ13" s="97">
        <f>IF(ISERROR(FIND(Stammdaten!$BZ$26,EZ$20,1)),"",COLUMN())</f>
        <v>156</v>
      </c>
      <c r="FA13" s="97" t="str">
        <f ca="1">IF(ISERROR(FIND(Stammdaten!$BZ$26,FA$20,1)),"",COLUMN())</f>
        <v/>
      </c>
      <c r="FB13" s="97" t="str">
        <f ca="1">IF(ISERROR(FIND(Stammdaten!$BZ$26,FB$20,1)),"",COLUMN())</f>
        <v/>
      </c>
      <c r="FC13" s="97" t="str">
        <f ca="1">IF(ISERROR(FIND(Stammdaten!$BZ$26,FC$20,1)),"",COLUMN())</f>
        <v/>
      </c>
      <c r="FD13" s="97" t="str">
        <f ca="1">IF(ISERROR(FIND(Stammdaten!$BZ$26,FD$20,1)),"",COLUMN())</f>
        <v/>
      </c>
      <c r="FE13" s="97" t="str">
        <f>IF(ISERROR(FIND(Stammdaten!$BZ$26,FE$20,1)),"",COLUMN())</f>
        <v/>
      </c>
      <c r="FF13" s="97" t="str">
        <f>IF(ISERROR(FIND(Stammdaten!$BZ$26,FF$20,1)),"",COLUMN())</f>
        <v/>
      </c>
      <c r="FG13" s="97" t="str">
        <f>IF(ISERROR(FIND(Stammdaten!$BZ$26,FG$20,1)),"",COLUMN())</f>
        <v/>
      </c>
      <c r="FH13" s="97" t="str">
        <f>IF(ISERROR(FIND(Stammdaten!$BZ$26,FH$20,1)),"",COLUMN())</f>
        <v/>
      </c>
      <c r="FI13" s="97" t="str">
        <f>IF(ISERROR(FIND(Stammdaten!$BZ$26,FI$20,1)),"",COLUMN())</f>
        <v/>
      </c>
      <c r="FJ13" s="97" t="str">
        <f>IF(ISERROR(FIND(Stammdaten!$BZ$26,FJ$20,1)),"",COLUMN())</f>
        <v/>
      </c>
      <c r="FK13" s="97" t="str">
        <f>IF(ISERROR(FIND(Stammdaten!$BZ$26,FK$20,1)),"",COLUMN())</f>
        <v/>
      </c>
      <c r="FL13" s="97" t="str">
        <f>IF(ISERROR(FIND(Stammdaten!$BZ$26,FL$20,1)),"",COLUMN())</f>
        <v/>
      </c>
      <c r="FM13" s="97" t="str">
        <f>IF(ISERROR(FIND(Stammdaten!$BZ$26,FM$20,1)),"",COLUMN())</f>
        <v/>
      </c>
      <c r="FN13" s="97" t="str">
        <f>IF(ISERROR(FIND(Stammdaten!$BZ$26,FN$20,1)),"",COLUMN())</f>
        <v/>
      </c>
      <c r="FO13" s="97" t="str">
        <f>IF(ISERROR(FIND(Stammdaten!$BZ$26,FO$20,1)),"",COLUMN())</f>
        <v/>
      </c>
      <c r="FP13" s="97" t="str">
        <f>IF(ISERROR(FIND(Stammdaten!$BZ$26,FP$20,1)),"",COLUMN())</f>
        <v/>
      </c>
      <c r="FQ13" s="97" t="str">
        <f>IF(ISERROR(FIND(Stammdaten!$BZ$26,FQ$20,1)),"",COLUMN())</f>
        <v/>
      </c>
      <c r="FR13" s="97" t="str">
        <f>IF(ISERROR(FIND(Stammdaten!$BZ$26,FR$20,1)),"",COLUMN())</f>
        <v/>
      </c>
      <c r="FS13" s="97">
        <f>IF(ISERROR(FIND(Stammdaten!$BZ$26,FS$20,1)),"",COLUMN())</f>
        <v>175</v>
      </c>
      <c r="FT13" s="97">
        <f>IF(ISERROR(FIND(Stammdaten!$BZ$26,FT$20,1)),"",COLUMN())</f>
        <v>176</v>
      </c>
      <c r="FU13" s="97">
        <f>IF(ISERROR(FIND(Stammdaten!$BZ$26,FU$20,1)),"",COLUMN())</f>
        <v>177</v>
      </c>
      <c r="FV13" s="97" t="str">
        <f ca="1">IF(ISERROR(FIND(Stammdaten!$BZ$26,FV$20,1)),"",COLUMN())</f>
        <v/>
      </c>
      <c r="FW13" s="97" t="str">
        <f ca="1">IF(ISERROR(FIND(Stammdaten!$BZ$26,FW$20,1)),"",COLUMN())</f>
        <v/>
      </c>
      <c r="FX13" s="97" t="str">
        <f ca="1">IF(ISERROR(FIND(Stammdaten!$BZ$26,FX$20,1)),"",COLUMN())</f>
        <v/>
      </c>
      <c r="FY13" s="97" t="str">
        <f ca="1">IF(ISERROR(FIND(Stammdaten!$BZ$26,FY$20,1)),"",COLUMN())</f>
        <v/>
      </c>
      <c r="FZ13" s="97" t="str">
        <f ca="1">IF(ISERROR(FIND(Stammdaten!$BZ$26,FZ$20,1)),"",COLUMN())</f>
        <v/>
      </c>
      <c r="GA13" s="97" t="str">
        <f ca="1">IF(ISERROR(FIND(Stammdaten!$BZ$26,GA$20,1)),"",COLUMN())</f>
        <v/>
      </c>
      <c r="GB13" s="97" t="str">
        <f>IF(ISERROR(FIND(Stammdaten!$BZ$26,GB$20,1)),"",COLUMN())</f>
        <v/>
      </c>
      <c r="GC13" s="97" t="str">
        <f>IF(ISERROR(FIND(Stammdaten!$BZ$26,GC$20,1)),"",COLUMN())</f>
        <v/>
      </c>
      <c r="GD13" s="97" t="str">
        <f>IF(ISERROR(FIND(Stammdaten!$BZ$26,GD$20,1)),"",COLUMN())</f>
        <v/>
      </c>
      <c r="GE13" s="97" t="str">
        <f>IF(ISERROR(FIND(Stammdaten!$BZ$26,GE$20,1)),"",COLUMN())</f>
        <v/>
      </c>
      <c r="GF13" s="97" t="str">
        <f>IF(ISERROR(FIND(Stammdaten!$BZ$26,GF$20,1)),"",COLUMN())</f>
        <v/>
      </c>
      <c r="GG13" s="97" t="str">
        <f>IF(ISERROR(FIND(Stammdaten!$BZ$26,GG$20,1)),"",COLUMN())</f>
        <v/>
      </c>
      <c r="GH13" s="97" t="str">
        <f>IF(ISERROR(FIND(Stammdaten!$BZ$26,GH$20,1)),"",COLUMN())</f>
        <v/>
      </c>
      <c r="GI13" s="97" t="str">
        <f>IF(ISERROR(FIND(Stammdaten!$BZ$26,GI$20,1)),"",COLUMN())</f>
        <v/>
      </c>
      <c r="GJ13" s="97" t="str">
        <f>IF(ISERROR(FIND(Stammdaten!$BZ$26,GJ$20,1)),"",COLUMN())</f>
        <v/>
      </c>
      <c r="GK13" s="97" t="str">
        <f>IF(ISERROR(FIND(Stammdaten!$BZ$26,GK$20,1)),"",COLUMN())</f>
        <v/>
      </c>
      <c r="GL13" s="97" t="str">
        <f>IF(ISERROR(FIND(Stammdaten!$BZ$26,GL$20,1)),"",COLUMN())</f>
        <v/>
      </c>
      <c r="GM13" s="97" t="str">
        <f>IF(ISERROR(FIND(Stammdaten!$BZ$26,GM$20,1)),"",COLUMN())</f>
        <v/>
      </c>
      <c r="GN13" s="97" t="str">
        <f>IF(ISERROR(FIND(Stammdaten!$BZ$26,GN$20,1)),"",COLUMN())</f>
        <v/>
      </c>
      <c r="GO13" s="97" t="str">
        <f>IF(ISERROR(FIND(Stammdaten!$BZ$26,GO$20,1)),"",COLUMN())</f>
        <v/>
      </c>
      <c r="GP13" s="97">
        <f>IF(ISERROR(FIND(Stammdaten!$BZ$26,GP$20,1)),"",COLUMN())</f>
        <v>198</v>
      </c>
      <c r="GQ13" s="97">
        <f>IF(ISERROR(FIND(Stammdaten!$BZ$26,GQ$20,1)),"",COLUMN())</f>
        <v>199</v>
      </c>
      <c r="GR13" s="97">
        <f>IF(ISERROR(FIND(Stammdaten!$BZ$26,GR$20,1)),"",COLUMN())</f>
        <v>200</v>
      </c>
      <c r="GS13" s="97" t="str">
        <f>IF(ISERROR(FIND(Stammdaten!$BZ$26,GS$20,1)),"",COLUMN())</f>
        <v/>
      </c>
      <c r="GT13" s="97" t="str">
        <f>IF(ISERROR(FIND(Stammdaten!$BZ$26,GT$20,1)),"",COLUMN())</f>
        <v/>
      </c>
      <c r="GU13" s="97" t="str">
        <f>IF(ISERROR(FIND(Stammdaten!$BZ$26,GU$20,1)),"",COLUMN())</f>
        <v/>
      </c>
      <c r="GV13" s="97" t="str">
        <f>IF(ISERROR(FIND(Stammdaten!$BZ$26,GV$20,1)),"",COLUMN())</f>
        <v/>
      </c>
      <c r="GW13" s="97" t="str">
        <f>IF(ISERROR(FIND(Stammdaten!$BZ$26,GW$20,1)),"",COLUMN())</f>
        <v/>
      </c>
      <c r="GX13" s="97" t="str">
        <f>IF(ISERROR(FIND(Stammdaten!$BZ$26,GX$20,1)),"",COLUMN())</f>
        <v/>
      </c>
      <c r="GY13" s="97" t="str">
        <f>IF(ISERROR(FIND(Stammdaten!$BZ$26,GY$20,1)),"",COLUMN())</f>
        <v/>
      </c>
      <c r="GZ13" s="97" t="str">
        <f>IF(ISERROR(FIND(Stammdaten!$BZ$26,GZ$20,1)),"",COLUMN())</f>
        <v/>
      </c>
      <c r="HA13" s="97" t="str">
        <f>IF(ISERROR(FIND(Stammdaten!$BZ$26,HA$20,1)),"",COLUMN())</f>
        <v/>
      </c>
      <c r="HB13" s="97" t="str">
        <f>IF(ISERROR(FIND(Stammdaten!$BZ$26,HB$20,1)),"",COLUMN())</f>
        <v/>
      </c>
      <c r="HC13" s="97" t="str">
        <f>IF(ISERROR(FIND(Stammdaten!$BZ$26,HC$20,1)),"",COLUMN())</f>
        <v/>
      </c>
      <c r="HD13" s="97" t="str">
        <f>IF(ISERROR(FIND(Stammdaten!$BZ$26,HD$20,1)),"",COLUMN())</f>
        <v/>
      </c>
      <c r="HE13" s="97" t="str">
        <f>IF(ISERROR(FIND(Stammdaten!$BZ$26,HE$20,1)),"",COLUMN())</f>
        <v/>
      </c>
      <c r="HF13" s="97" t="str">
        <f>IF(ISERROR(FIND(Stammdaten!$BZ$26,HF$20,1)),"",COLUMN())</f>
        <v/>
      </c>
      <c r="HG13" s="97" t="str">
        <f>IF(ISERROR(FIND(Stammdaten!$BZ$26,HG$20,1)),"",COLUMN())</f>
        <v/>
      </c>
      <c r="HH13" s="97" t="str">
        <f>IF(ISERROR(FIND(Stammdaten!$BZ$26,HH$20,1)),"",COLUMN())</f>
        <v/>
      </c>
      <c r="HI13" s="97" t="str">
        <f>IF(ISERROR(FIND(Stammdaten!$BZ$26,HI$20,1)),"",COLUMN())</f>
        <v/>
      </c>
      <c r="HJ13" s="97" t="str">
        <f>IF(ISERROR(FIND(Stammdaten!$BZ$26,HJ$20,1)),"",COLUMN())</f>
        <v/>
      </c>
      <c r="HK13" s="97" t="str">
        <f>IF(ISERROR(FIND(Stammdaten!$BZ$26,HK$20,1)),"",COLUMN())</f>
        <v/>
      </c>
      <c r="HL13" s="97" t="str">
        <f>IF(ISERROR(FIND(Stammdaten!$BZ$26,HL$20,1)),"",COLUMN())</f>
        <v/>
      </c>
      <c r="HM13" s="97" t="str">
        <f>IF(ISERROR(FIND(Stammdaten!$BZ$26,HM$20,1)),"",COLUMN())</f>
        <v/>
      </c>
      <c r="HN13" s="97" t="str">
        <f>IF(ISERROR(FIND(Stammdaten!$BZ$26,HN$20,1)),"",COLUMN())</f>
        <v/>
      </c>
      <c r="HO13" s="97" t="str">
        <f>IF(ISERROR(FIND(Stammdaten!$BZ$26,HO$20,1)),"",COLUMN())</f>
        <v/>
      </c>
      <c r="HP13" s="97" t="str">
        <f>IF(ISERROR(FIND(Stammdaten!$BZ$26,HP$20,1)),"",COLUMN())</f>
        <v/>
      </c>
      <c r="HQ13" s="97" t="str">
        <f>IF(ISERROR(FIND(Stammdaten!$BZ$26,HQ$20,1)),"",COLUMN())</f>
        <v/>
      </c>
      <c r="HR13" s="97" t="str">
        <f>IF(ISERROR(FIND(Stammdaten!$BZ$26,HR$20,1)),"",COLUMN())</f>
        <v/>
      </c>
      <c r="HS13" s="97" t="str">
        <f>IF(ISERROR(FIND(Stammdaten!$BZ$26,HS$20,1)),"",COLUMN())</f>
        <v/>
      </c>
      <c r="HT13" s="97" t="str">
        <f>IF(ISERROR(FIND(Stammdaten!$BZ$26,HT$20,1)),"",COLUMN())</f>
        <v/>
      </c>
      <c r="HU13" s="97" t="str">
        <f>IF(ISERROR(FIND(Stammdaten!$BZ$26,HU$20,1)),"",COLUMN())</f>
        <v/>
      </c>
      <c r="HV13" s="97" t="str">
        <f>IF(ISERROR(FIND(Stammdaten!$BZ$26,HV$20,1)),"",COLUMN())</f>
        <v/>
      </c>
      <c r="HW13" s="97" t="str">
        <f>IF(ISERROR(FIND(Stammdaten!$BZ$26,HW$20,1)),"",COLUMN())</f>
        <v/>
      </c>
      <c r="HX13" s="97" t="str">
        <f>IF(ISERROR(FIND(Stammdaten!$BZ$26,HX$20,1)),"",COLUMN())</f>
        <v/>
      </c>
      <c r="HY13" s="97" t="str">
        <f>IF(ISERROR(FIND(Stammdaten!$BZ$26,HY$20,1)),"",COLUMN())</f>
        <v/>
      </c>
      <c r="HZ13" s="97" t="str">
        <f>IF(ISERROR(FIND(Stammdaten!$BZ$26,HZ$20,1)),"",COLUMN())</f>
        <v/>
      </c>
      <c r="IA13" s="97" t="str">
        <f>IF(ISERROR(FIND(Stammdaten!$BZ$26,IA$20,1)),"",COLUMN())</f>
        <v/>
      </c>
      <c r="IB13" s="97" t="str">
        <f>IF(ISERROR(FIND(Stammdaten!$BZ$26,IB$20,1)),"",COLUMN())</f>
        <v/>
      </c>
      <c r="IC13" s="97" t="str">
        <f>IF(ISERROR(FIND(Stammdaten!$BZ$26,IC$20,1)),"",COLUMN())</f>
        <v/>
      </c>
      <c r="ID13" s="97" t="str">
        <f>IF(ISERROR(FIND(Stammdaten!$BZ$26,ID$20,1)),"",COLUMN())</f>
        <v/>
      </c>
      <c r="IE13" s="97" t="str">
        <f>IF(ISERROR(FIND(Stammdaten!$BZ$26,IE$20,1)),"",COLUMN())</f>
        <v/>
      </c>
      <c r="IF13" s="97" t="str">
        <f>IF(ISERROR(FIND(Stammdaten!$BZ$26,IF$20,1)),"",COLUMN())</f>
        <v/>
      </c>
      <c r="IG13" s="97" t="str">
        <f>IF(ISERROR(FIND(Stammdaten!$BZ$26,IG$20,1)),"",COLUMN())</f>
        <v/>
      </c>
      <c r="IH13" s="97" t="str">
        <f>IF(ISERROR(FIND(Stammdaten!$BZ$26,IH$20,1)),"",COLUMN())</f>
        <v/>
      </c>
      <c r="II13" s="97" t="str">
        <f>IF(ISERROR(FIND(Stammdaten!$BZ$26,II$20,1)),"",COLUMN())</f>
        <v/>
      </c>
      <c r="IJ13" s="97" t="str">
        <f>IF(ISERROR(FIND(Stammdaten!$BZ$26,IJ$20,1)),"",COLUMN())</f>
        <v/>
      </c>
      <c r="IK13" s="97" t="str">
        <f>IF(ISERROR(FIND(Stammdaten!$BZ$26,IK$20,1)),"",COLUMN())</f>
        <v/>
      </c>
      <c r="IL13" s="97" t="str">
        <f>IF(ISERROR(FIND(Stammdaten!$BZ$26,IL$20,1)),"",COLUMN())</f>
        <v/>
      </c>
      <c r="IM13" s="97" t="str">
        <f>IF(ISERROR(FIND(Stammdaten!$BZ$26,IM$20,1)),"",COLUMN())</f>
        <v/>
      </c>
      <c r="IN13" s="97" t="str">
        <f>IF(ISERROR(FIND(Stammdaten!$BZ$26,IN$20,1)),"",COLUMN())</f>
        <v/>
      </c>
      <c r="IO13" s="97" t="str">
        <f>IF(ISERROR(FIND(Stammdaten!$BZ$26,IO$20,1)),"",COLUMN())</f>
        <v/>
      </c>
      <c r="IP13" s="97" t="str">
        <f>IF(ISERROR(FIND(Stammdaten!$BZ$26,IP$20,1)),"",COLUMN())</f>
        <v/>
      </c>
      <c r="IQ13" s="97" t="str">
        <f>IF(ISERROR(FIND(Stammdaten!$BZ$26,IQ$20,1)),"",COLUMN())</f>
        <v/>
      </c>
      <c r="IR13" s="97" t="str">
        <f>IF(ISERROR(FIND(Stammdaten!$BZ$26,IR$20,1)),"",COLUMN())</f>
        <v/>
      </c>
      <c r="IS13" s="97" t="str">
        <f>IF(ISERROR(FIND(Stammdaten!$BZ$26,IS$20,1)),"",COLUMN())</f>
        <v/>
      </c>
      <c r="IT13" s="97" t="str">
        <f>IF(ISERROR(FIND(Stammdaten!$BZ$26,IT$20,1)),"",COLUMN())</f>
        <v/>
      </c>
      <c r="IU13" s="97" t="str">
        <f>IF(ISERROR(FIND(Stammdaten!$BZ$26,IU$20,1)),"",COLUMN())</f>
        <v/>
      </c>
      <c r="IV13" s="97" t="str">
        <f>IF(ISERROR(FIND(Stammdaten!$BZ$26,IV$20,1)),"",COLUMN())</f>
        <v/>
      </c>
      <c r="IW13" s="97" t="str">
        <f>IF(ISERROR(FIND(Stammdaten!$BZ$26,IW$20,1)),"",COLUMN())</f>
        <v/>
      </c>
      <c r="IX13" s="97" t="str">
        <f>IF(ISERROR(FIND(Stammdaten!$BZ$26,IX$20,1)),"",COLUMN())</f>
        <v/>
      </c>
      <c r="IY13" s="97" t="str">
        <f>IF(ISERROR(FIND(Stammdaten!$BZ$26,IY$20,1)),"",COLUMN())</f>
        <v/>
      </c>
      <c r="IZ13" s="97" t="str">
        <f>IF(ISERROR(FIND(Stammdaten!$BZ$26,IZ$20,1)),"",COLUMN())</f>
        <v/>
      </c>
      <c r="JA13" s="97" t="str">
        <f>IF(ISERROR(FIND(Stammdaten!$BZ$26,JA$20,1)),"",COLUMN())</f>
        <v/>
      </c>
      <c r="JB13" s="97" t="str">
        <f>IF(ISERROR(FIND(Stammdaten!$BZ$26,JB$20,1)),"",COLUMN())</f>
        <v/>
      </c>
      <c r="JC13" s="97" t="str">
        <f>IF(ISERROR(FIND(Stammdaten!$BZ$26,JC$20,1)),"",COLUMN())</f>
        <v/>
      </c>
      <c r="JD13" s="97" t="str">
        <f>IF(ISERROR(FIND(Stammdaten!$BZ$26,JD$20,1)),"",COLUMN())</f>
        <v/>
      </c>
      <c r="JE13" s="97" t="str">
        <f>IF(ISERROR(FIND(Stammdaten!$BZ$26,JE$20,1)),"",COLUMN())</f>
        <v/>
      </c>
      <c r="JF13" s="97" t="str">
        <f>IF(ISERROR(FIND(Stammdaten!$BZ$26,JF$20,1)),"",COLUMN())</f>
        <v/>
      </c>
      <c r="JG13" s="97" t="str">
        <f>IF(ISERROR(FIND(Stammdaten!$BZ$26,JG$20,1)),"",COLUMN())</f>
        <v/>
      </c>
      <c r="JH13" s="97" t="str">
        <f>IF(ISERROR(FIND(Stammdaten!$BZ$26,JH$20,1)),"",COLUMN())</f>
        <v/>
      </c>
      <c r="JI13" s="97" t="str">
        <f>IF(ISERROR(FIND(Stammdaten!$BZ$26,JI$20,1)),"",COLUMN())</f>
        <v/>
      </c>
      <c r="JJ13" s="97" t="str">
        <f>IF(ISERROR(FIND(Stammdaten!$BZ$26,JJ$20,1)),"",COLUMN())</f>
        <v/>
      </c>
      <c r="JK13" s="97" t="str">
        <f>IF(ISERROR(FIND(Stammdaten!$BZ$26,JK$20,1)),"",COLUMN())</f>
        <v/>
      </c>
      <c r="JL13" s="97" t="str">
        <f>IF(ISERROR(FIND(Stammdaten!$BZ$26,JL$20,1)),"",COLUMN())</f>
        <v/>
      </c>
      <c r="JM13" s="97" t="str">
        <f>IF(ISERROR(FIND(Stammdaten!$BZ$26,JM$20,1)),"",COLUMN())</f>
        <v/>
      </c>
      <c r="JN13" s="97" t="str">
        <f>IF(ISERROR(FIND(Stammdaten!$BZ$26,JN$20,1)),"",COLUMN())</f>
        <v/>
      </c>
      <c r="JO13" s="97" t="str">
        <f>IF(ISERROR(FIND(Stammdaten!$BZ$26,JO$20,1)),"",COLUMN())</f>
        <v/>
      </c>
      <c r="JP13" s="97" t="str">
        <f>IF(ISERROR(FIND(Stammdaten!$BZ$26,JP$20,1)),"",COLUMN())</f>
        <v/>
      </c>
      <c r="JQ13" s="97" t="str">
        <f>IF(ISERROR(FIND(Stammdaten!$BZ$26,JQ$20,1)),"",COLUMN())</f>
        <v/>
      </c>
      <c r="JR13" s="97" t="str">
        <f>IF(ISERROR(FIND(Stammdaten!$BZ$26,JR$20,1)),"",COLUMN())</f>
        <v/>
      </c>
      <c r="JS13" s="97" t="str">
        <f>IF(ISERROR(FIND(Stammdaten!$BZ$26,JS$20,1)),"",COLUMN())</f>
        <v/>
      </c>
      <c r="JT13" s="97" t="str">
        <f>IF(ISERROR(FIND(Stammdaten!$BZ$26,JT$20,1)),"",COLUMN())</f>
        <v/>
      </c>
      <c r="JU13" s="97" t="str">
        <f>IF(ISERROR(FIND(Stammdaten!$BZ$26,JU$20,1)),"",COLUMN())</f>
        <v/>
      </c>
      <c r="JV13" s="97" t="str">
        <f>IF(ISERROR(FIND(Stammdaten!$BZ$26,JV$20,1)),"",COLUMN())</f>
        <v/>
      </c>
      <c r="JW13" s="97" t="str">
        <f>IF(ISERROR(FIND(Stammdaten!$BZ$26,JW$20,1)),"",COLUMN())</f>
        <v/>
      </c>
      <c r="JX13" s="97" t="str">
        <f>IF(ISERROR(FIND(Stammdaten!$BZ$26,JX$20,1)),"",COLUMN())</f>
        <v/>
      </c>
      <c r="JY13" s="97" t="str">
        <f>IF(ISERROR(FIND(Stammdaten!$BZ$26,JY$20,1)),"",COLUMN())</f>
        <v/>
      </c>
      <c r="JZ13" s="97" t="str">
        <f>IF(ISERROR(FIND(Stammdaten!$BZ$26,JZ$20,1)),"",COLUMN())</f>
        <v/>
      </c>
      <c r="KA13" s="97" t="str">
        <f>IF(ISERROR(FIND(Stammdaten!$BZ$26,KA$20,1)),"",COLUMN())</f>
        <v/>
      </c>
      <c r="KB13" s="97" t="str">
        <f>IF(ISERROR(FIND(Stammdaten!$BZ$26,KB$20,1)),"",COLUMN())</f>
        <v/>
      </c>
      <c r="KC13" s="97" t="str">
        <f>IF(ISERROR(FIND(Stammdaten!$BZ$26,KC$20,1)),"",COLUMN())</f>
        <v/>
      </c>
      <c r="KD13" s="97" t="str">
        <f>IF(ISERROR(FIND(Stammdaten!$BZ$26,KD$20,1)),"",COLUMN())</f>
        <v/>
      </c>
      <c r="KE13" s="97" t="str">
        <f>IF(ISERROR(FIND(Stammdaten!$BZ$26,KE$20,1)),"",COLUMN())</f>
        <v/>
      </c>
      <c r="KF13" s="97" t="str">
        <f>IF(ISERROR(FIND(Stammdaten!$BZ$26,KF$20,1)),"",COLUMN())</f>
        <v/>
      </c>
      <c r="KG13" s="97" t="str">
        <f>IF(ISERROR(FIND(Stammdaten!$BZ$26,KG$20,1)),"",COLUMN())</f>
        <v/>
      </c>
      <c r="KH13" s="97" t="str">
        <f>IF(ISERROR(FIND(Stammdaten!$BZ$26,KH$20,1)),"",COLUMN())</f>
        <v/>
      </c>
      <c r="KI13" s="97" t="str">
        <f>IF(ISERROR(FIND(Stammdaten!$BZ$26,KI$20,1)),"",COLUMN())</f>
        <v/>
      </c>
      <c r="KJ13" s="97" t="str">
        <f>IF(ISERROR(FIND(Stammdaten!$BZ$26,KJ$20,1)),"",COLUMN())</f>
        <v/>
      </c>
      <c r="KK13" s="97" t="str">
        <f>IF(ISERROR(FIND(Stammdaten!$BZ$26,KK$20,1)),"",COLUMN())</f>
        <v/>
      </c>
      <c r="KL13" s="97" t="str">
        <f>IF(ISERROR(FIND(Stammdaten!$BZ$26,KL$20,1)),"",COLUMN())</f>
        <v/>
      </c>
      <c r="KM13" s="97" t="str">
        <f>IF(ISERROR(FIND(Stammdaten!$BZ$26,KM$20,1)),"",COLUMN())</f>
        <v/>
      </c>
      <c r="KN13" s="97" t="str">
        <f>IF(ISERROR(FIND(Stammdaten!$BZ$26,KN$20,1)),"",COLUMN())</f>
        <v/>
      </c>
      <c r="KO13" s="97" t="str">
        <f>IF(ISERROR(FIND(Stammdaten!$BZ$26,KO$20,1)),"",COLUMN())</f>
        <v/>
      </c>
      <c r="KP13" s="97" t="str">
        <f>IF(ISERROR(FIND(Stammdaten!$BZ$26,KP$20,1)),"",COLUMN())</f>
        <v/>
      </c>
      <c r="KQ13" s="97" t="str">
        <f>IF(ISERROR(FIND(Stammdaten!$BZ$26,KQ$20,1)),"",COLUMN())</f>
        <v/>
      </c>
      <c r="KR13" s="97" t="str">
        <f>IF(ISERROR(FIND(Stammdaten!$BZ$26,KR$20,1)),"",COLUMN())</f>
        <v/>
      </c>
      <c r="KS13" s="97" t="str">
        <f>IF(ISERROR(FIND(Stammdaten!$BZ$26,KS$20,1)),"",COLUMN())</f>
        <v/>
      </c>
      <c r="KT13" s="97" t="str">
        <f>IF(ISERROR(FIND(Stammdaten!$BZ$26,KT$20,1)),"",COLUMN())</f>
        <v/>
      </c>
      <c r="KU13" s="97" t="str">
        <f>IF(ISERROR(FIND(Stammdaten!$BZ$26,KU$20,1)),"",COLUMN())</f>
        <v/>
      </c>
      <c r="KV13" s="97" t="str">
        <f>IF(ISERROR(FIND(Stammdaten!$BZ$26,KV$20,1)),"",COLUMN())</f>
        <v/>
      </c>
      <c r="KW13" s="97" t="str">
        <f>IF(ISERROR(FIND(Stammdaten!$BZ$26,KW$20,1)),"",COLUMN())</f>
        <v/>
      </c>
      <c r="KX13" s="97" t="str">
        <f>IF(ISERROR(FIND(Stammdaten!$BZ$26,KX$20,1)),"",COLUMN())</f>
        <v/>
      </c>
      <c r="KY13" s="97" t="str">
        <f>IF(ISERROR(FIND(Stammdaten!$BZ$26,KY$20,1)),"",COLUMN())</f>
        <v/>
      </c>
      <c r="KZ13" s="97" t="str">
        <f>IF(ISERROR(FIND(Stammdaten!$BZ$26,KZ$20,1)),"",COLUMN())</f>
        <v/>
      </c>
      <c r="LA13" s="97" t="str">
        <f>IF(ISERROR(FIND(Stammdaten!$BZ$26,LA$20,1)),"",COLUMN())</f>
        <v/>
      </c>
      <c r="LB13" s="97" t="str">
        <f>IF(ISERROR(FIND(Stammdaten!$BZ$26,LB$20,1)),"",COLUMN())</f>
        <v/>
      </c>
      <c r="LC13" s="97" t="str">
        <f>IF(ISERROR(FIND(Stammdaten!$BZ$26,LC$20,1)),"",COLUMN())</f>
        <v/>
      </c>
      <c r="LD13" s="97" t="str">
        <f>IF(ISERROR(FIND(Stammdaten!$BZ$26,LD$20,1)),"",COLUMN())</f>
        <v/>
      </c>
      <c r="LE13" s="97" t="str">
        <f>IF(ISERROR(FIND(Stammdaten!$BZ$26,LE$20,1)),"",COLUMN())</f>
        <v/>
      </c>
      <c r="LF13" s="97" t="str">
        <f>IF(ISERROR(FIND(Stammdaten!$BZ$26,LF$20,1)),"",COLUMN())</f>
        <v/>
      </c>
      <c r="LG13" s="97" t="str">
        <f>IF(ISERROR(FIND(Stammdaten!$BZ$26,LG$20,1)),"",COLUMN())</f>
        <v/>
      </c>
      <c r="LH13" s="97" t="str">
        <f>IF(ISERROR(FIND(Stammdaten!$BZ$26,LH$20,1)),"",COLUMN())</f>
        <v/>
      </c>
      <c r="LI13" s="97" t="str">
        <f>IF(ISERROR(FIND(Stammdaten!$BZ$26,LI$20,1)),"",COLUMN())</f>
        <v/>
      </c>
      <c r="LJ13" s="97" t="str">
        <f>IF(ISERROR(FIND(Stammdaten!$BZ$26,LJ$20,1)),"",COLUMN())</f>
        <v/>
      </c>
      <c r="LK13" s="97" t="str">
        <f>IF(ISERROR(FIND(Stammdaten!$BZ$26,LK$20,1)),"",COLUMN())</f>
        <v/>
      </c>
      <c r="LL13" s="97" t="str">
        <f>IF(ISERROR(FIND(Stammdaten!$BZ$26,LL$20,1)),"",COLUMN())</f>
        <v/>
      </c>
      <c r="LM13" s="97" t="str">
        <f>IF(ISERROR(FIND(Stammdaten!$BZ$26,LM$20,1)),"",COLUMN())</f>
        <v/>
      </c>
      <c r="LN13" s="97" t="str">
        <f>IF(ISERROR(FIND(Stammdaten!$BZ$26,LN$20,1)),"",COLUMN())</f>
        <v/>
      </c>
      <c r="LO13" s="97" t="str">
        <f>IF(ISERROR(FIND(Stammdaten!$BZ$26,LO$20,1)),"",COLUMN())</f>
        <v/>
      </c>
      <c r="LP13" s="97" t="str">
        <f>IF(ISERROR(FIND(Stammdaten!$BZ$26,LP$20,1)),"",COLUMN())</f>
        <v/>
      </c>
      <c r="LQ13" s="97">
        <f>IF(ISERROR(FIND(Stammdaten!$BZ$26,LQ$20,1)),"",COLUMN())</f>
        <v>329</v>
      </c>
      <c r="LR13" s="97">
        <f>IF(ISERROR(FIND(Stammdaten!$BZ$26,LR$20,1)),"",COLUMN())</f>
        <v>330</v>
      </c>
      <c r="LS13" s="97">
        <f>IF(ISERROR(FIND(Stammdaten!$BZ$26,LS$20,1)),"",COLUMN())</f>
        <v>331</v>
      </c>
      <c r="LT13" s="97" t="str">
        <f>IF(ISERROR(FIND(Stammdaten!$BZ$26,LT$20,1)),"",COLUMN())</f>
        <v/>
      </c>
      <c r="LU13" s="97" t="str">
        <f>IF(ISERROR(FIND(Stammdaten!$BZ$26,LU$20,1)),"",COLUMN())</f>
        <v/>
      </c>
      <c r="LV13" s="97" t="str">
        <f>IF(ISERROR(FIND(Stammdaten!$BZ$26,LV$20,1)),"",COLUMN())</f>
        <v/>
      </c>
      <c r="LW13" s="97" t="str">
        <f>IF(ISERROR(FIND(Stammdaten!$BZ$26,LW$20,1)),"",COLUMN())</f>
        <v/>
      </c>
      <c r="LX13" s="97" t="str">
        <f>IF(ISERROR(FIND(Stammdaten!$BZ$26,LX$20,1)),"",COLUMN())</f>
        <v/>
      </c>
      <c r="LY13" s="97" t="str">
        <f>IF(ISERROR(FIND(Stammdaten!$BZ$26,LY$20,1)),"",COLUMN())</f>
        <v/>
      </c>
      <c r="LZ13" s="97" t="str">
        <f>IF(ISERROR(FIND(Stammdaten!$BZ$26,LZ$20,1)),"",COLUMN())</f>
        <v/>
      </c>
      <c r="MA13" s="97" t="str">
        <f>IF(ISERROR(FIND(Stammdaten!$BZ$26,MA$20,1)),"",COLUMN())</f>
        <v/>
      </c>
      <c r="MB13" s="97" t="str">
        <f>IF(ISERROR(FIND(Stammdaten!$BZ$26,MB$20,1)),"",COLUMN())</f>
        <v/>
      </c>
      <c r="MC13" s="97">
        <f>IF(ISERROR(FIND(Stammdaten!$BZ$26,MC$20,1)),"",COLUMN())</f>
        <v>341</v>
      </c>
      <c r="MD13" s="97">
        <f>IF(ISERROR(FIND(Stammdaten!$BZ$26,MD$20,1)),"",COLUMN())</f>
        <v>342</v>
      </c>
      <c r="ME13" s="97">
        <f>IF(ISERROR(FIND(Stammdaten!$BZ$26,ME$20,1)),"",COLUMN())</f>
        <v>343</v>
      </c>
      <c r="MF13" s="97" t="str">
        <f>IF(ISERROR(FIND(Stammdaten!$BZ$26,MF$20,1)),"",COLUMN())</f>
        <v/>
      </c>
      <c r="MG13" s="97" t="str">
        <f>IF(ISERROR(FIND(Stammdaten!$BZ$26,MG$20,1)),"",COLUMN())</f>
        <v/>
      </c>
      <c r="MH13" s="97" t="str">
        <f>IF(ISERROR(FIND(Stammdaten!$BZ$26,MH$20,1)),"",COLUMN())</f>
        <v/>
      </c>
      <c r="MI13" s="97" t="str">
        <f>IF(ISERROR(FIND(Stammdaten!$BZ$26,MI$20,1)),"",COLUMN())</f>
        <v/>
      </c>
      <c r="MJ13" s="97" t="str">
        <f>IF(ISERROR(FIND(Stammdaten!$BZ$26,MJ$20,1)),"",COLUMN())</f>
        <v/>
      </c>
      <c r="MK13" s="97" t="str">
        <f>IF(ISERROR(FIND(Stammdaten!$BZ$26,MK$20,1)),"",COLUMN())</f>
        <v/>
      </c>
      <c r="ML13" s="97" t="str">
        <f>IF(ISERROR(FIND(Stammdaten!$BZ$26,ML$20,1)),"",COLUMN())</f>
        <v/>
      </c>
      <c r="MM13" s="97" t="str">
        <f>IF(ISERROR(FIND(Stammdaten!$BZ$26,MM$20,1)),"",COLUMN())</f>
        <v/>
      </c>
      <c r="MN13" s="97" t="str">
        <f>IF(ISERROR(FIND(Stammdaten!$BZ$26,MN$20,1)),"",COLUMN())</f>
        <v/>
      </c>
      <c r="MO13" s="97">
        <f>IF(ISERROR(FIND(Stammdaten!$BZ$26,MO$20,1)),"",COLUMN())</f>
        <v>353</v>
      </c>
      <c r="MP13" s="97">
        <f>IF(ISERROR(FIND(Stammdaten!$BZ$26,MP$20,1)),"",COLUMN())</f>
        <v>354</v>
      </c>
      <c r="MQ13" s="97">
        <f>IF(ISERROR(FIND(Stammdaten!$BZ$26,MQ$20,1)),"",COLUMN())</f>
        <v>355</v>
      </c>
      <c r="MR13" s="97" t="str">
        <f>IF(ISERROR(FIND(Stammdaten!$BZ$26,MR$20,1)),"",COLUMN())</f>
        <v/>
      </c>
      <c r="MS13" s="97" t="str">
        <f>IF(ISERROR(FIND(Stammdaten!$BZ$26,MS$20,1)),"",COLUMN())</f>
        <v/>
      </c>
      <c r="MT13" s="97" t="str">
        <f>IF(ISERROR(FIND(Stammdaten!$BZ$26,MT$20,1)),"",COLUMN())</f>
        <v/>
      </c>
      <c r="MU13" s="97" t="str">
        <f>IF(ISERROR(FIND(Stammdaten!$BZ$26,MU$20,1)),"",COLUMN())</f>
        <v/>
      </c>
      <c r="MV13" s="97" t="str">
        <f>IF(ISERROR(FIND(Stammdaten!$BZ$26,MV$20,1)),"",COLUMN())</f>
        <v/>
      </c>
      <c r="MW13" s="97" t="str">
        <f>IF(ISERROR(FIND(Stammdaten!$BZ$26,MW$20,1)),"",COLUMN())</f>
        <v/>
      </c>
      <c r="MX13" s="97" t="str">
        <f>IF(ISERROR(FIND(Stammdaten!$BZ$26,MX$20,1)),"",COLUMN())</f>
        <v/>
      </c>
      <c r="MY13" s="97" t="str">
        <f>IF(ISERROR(FIND(Stammdaten!$BZ$26,MY$20,1)),"",COLUMN())</f>
        <v/>
      </c>
      <c r="MZ13" s="97" t="str">
        <f>IF(ISERROR(FIND(Stammdaten!$BZ$26,MZ$20,1)),"",COLUMN())</f>
        <v/>
      </c>
      <c r="NA13" s="97" t="str">
        <f>IF(ISERROR(FIND(Stammdaten!$BZ$26,NA$20,1)),"",COLUMN())</f>
        <v/>
      </c>
      <c r="NB13" s="97" t="str">
        <f>IF(ISERROR(FIND(Stammdaten!$BZ$26,NB$20,1)),"",COLUMN())</f>
        <v/>
      </c>
      <c r="NC13" s="97" t="str">
        <f>IF(ISERROR(FIND(Stammdaten!$BZ$26,NC$20,1)),"",COLUMN())</f>
        <v/>
      </c>
      <c r="ND13" s="97" t="str">
        <f>IF(ISERROR(FIND(Stammdaten!$BZ$26,ND$20,1)),"",COLUMN())</f>
        <v/>
      </c>
      <c r="NE13" s="97" t="str">
        <f>IF(ISERROR(FIND(Stammdaten!$BZ$26,NE$20,1)),"",COLUMN())</f>
        <v/>
      </c>
      <c r="NF13" s="97" t="str">
        <f>IF(ISERROR(FIND(Stammdaten!$BZ$26,NF$20,1)),"",COLUMN())</f>
        <v/>
      </c>
      <c r="NG13" s="97" t="str">
        <f>IF(ISERROR(FIND(Stammdaten!$BZ$26,NG$20,1)),"",COLUMN())</f>
        <v/>
      </c>
      <c r="NH13" s="97" t="str">
        <f>IF(ISERROR(FIND(Stammdaten!$BZ$26,NH$20,1)),"",COLUMN())</f>
        <v/>
      </c>
      <c r="NI13" s="97" t="str">
        <f>IF(ISERROR(FIND(Stammdaten!$BZ$26,NI$20,1)),"",COLUMN())</f>
        <v/>
      </c>
      <c r="NJ13" s="97" t="str">
        <f>IF(ISERROR(FIND(Stammdaten!$BZ$26,NJ$20,1)),"",COLUMN())</f>
        <v/>
      </c>
      <c r="NK13" s="97" t="str">
        <f>IF(ISERROR(FIND(Stammdaten!$BZ$26,NK$20,1)),"",COLUMN())</f>
        <v/>
      </c>
      <c r="NL13" s="97" t="str">
        <f>IF(ISERROR(FIND(Stammdaten!$BZ$26,NL$20,1)),"",COLUMN())</f>
        <v/>
      </c>
      <c r="NM13" s="97" t="str">
        <f>IF(ISERROR(FIND(Stammdaten!$BZ$26,NM$20,1)),"",COLUMN())</f>
        <v/>
      </c>
      <c r="NN13" s="97" t="str">
        <f>IF(ISERROR(FIND(Stammdaten!$BZ$26,NN$20,1)),"",COLUMN())</f>
        <v/>
      </c>
      <c r="NO13" s="97" t="str">
        <f>IF(ISERROR(FIND(Stammdaten!$BZ$26,NO$20,1)),"",COLUMN())</f>
        <v/>
      </c>
      <c r="NP13" s="97" t="str">
        <f>IF(ISERROR(FIND(Stammdaten!$BZ$26,NP$20,1)),"",COLUMN())</f>
        <v/>
      </c>
      <c r="NQ13" s="97" t="str">
        <f>IF(ISERROR(FIND(Stammdaten!$BZ$26,NQ$20,1)),"",COLUMN())</f>
        <v/>
      </c>
      <c r="NR13" s="97" t="str">
        <f>IF(ISERROR(FIND(Stammdaten!$BZ$26,NR$20,1)),"",COLUMN())</f>
        <v/>
      </c>
      <c r="NS13" s="97" t="str">
        <f>IF(ISERROR(FIND(Stammdaten!$BZ$26,NS$20,1)),"",COLUMN())</f>
        <v/>
      </c>
      <c r="NT13" s="97" t="str">
        <f ca="1">IF(ISERROR(FIND(Stammdaten!$BZ$26,NT$20,1)),"",COLUMN())</f>
        <v/>
      </c>
      <c r="NU13" s="97" t="str">
        <f ca="1">IF(ISERROR(FIND(Stammdaten!$BZ$26,NU$20,1)),"",COLUMN())</f>
        <v/>
      </c>
      <c r="NV13" s="97" t="str">
        <f ca="1">IF(ISERROR(FIND(Stammdaten!$BZ$26,NV$20,1)),"",COLUMN())</f>
        <v/>
      </c>
      <c r="NW13" s="97" t="str">
        <f ca="1">IF(ISERROR(FIND(Stammdaten!$BZ$26,NW$20,1)),"",COLUMN())</f>
        <v/>
      </c>
      <c r="NX13" s="97" t="str">
        <f>IF(ISERROR(FIND(Stammdaten!$BZ$26,NX$20,1)),"",COLUMN())</f>
        <v/>
      </c>
      <c r="NY13" s="97" t="str">
        <f>IF(ISERROR(FIND(Stammdaten!$BZ$26,NY$20,1)),"",COLUMN())</f>
        <v/>
      </c>
      <c r="NZ13" s="97" t="str">
        <f>IF(ISERROR(FIND(Stammdaten!$BZ$26,NZ$20,1)),"",COLUMN())</f>
        <v/>
      </c>
      <c r="OA13" s="97" t="str">
        <f>IF(ISERROR(FIND(Stammdaten!$BZ$26,OA$20,1)),"",COLUMN())</f>
        <v/>
      </c>
      <c r="OB13" s="97" t="str">
        <f>IF(ISERROR(FIND(Stammdaten!$BZ$26,OB$20,1)),"",COLUMN())</f>
        <v/>
      </c>
      <c r="OC13" s="97" t="str">
        <f>IF(ISERROR(FIND(Stammdaten!$BZ$26,OC$20,1)),"",COLUMN())</f>
        <v/>
      </c>
      <c r="OD13" s="97" t="str">
        <f>IF(ISERROR(FIND(Stammdaten!$BZ$26,OD$20,1)),"",COLUMN())</f>
        <v/>
      </c>
      <c r="OE13" s="97" t="str">
        <f>IF(ISERROR(FIND(Stammdaten!$BZ$26,OE$20,1)),"",COLUMN())</f>
        <v/>
      </c>
      <c r="OF13" s="97" t="str">
        <f>IF(ISERROR(FIND(Stammdaten!$BZ$26,OF$20,1)),"",COLUMN())</f>
        <v/>
      </c>
      <c r="OG13" s="97">
        <f>IF(ISERROR(FIND(Stammdaten!$BZ$26,OG$20,1)),"",COLUMN())</f>
        <v>397</v>
      </c>
      <c r="OH13" s="97">
        <f>IF(ISERROR(FIND(Stammdaten!$BZ$26,OH$20,1)),"",COLUMN())</f>
        <v>398</v>
      </c>
      <c r="OI13" s="97">
        <f>IF(ISERROR(FIND(Stammdaten!$BZ$26,OI$20,1)),"",COLUMN())</f>
        <v>399</v>
      </c>
      <c r="OJ13" s="97" t="str">
        <f>IF(ISERROR(FIND(Stammdaten!$BZ$26,OJ$20,1)),"",COLUMN())</f>
        <v/>
      </c>
      <c r="OK13" s="97" t="str">
        <f>IF(ISERROR(FIND(Stammdaten!$BZ$26,OK$20,1)),"",COLUMN())</f>
        <v/>
      </c>
      <c r="OL13" s="97" t="str">
        <f>IF(ISERROR(FIND(Stammdaten!$BZ$26,OL$20,1)),"",COLUMN())</f>
        <v/>
      </c>
      <c r="OM13" s="97" t="str">
        <f>IF(ISERROR(FIND(Stammdaten!$BZ$26,OM$20,1)),"",COLUMN())</f>
        <v/>
      </c>
      <c r="ON13" s="97" t="str">
        <f>IF(ISERROR(FIND(Stammdaten!$BZ$26,ON$20,1)),"",COLUMN())</f>
        <v/>
      </c>
      <c r="OO13" s="97" t="str">
        <f>IF(ISERROR(FIND(Stammdaten!$BZ$26,OO$20,1)),"",COLUMN())</f>
        <v/>
      </c>
      <c r="OP13" s="97" t="str">
        <f>IF(ISERROR(FIND(Stammdaten!$BZ$26,OP$20,1)),"",COLUMN())</f>
        <v/>
      </c>
      <c r="OQ13" s="97" t="str">
        <f>IF(ISERROR(FIND(Stammdaten!$BZ$26,OQ$20,1)),"",COLUMN())</f>
        <v/>
      </c>
      <c r="OR13" s="97" t="str">
        <f>IF(ISERROR(FIND(Stammdaten!$BZ$26,OR$20,1)),"",COLUMN())</f>
        <v/>
      </c>
      <c r="OS13" s="97" t="str">
        <f>IF(ISERROR(FIND(Stammdaten!$BZ$26,OS$20,1)),"",COLUMN())</f>
        <v/>
      </c>
      <c r="OT13" s="97" t="str">
        <f>IF(ISERROR(FIND(Stammdaten!$BZ$26,OT$20,1)),"",COLUMN())</f>
        <v/>
      </c>
      <c r="OU13" s="97" t="str">
        <f>IF(ISERROR(FIND(Stammdaten!$BZ$26,OU$20,1)),"",COLUMN())</f>
        <v/>
      </c>
      <c r="OV13" s="97" t="str">
        <f>IF(ISERROR(FIND(Stammdaten!$BZ$26,OV$20,1)),"",COLUMN())</f>
        <v/>
      </c>
      <c r="OW13" s="97" t="str">
        <f>IF(ISERROR(FIND(Stammdaten!$BZ$26,OW$20,1)),"",COLUMN())</f>
        <v/>
      </c>
      <c r="OX13" s="97" t="str">
        <f>IF(ISERROR(FIND(Stammdaten!$BZ$26,OX$20,1)),"",COLUMN())</f>
        <v/>
      </c>
      <c r="OY13" s="97" t="str">
        <f>IF(ISERROR(FIND(Stammdaten!$BZ$26,OY$20,1)),"",COLUMN())</f>
        <v/>
      </c>
      <c r="OZ13" s="97" t="str">
        <f>IF(ISERROR(FIND(Stammdaten!$BZ$26,OZ$20,1)),"",COLUMN())</f>
        <v/>
      </c>
      <c r="PA13" s="97" t="str">
        <f>IF(ISERROR(FIND(Stammdaten!$BZ$26,PA$20,1)),"",COLUMN())</f>
        <v/>
      </c>
      <c r="PB13" s="97" t="str">
        <f>IF(ISERROR(FIND(Stammdaten!$BZ$26,PB$20,1)),"",COLUMN())</f>
        <v/>
      </c>
      <c r="PC13" s="97" t="str">
        <f>IF(ISERROR(FIND(Stammdaten!$BZ$26,PC$20,1)),"",COLUMN())</f>
        <v/>
      </c>
      <c r="PD13" s="97" t="str">
        <f>IF(ISERROR(FIND(Stammdaten!$BZ$26,PD$20,1)),"",COLUMN())</f>
        <v/>
      </c>
      <c r="PE13" s="97" t="str">
        <f>IF(ISERROR(FIND(Stammdaten!$BZ$26,PE$20,1)),"",COLUMN())</f>
        <v/>
      </c>
      <c r="PF13" s="97" t="str">
        <f>IF(ISERROR(FIND(Stammdaten!$BZ$26,PF$20,1)),"",COLUMN())</f>
        <v/>
      </c>
      <c r="PG13" s="97" t="str">
        <f>IF(ISERROR(FIND(Stammdaten!$BZ$26,PG$20,1)),"",COLUMN())</f>
        <v/>
      </c>
      <c r="PH13" s="97" t="str">
        <f>IF(ISERROR(FIND(Stammdaten!$BZ$26,PH$20,1)),"",COLUMN())</f>
        <v/>
      </c>
      <c r="PI13" s="97" t="str">
        <f>IF(ISERROR(FIND(Stammdaten!$BZ$26,PI$20,1)),"",COLUMN())</f>
        <v/>
      </c>
      <c r="PJ13" s="97" t="str">
        <f>IF(ISERROR(FIND(Stammdaten!$BZ$26,PJ$20,1)),"",COLUMN())</f>
        <v/>
      </c>
      <c r="PK13" s="97" t="str">
        <f>IF(ISERROR(FIND(Stammdaten!$BZ$26,PK$20,1)),"",COLUMN())</f>
        <v/>
      </c>
      <c r="PL13" s="97" t="str">
        <f>IF(ISERROR(FIND(Stammdaten!$BZ$26,PL$20,1)),"",COLUMN())</f>
        <v/>
      </c>
      <c r="PM13" s="97" t="str">
        <f>IF(ISERROR(FIND(Stammdaten!$BZ$26,PM$20,1)),"",COLUMN())</f>
        <v/>
      </c>
      <c r="PN13" s="97" t="str">
        <f>IF(ISERROR(FIND(Stammdaten!$BZ$26,PN$20,1)),"",COLUMN())</f>
        <v/>
      </c>
      <c r="PO13" s="97" t="str">
        <f>IF(ISERROR(FIND(Stammdaten!$BZ$26,PO$20,1)),"",COLUMN())</f>
        <v/>
      </c>
      <c r="PP13" s="97" t="str">
        <f>IF(ISERROR(FIND(Stammdaten!$BZ$26,PP$20,1)),"",COLUMN())</f>
        <v/>
      </c>
      <c r="PQ13" s="97" t="str">
        <f>IF(ISERROR(FIND(Stammdaten!$BZ$26,PQ$20,1)),"",COLUMN())</f>
        <v/>
      </c>
      <c r="PR13" s="97" t="str">
        <f>IF(ISERROR(FIND(Stammdaten!$BZ$26,PR$20,1)),"",COLUMN())</f>
        <v/>
      </c>
      <c r="PS13" s="97" t="str">
        <f>IF(ISERROR(FIND(Stammdaten!$BZ$26,PS$20,1)),"",COLUMN())</f>
        <v/>
      </c>
      <c r="PT13" s="97" t="str">
        <f>IF(ISERROR(FIND(Stammdaten!$BZ$26,PT$20,1)),"",COLUMN())</f>
        <v/>
      </c>
      <c r="PU13" s="97" t="str">
        <f>IF(ISERROR(FIND(Stammdaten!$BZ$26,PU$20,1)),"",COLUMN())</f>
        <v/>
      </c>
      <c r="PV13" s="97" t="str">
        <f>IF(ISERROR(FIND(Stammdaten!$BZ$26,PV$20,1)),"",COLUMN())</f>
        <v/>
      </c>
      <c r="PW13" s="97" t="str">
        <f>IF(ISERROR(FIND(Stammdaten!$BZ$26,PW$20,1)),"",COLUMN())</f>
        <v/>
      </c>
      <c r="PX13" s="97" t="str">
        <f>IF(ISERROR(FIND(Stammdaten!$BZ$26,PX$20,1)),"",COLUMN())</f>
        <v/>
      </c>
      <c r="PY13" s="97" t="str">
        <f>IF(ISERROR(FIND(Stammdaten!$BZ$26,PY$20,1)),"",COLUMN())</f>
        <v/>
      </c>
      <c r="PZ13" s="97" t="str">
        <f>IF(ISERROR(FIND(Stammdaten!$BZ$26,PZ$20,1)),"",COLUMN())</f>
        <v/>
      </c>
      <c r="QA13" s="97" t="str">
        <f>IF(ISERROR(FIND(Stammdaten!$BZ$26,QA$20,1)),"",COLUMN())</f>
        <v/>
      </c>
      <c r="QB13" s="97" t="str">
        <f>IF(ISERROR(FIND(Stammdaten!$BZ$26,QB$20,1)),"",COLUMN())</f>
        <v/>
      </c>
      <c r="QC13" s="97" t="str">
        <f>IF(ISERROR(FIND(Stammdaten!$BZ$26,QC$20,1)),"",COLUMN())</f>
        <v/>
      </c>
      <c r="QD13" s="97" t="str">
        <f>IF(ISERROR(FIND(Stammdaten!$BZ$26,QD$20,1)),"",COLUMN())</f>
        <v/>
      </c>
      <c r="QE13" s="97" t="str">
        <f>IF(ISERROR(FIND(Stammdaten!$BZ$26,QE$20,1)),"",COLUMN())</f>
        <v/>
      </c>
      <c r="QF13" s="97" t="str">
        <f>IF(ISERROR(FIND(Stammdaten!$BZ$26,QF$20,1)),"",COLUMN())</f>
        <v/>
      </c>
      <c r="QG13" s="97" t="str">
        <f>IF(ISERROR(FIND(Stammdaten!$BZ$26,QG$20,1)),"",COLUMN())</f>
        <v/>
      </c>
      <c r="QH13" s="97" t="str">
        <f>IF(ISERROR(FIND(Stammdaten!$BZ$26,QH$20,1)),"",COLUMN())</f>
        <v/>
      </c>
      <c r="QI13" s="97" t="str">
        <f>IF(ISERROR(FIND(Stammdaten!$BZ$26,QI$20,1)),"",COLUMN())</f>
        <v/>
      </c>
      <c r="QJ13" s="97" t="str">
        <f>IF(ISERROR(FIND(Stammdaten!$BZ$26,QJ$20,1)),"",COLUMN())</f>
        <v/>
      </c>
      <c r="QK13" s="97" t="str">
        <f>IF(ISERROR(FIND(Stammdaten!$BZ$26,QK$20,1)),"",COLUMN())</f>
        <v/>
      </c>
      <c r="QL13" s="97" t="str">
        <f>IF(ISERROR(FIND(Stammdaten!$BZ$26,QL$20,1)),"",COLUMN())</f>
        <v/>
      </c>
      <c r="QM13" s="97" t="str">
        <f>IF(ISERROR(FIND(Stammdaten!$BZ$26,QM$20,1)),"",COLUMN())</f>
        <v/>
      </c>
      <c r="QN13" s="97" t="str">
        <f ca="1">IF(ISERROR(FIND(Stammdaten!$BZ$26,QN$20,1)),"",COLUMN())</f>
        <v/>
      </c>
      <c r="QO13" s="97" t="str">
        <f ca="1">IF(ISERROR(FIND(Stammdaten!$BZ$26,QO$20,1)),"",COLUMN())</f>
        <v/>
      </c>
      <c r="QP13" s="97" t="str">
        <f ca="1">IF(ISERROR(FIND(Stammdaten!$BZ$26,QP$20,1)),"",COLUMN())</f>
        <v/>
      </c>
      <c r="QQ13" s="97" t="str">
        <f ca="1">IF(ISERROR(FIND(Stammdaten!$BZ$26,QQ$20,1)),"",COLUMN())</f>
        <v/>
      </c>
      <c r="QR13" s="97" t="str">
        <f ca="1">IF(ISERROR(FIND(Stammdaten!$BZ$26,QR$20,1)),"",COLUMN())</f>
        <v/>
      </c>
      <c r="QS13" s="97" t="str">
        <f ca="1">IF(ISERROR(FIND(Stammdaten!$BZ$26,QS$20,1)),"",COLUMN())</f>
        <v/>
      </c>
      <c r="QT13" s="97" t="str">
        <f>IF(ISERROR(FIND(Stammdaten!$BZ$26,QT$20,1)),"",COLUMN())</f>
        <v/>
      </c>
      <c r="QU13" s="97" t="str">
        <f>IF(ISERROR(FIND(Stammdaten!$BZ$26,QU$20,1)),"",COLUMN())</f>
        <v/>
      </c>
      <c r="QV13" s="97" t="str">
        <f>IF(ISERROR(FIND(Stammdaten!$BZ$26,QV$20,1)),"",COLUMN())</f>
        <v/>
      </c>
      <c r="QW13" s="97" t="str">
        <f>IF(ISERROR(FIND(Stammdaten!$BZ$26,QW$20,1)),"",COLUMN())</f>
        <v/>
      </c>
      <c r="QX13" s="97" t="str">
        <f>IF(ISERROR(FIND(Stammdaten!$BZ$26,QX$20,1)),"",COLUMN())</f>
        <v/>
      </c>
      <c r="QY13" s="97" t="str">
        <f>IF(ISERROR(FIND(Stammdaten!$BZ$26,QY$20,1)),"",COLUMN())</f>
        <v/>
      </c>
      <c r="QZ13" s="97" t="str">
        <f>IF(ISERROR(FIND(Stammdaten!$BZ$26,QZ$20,1)),"",COLUMN())</f>
        <v/>
      </c>
      <c r="RA13" s="97" t="str">
        <f>IF(ISERROR(FIND(Stammdaten!$BZ$26,RA$20,1)),"",COLUMN())</f>
        <v/>
      </c>
      <c r="RB13" s="97" t="str">
        <f>IF(ISERROR(FIND(Stammdaten!$BZ$26,RB$20,1)),"",COLUMN())</f>
        <v/>
      </c>
      <c r="RC13" s="97" t="str">
        <f>IF(ISERROR(FIND(Stammdaten!$BZ$26,RC$20,1)),"",COLUMN())</f>
        <v/>
      </c>
      <c r="RD13" s="97" t="str">
        <f>IF(ISERROR(FIND(Stammdaten!$BZ$26,RD$20,1)),"",COLUMN())</f>
        <v/>
      </c>
      <c r="RE13" s="97" t="str">
        <f>IF(ISERROR(FIND(Stammdaten!$BZ$26,RE$20,1)),"",COLUMN())</f>
        <v/>
      </c>
      <c r="RF13" s="97" t="str">
        <f>IF(ISERROR(FIND(Stammdaten!$BZ$26,RF$20,1)),"",COLUMN())</f>
        <v/>
      </c>
      <c r="RG13" s="97">
        <f>IF(ISERROR(FIND(Stammdaten!$BZ$26,RG$20,1)),"",COLUMN())</f>
        <v>475</v>
      </c>
      <c r="RH13" s="97">
        <f>IF(ISERROR(FIND(Stammdaten!$BZ$26,RH$20,1)),"",COLUMN())</f>
        <v>476</v>
      </c>
      <c r="RI13" s="97">
        <f>IF(ISERROR(FIND(Stammdaten!$BZ$26,RI$20,1)),"",COLUMN())</f>
        <v>477</v>
      </c>
      <c r="RJ13" s="97" t="str">
        <f>IF(ISERROR(FIND(Stammdaten!$BZ$26,RJ$20,1)),"",COLUMN())</f>
        <v/>
      </c>
      <c r="RK13" s="97" t="str">
        <f>IF(ISERROR(FIND(Stammdaten!$BZ$26,RK$20,1)),"",COLUMN())</f>
        <v/>
      </c>
      <c r="RL13" s="97" t="str">
        <f>IF(ISERROR(FIND(Stammdaten!$BZ$26,RL$20,1)),"",COLUMN())</f>
        <v/>
      </c>
      <c r="RM13" s="97" t="str">
        <f>IF(ISERROR(FIND(Stammdaten!$BZ$26,RM$20,1)),"",COLUMN())</f>
        <v/>
      </c>
      <c r="RN13" s="97" t="str">
        <f>IF(ISERROR(FIND(Stammdaten!$BZ$26,RN$20,1)),"",COLUMN())</f>
        <v/>
      </c>
      <c r="RO13" s="97" t="str">
        <f>IF(ISERROR(FIND(Stammdaten!$BZ$26,RO$20,1)),"",COLUMN())</f>
        <v/>
      </c>
      <c r="RP13" s="97" t="str">
        <f>IF(ISERROR(FIND(Stammdaten!$BZ$26,RP$20,1)),"",COLUMN())</f>
        <v/>
      </c>
      <c r="RQ13" s="97" t="str">
        <f>IF(ISERROR(FIND(Stammdaten!$BZ$26,RQ$20,1)),"",COLUMN())</f>
        <v/>
      </c>
      <c r="RR13" s="97" t="str">
        <f>IF(ISERROR(FIND(Stammdaten!$BZ$26,RR$20,1)),"",COLUMN())</f>
        <v/>
      </c>
      <c r="RS13" s="97" t="str">
        <f>IF(ISERROR(FIND(Stammdaten!$BZ$26,RS$20,1)),"",COLUMN())</f>
        <v/>
      </c>
      <c r="RT13" s="97" t="str">
        <f>IF(ISERROR(FIND(Stammdaten!$BZ$26,RT$20,1)),"",COLUMN())</f>
        <v/>
      </c>
      <c r="RU13" s="97" t="str">
        <f>IF(ISERROR(FIND(Stammdaten!$BZ$26,RU$20,1)),"",COLUMN())</f>
        <v/>
      </c>
      <c r="RV13" s="97" t="str">
        <f>IF(ISERROR(FIND(Stammdaten!$BZ$26,RV$20,1)),"",COLUMN())</f>
        <v/>
      </c>
      <c r="RW13" s="97" t="str">
        <f>IF(ISERROR(FIND(Stammdaten!$BZ$26,RW$20,1)),"",COLUMN())</f>
        <v/>
      </c>
      <c r="RX13" s="97" t="str">
        <f>IF(ISERROR(FIND(Stammdaten!$BZ$26,RX$20,1)),"",COLUMN())</f>
        <v/>
      </c>
      <c r="RY13" s="97" t="str">
        <f>IF(ISERROR(FIND(Stammdaten!$BZ$26,RY$20,1)),"",COLUMN())</f>
        <v/>
      </c>
      <c r="RZ13" s="97" t="str">
        <f>IF(ISERROR(FIND(Stammdaten!$BZ$26,RZ$20,1)),"",COLUMN())</f>
        <v/>
      </c>
      <c r="SA13" s="97" t="str">
        <f>IF(ISERROR(FIND(Stammdaten!$BZ$26,SA$20,1)),"",COLUMN())</f>
        <v/>
      </c>
      <c r="SB13" s="97" t="str">
        <f>IF(ISERROR(FIND(Stammdaten!$BZ$26,SB$20,1)),"",COLUMN())</f>
        <v/>
      </c>
      <c r="SC13" s="97" t="str">
        <f>IF(ISERROR(FIND(Stammdaten!$BZ$26,SC$20,1)),"",COLUMN())</f>
        <v/>
      </c>
      <c r="SD13" s="97" t="str">
        <f>IF(ISERROR(FIND(Stammdaten!$BZ$26,SD$20,1)),"",COLUMN())</f>
        <v/>
      </c>
      <c r="SE13" s="97" t="str">
        <f>IF(ISERROR(FIND(Stammdaten!$BZ$26,SE$20,1)),"",COLUMN())</f>
        <v/>
      </c>
      <c r="SF13" s="97" t="str">
        <f>IF(ISERROR(FIND(Stammdaten!$BZ$26,SF$20,1)),"",COLUMN())</f>
        <v/>
      </c>
      <c r="SG13" s="97" t="str">
        <f>IF(ISERROR(FIND(Stammdaten!$BZ$26,SG$20,1)),"",COLUMN())</f>
        <v/>
      </c>
      <c r="SH13" s="97" t="str">
        <f>IF(ISERROR(FIND(Stammdaten!$BZ$26,SH$20,1)),"",COLUMN())</f>
        <v/>
      </c>
      <c r="SI13" s="97" t="str">
        <f>IF(ISERROR(FIND(Stammdaten!$BZ$26,SI$20,1)),"",COLUMN())</f>
        <v/>
      </c>
      <c r="SJ13" s="97" t="str">
        <f>IF(ISERROR(FIND(Stammdaten!$BZ$26,SJ$20,1)),"",COLUMN())</f>
        <v/>
      </c>
      <c r="SK13" s="97" t="str">
        <f>IF(ISERROR(FIND(Stammdaten!$BZ$26,SK$20,1)),"",COLUMN())</f>
        <v/>
      </c>
      <c r="SL13" s="97" t="str">
        <f>IF(ISERROR(FIND(Stammdaten!$BZ$26,SL$20,1)),"",COLUMN())</f>
        <v/>
      </c>
      <c r="SM13" s="97" t="str">
        <f>IF(ISERROR(FIND(Stammdaten!$BZ$26,SM$20,1)),"",COLUMN())</f>
        <v/>
      </c>
      <c r="SN13" s="97" t="str">
        <f>IF(ISERROR(FIND(Stammdaten!$BZ$26,SN$20,1)),"",COLUMN())</f>
        <v/>
      </c>
      <c r="SO13" s="97" t="str">
        <f>IF(ISERROR(FIND(Stammdaten!$BZ$26,SO$20,1)),"",COLUMN())</f>
        <v/>
      </c>
      <c r="SP13" s="97" t="str">
        <f>IF(ISERROR(FIND(Stammdaten!$BZ$26,SP$20,1)),"",COLUMN())</f>
        <v/>
      </c>
      <c r="SQ13" s="97" t="str">
        <f>IF(ISERROR(FIND(Stammdaten!$BZ$26,SQ$20,1)),"",COLUMN())</f>
        <v/>
      </c>
      <c r="SR13" s="97" t="str">
        <f>IF(ISERROR(FIND(Stammdaten!$BZ$26,SR$20,1)),"",COLUMN())</f>
        <v/>
      </c>
      <c r="SS13" s="97" t="str">
        <f>IF(ISERROR(FIND(Stammdaten!$BZ$26,SS$20,1)),"",COLUMN())</f>
        <v/>
      </c>
      <c r="ST13" s="97" t="str">
        <f>IF(ISERROR(FIND(Stammdaten!$BZ$26,ST$20,1)),"",COLUMN())</f>
        <v/>
      </c>
      <c r="SU13" s="97" t="str">
        <f>IF(ISERROR(FIND(Stammdaten!$BZ$26,SU$20,1)),"",COLUMN())</f>
        <v/>
      </c>
      <c r="SV13" s="97" t="str">
        <f>IF(ISERROR(FIND(Stammdaten!$BZ$26,SV$20,1)),"",COLUMN())</f>
        <v/>
      </c>
      <c r="SW13" s="97" t="str">
        <f>IF(ISERROR(FIND(Stammdaten!$BZ$26,SW$20,1)),"",COLUMN())</f>
        <v/>
      </c>
      <c r="SX13" s="97" t="str">
        <f>IF(ISERROR(FIND(Stammdaten!$BZ$26,SX$20,1)),"",COLUMN())</f>
        <v/>
      </c>
      <c r="SY13" s="97" t="str">
        <f>IF(ISERROR(FIND(Stammdaten!$BZ$26,SY$20,1)),"",COLUMN())</f>
        <v/>
      </c>
      <c r="SZ13" s="97" t="str">
        <f>IF(ISERROR(FIND(Stammdaten!$BZ$26,SZ$20,1)),"",COLUMN())</f>
        <v/>
      </c>
      <c r="TA13" s="97" t="str">
        <f>IF(ISERROR(FIND(Stammdaten!$BZ$26,TA$20,1)),"",COLUMN())</f>
        <v/>
      </c>
      <c r="TB13" s="97" t="str">
        <f>IF(ISERROR(FIND(Stammdaten!$BZ$26,TB$20,1)),"",COLUMN())</f>
        <v/>
      </c>
      <c r="TC13" s="97" t="str">
        <f>IF(ISERROR(FIND(Stammdaten!$BZ$26,TC$20,1)),"",COLUMN())</f>
        <v/>
      </c>
      <c r="TD13" s="97" t="str">
        <f>IF(ISERROR(FIND(Stammdaten!$BZ$26,TD$20,1)),"",COLUMN())</f>
        <v/>
      </c>
      <c r="TE13" s="97" t="str">
        <f>IF(ISERROR(FIND(Stammdaten!$BZ$26,TE$20,1)),"",COLUMN())</f>
        <v/>
      </c>
      <c r="TF13" s="97" t="str">
        <f>IF(ISERROR(FIND(Stammdaten!$BZ$26,TF$20,1)),"",COLUMN())</f>
        <v/>
      </c>
      <c r="TG13" s="97" t="str">
        <f>IF(ISERROR(FIND(Stammdaten!$BZ$26,TG$20,1)),"",COLUMN())</f>
        <v/>
      </c>
      <c r="TH13" s="97" t="str">
        <f>IF(ISERROR(FIND(Stammdaten!$BZ$26,TH$20,1)),"",COLUMN())</f>
        <v/>
      </c>
      <c r="TI13" s="97" t="str">
        <f>IF(ISERROR(FIND(Stammdaten!$BZ$26,TI$20,1)),"",COLUMN())</f>
        <v/>
      </c>
      <c r="TJ13" s="97" t="str">
        <f>IF(ISERROR(FIND(Stammdaten!$BZ$26,TJ$20,1)),"",COLUMN())</f>
        <v/>
      </c>
      <c r="TK13" s="97" t="str">
        <f>IF(ISERROR(FIND(Stammdaten!$BZ$26,TK$20,1)),"",COLUMN())</f>
        <v/>
      </c>
      <c r="TL13" s="97" t="str">
        <f>IF(ISERROR(FIND(Stammdaten!$BZ$26,TL$20,1)),"",COLUMN())</f>
        <v/>
      </c>
      <c r="TM13" s="97" t="str">
        <f>IF(ISERROR(FIND(Stammdaten!$BZ$26,TM$20,1)),"",COLUMN())</f>
        <v/>
      </c>
      <c r="TN13" s="97" t="str">
        <f>IF(ISERROR(FIND(Stammdaten!$BZ$26,TN$20,1)),"",COLUMN())</f>
        <v/>
      </c>
      <c r="TO13" s="97" t="str">
        <f>IF(ISERROR(FIND(Stammdaten!$BZ$26,TO$20,1)),"",COLUMN())</f>
        <v/>
      </c>
      <c r="TP13" s="97" t="str">
        <f>IF(ISERROR(FIND(Stammdaten!$BZ$26,TP$20,1)),"",COLUMN())</f>
        <v/>
      </c>
      <c r="TQ13" s="97" t="str">
        <f>IF(ISERROR(FIND(Stammdaten!$BZ$26,TQ$20,1)),"",COLUMN())</f>
        <v/>
      </c>
      <c r="TR13" s="97" t="str">
        <f>IF(ISERROR(FIND(Stammdaten!$BZ$26,TR$20,1)),"",COLUMN())</f>
        <v/>
      </c>
      <c r="TS13" s="97" t="str">
        <f>IF(ISERROR(FIND(Stammdaten!$BZ$26,TS$20,1)),"",COLUMN())</f>
        <v/>
      </c>
      <c r="TT13" s="97" t="str">
        <f>IF(ISERROR(FIND(Stammdaten!$BZ$26,TT$20,1)),"",COLUMN())</f>
        <v/>
      </c>
      <c r="TU13" s="97" t="str">
        <f>IF(ISERROR(FIND(Stammdaten!$BZ$26,TU$20,1)),"",COLUMN())</f>
        <v/>
      </c>
      <c r="TV13" s="97" t="str">
        <f>IF(ISERROR(FIND(Stammdaten!$BZ$26,TV$20,1)),"",COLUMN())</f>
        <v/>
      </c>
      <c r="TW13" s="97" t="str">
        <f>IF(ISERROR(FIND(Stammdaten!$BZ$26,TW$20,1)),"",COLUMN())</f>
        <v/>
      </c>
      <c r="TX13" s="97" t="str">
        <f>IF(ISERROR(FIND(Stammdaten!$BZ$26,TX$20,1)),"",COLUMN())</f>
        <v/>
      </c>
      <c r="TY13" s="97" t="str">
        <f>IF(ISERROR(FIND(Stammdaten!$BZ$26,TY$20,1)),"",COLUMN())</f>
        <v/>
      </c>
      <c r="TZ13" s="97" t="str">
        <f>IF(ISERROR(FIND(Stammdaten!$BZ$26,TZ$20,1)),"",COLUMN())</f>
        <v/>
      </c>
      <c r="UA13" s="97" t="str">
        <f>IF(ISERROR(FIND(Stammdaten!$BZ$26,UA$20,1)),"",COLUMN())</f>
        <v/>
      </c>
      <c r="UB13" s="97" t="str">
        <f>IF(ISERROR(FIND(Stammdaten!$BZ$26,UB$20,1)),"",COLUMN())</f>
        <v/>
      </c>
      <c r="UC13" s="97" t="str">
        <f>IF(ISERROR(FIND(Stammdaten!$BZ$26,UC$20,1)),"",COLUMN())</f>
        <v/>
      </c>
      <c r="UD13" s="97" t="str">
        <f>IF(ISERROR(FIND(Stammdaten!$BZ$26,UD$20,1)),"",COLUMN())</f>
        <v/>
      </c>
      <c r="UE13" s="97" t="str">
        <f>IF(ISERROR(FIND(Stammdaten!$BZ$26,UE$20,1)),"",COLUMN())</f>
        <v/>
      </c>
      <c r="UF13" s="97" t="str">
        <f>IF(ISERROR(FIND(Stammdaten!$BZ$26,UF$20,1)),"",COLUMN())</f>
        <v/>
      </c>
      <c r="UG13" s="97" t="str">
        <f>IF(ISERROR(FIND(Stammdaten!$BZ$26,UG$20,1)),"",COLUMN())</f>
        <v/>
      </c>
      <c r="UH13" s="97" t="str">
        <f>IF(ISERROR(FIND(Stammdaten!$BZ$26,UH$20,1)),"",COLUMN())</f>
        <v/>
      </c>
      <c r="UI13" s="97" t="str">
        <f>IF(ISERROR(FIND(Stammdaten!$BZ$26,UI$20,1)),"",COLUMN())</f>
        <v/>
      </c>
      <c r="UJ13" s="97" t="str">
        <f>IF(ISERROR(FIND(Stammdaten!$BZ$26,UJ$20,1)),"",COLUMN())</f>
        <v/>
      </c>
      <c r="UK13" s="97" t="str">
        <f>IF(ISERROR(FIND(Stammdaten!$BZ$26,UK$20,1)),"",COLUMN())</f>
        <v/>
      </c>
      <c r="UL13" s="97" t="str">
        <f>IF(ISERROR(FIND(Stammdaten!$BZ$26,UL$20,1)),"",COLUMN())</f>
        <v/>
      </c>
      <c r="UM13" s="97" t="str">
        <f>IF(ISERROR(FIND(Stammdaten!$BZ$26,UM$20,1)),"",COLUMN())</f>
        <v/>
      </c>
      <c r="UN13" s="97" t="str">
        <f>IF(ISERROR(FIND(Stammdaten!$BZ$26,UN$20,1)),"",COLUMN())</f>
        <v/>
      </c>
      <c r="UO13" s="97" t="str">
        <f>IF(ISERROR(FIND(Stammdaten!$BZ$26,UO$20,1)),"",COLUMN())</f>
        <v/>
      </c>
      <c r="UP13" s="97" t="str">
        <f>IF(ISERROR(FIND(Stammdaten!$BZ$26,UP$20,1)),"",COLUMN())</f>
        <v/>
      </c>
      <c r="UQ13" s="97" t="str">
        <f>IF(ISERROR(FIND(Stammdaten!$BZ$26,UQ$20,1)),"",COLUMN())</f>
        <v/>
      </c>
      <c r="UR13" s="97" t="str">
        <f>IF(ISERROR(FIND(Stammdaten!$BZ$26,UR$20,1)),"",COLUMN())</f>
        <v/>
      </c>
      <c r="US13" s="97" t="str">
        <f>IF(ISERROR(FIND(Stammdaten!$BZ$26,US$20,1)),"",COLUMN())</f>
        <v/>
      </c>
      <c r="UT13" s="97" t="str">
        <f>IF(ISERROR(FIND(Stammdaten!$BZ$26,UT$20,1)),"",COLUMN())</f>
        <v/>
      </c>
      <c r="UU13" s="97" t="str">
        <f>IF(ISERROR(FIND(Stammdaten!$BZ$26,UU$20,1)),"",COLUMN())</f>
        <v/>
      </c>
      <c r="UV13" s="97" t="str">
        <f>IF(ISERROR(FIND(Stammdaten!$BZ$26,UV$20,1)),"",COLUMN())</f>
        <v/>
      </c>
      <c r="UW13" s="97" t="str">
        <f>IF(ISERROR(FIND(Stammdaten!$BZ$26,UW$20,1)),"",COLUMN())</f>
        <v/>
      </c>
      <c r="UX13" s="97" t="str">
        <f>IF(ISERROR(FIND(Stammdaten!$BZ$26,UX$20,1)),"",COLUMN())</f>
        <v/>
      </c>
      <c r="UY13" s="97" t="str">
        <f>IF(ISERROR(FIND(Stammdaten!$BZ$26,UY$20,1)),"",COLUMN())</f>
        <v/>
      </c>
      <c r="UZ13" s="97" t="str">
        <f>IF(ISERROR(FIND(Stammdaten!$BZ$26,UZ$20,1)),"",COLUMN())</f>
        <v/>
      </c>
      <c r="VA13" s="97" t="str">
        <f>IF(ISERROR(FIND(Stammdaten!$BZ$26,VA$20,1)),"",COLUMN())</f>
        <v/>
      </c>
      <c r="VB13" s="97" t="str">
        <f>IF(ISERROR(FIND(Stammdaten!$BZ$26,VB$20,1)),"",COLUMN())</f>
        <v/>
      </c>
      <c r="VC13" s="97" t="str">
        <f>IF(ISERROR(FIND(Stammdaten!$BZ$26,VC$20,1)),"",COLUMN())</f>
        <v/>
      </c>
      <c r="VD13" s="97" t="str">
        <f>IF(ISERROR(FIND(Stammdaten!$BZ$26,VD$20,1)),"",COLUMN())</f>
        <v/>
      </c>
      <c r="VE13" s="97" t="str">
        <f>IF(ISERROR(FIND(Stammdaten!$BZ$26,VE$20,1)),"",COLUMN())</f>
        <v/>
      </c>
      <c r="VF13" s="97" t="str">
        <f>IF(ISERROR(FIND(Stammdaten!$BZ$26,VF$20,1)),"",COLUMN())</f>
        <v/>
      </c>
      <c r="VG13" s="97" t="str">
        <f>IF(ISERROR(FIND(Stammdaten!$BZ$26,VG$20,1)),"",COLUMN())</f>
        <v/>
      </c>
      <c r="VH13" s="97" t="str">
        <f>IF(ISERROR(FIND(Stammdaten!$BZ$26,VH$20,1)),"",COLUMN())</f>
        <v/>
      </c>
      <c r="VI13" s="97" t="str">
        <f>IF(ISERROR(FIND(Stammdaten!$BZ$26,VI$20,1)),"",COLUMN())</f>
        <v/>
      </c>
      <c r="VJ13" s="97" t="str">
        <f>IF(ISERROR(FIND(Stammdaten!$BZ$26,VJ$20,1)),"",COLUMN())</f>
        <v/>
      </c>
      <c r="VK13" s="97" t="str">
        <f>IF(ISERROR(FIND(Stammdaten!$BZ$26,VK$20,1)),"",COLUMN())</f>
        <v/>
      </c>
      <c r="VL13" s="97" t="str">
        <f>IF(ISERROR(FIND(Stammdaten!$BZ$26,VL$20,1)),"",COLUMN())</f>
        <v/>
      </c>
      <c r="VM13" s="97" t="str">
        <f>IF(ISERROR(FIND(Stammdaten!$BZ$26,VM$20,1)),"",COLUMN())</f>
        <v/>
      </c>
      <c r="VN13" s="97" t="str">
        <f>IF(ISERROR(FIND(Stammdaten!$BZ$26,VN$20,1)),"",COLUMN())</f>
        <v/>
      </c>
      <c r="VO13" s="97" t="str">
        <f>IF(ISERROR(FIND(Stammdaten!$BZ$26,VO$20,1)),"",COLUMN())</f>
        <v/>
      </c>
      <c r="VP13" s="97" t="str">
        <f>IF(ISERROR(FIND(Stammdaten!$BZ$26,VP$20,1)),"",COLUMN())</f>
        <v/>
      </c>
      <c r="VQ13" s="97" t="str">
        <f>IF(ISERROR(FIND(Stammdaten!$BZ$26,VQ$20,1)),"",COLUMN())</f>
        <v/>
      </c>
      <c r="VR13" s="97" t="str">
        <f>IF(ISERROR(FIND(Stammdaten!$BZ$26,VR$20,1)),"",COLUMN())</f>
        <v/>
      </c>
      <c r="VS13" s="97">
        <f>IF(ISERROR(FIND(Stammdaten!$BZ$26,VS$20,1)),"",COLUMN())</f>
        <v>591</v>
      </c>
      <c r="VT13" s="97">
        <f>IF(ISERROR(FIND(Stammdaten!$BZ$26,VT$20,1)),"",COLUMN())</f>
        <v>592</v>
      </c>
      <c r="VU13" s="97">
        <f>IF(ISERROR(FIND(Stammdaten!$BZ$26,VU$20,1)),"",COLUMN())</f>
        <v>593</v>
      </c>
      <c r="VV13" s="97" t="str">
        <f>IF(ISERROR(FIND(Stammdaten!$BZ$26,VV$20,1)),"",COLUMN())</f>
        <v/>
      </c>
      <c r="VW13" s="97" t="str">
        <f>IF(ISERROR(FIND(Stammdaten!$BZ$26,VW$20,1)),"",COLUMN())</f>
        <v/>
      </c>
      <c r="VX13" s="97" t="str">
        <f>IF(ISERROR(FIND(Stammdaten!$BZ$26,VX$20,1)),"",COLUMN())</f>
        <v/>
      </c>
      <c r="VY13" s="97" t="str">
        <f>IF(ISERROR(FIND(Stammdaten!$BZ$26,VY$20,1)),"",COLUMN())</f>
        <v/>
      </c>
      <c r="VZ13" s="97" t="str">
        <f>IF(ISERROR(FIND(Stammdaten!$BZ$26,VZ$20,1)),"",COLUMN())</f>
        <v/>
      </c>
      <c r="WA13" s="97" t="str">
        <f>IF(ISERROR(FIND(Stammdaten!$BZ$26,WA$20,1)),"",COLUMN())</f>
        <v/>
      </c>
      <c r="WB13" s="97" t="str">
        <f>IF(ISERROR(FIND(Stammdaten!$BZ$26,WB$20,1)),"",COLUMN())</f>
        <v/>
      </c>
      <c r="WC13" s="97" t="str">
        <f>IF(ISERROR(FIND(Stammdaten!$BZ$26,WC$20,1)),"",COLUMN())</f>
        <v/>
      </c>
      <c r="WD13" s="97" t="str">
        <f>IF(ISERROR(FIND(Stammdaten!$BZ$26,WD$20,1)),"",COLUMN())</f>
        <v/>
      </c>
      <c r="WE13" s="97">
        <f>IF(ISERROR(FIND(Stammdaten!$BZ$26,WE$20,1)),"",COLUMN())</f>
        <v>603</v>
      </c>
      <c r="WF13" s="97">
        <f>IF(ISERROR(FIND(Stammdaten!$BZ$26,WF$20,1)),"",COLUMN())</f>
        <v>604</v>
      </c>
      <c r="WG13" s="97">
        <f>IF(ISERROR(FIND(Stammdaten!$BZ$26,WG$20,1)),"",COLUMN())</f>
        <v>605</v>
      </c>
      <c r="WH13" s="97" t="str">
        <f>IF(ISERROR(FIND(Stammdaten!$BZ$26,WH$20,1)),"",COLUMN())</f>
        <v/>
      </c>
      <c r="WI13" s="97" t="str">
        <f>IF(ISERROR(FIND(Stammdaten!$BZ$26,WI$20,1)),"",COLUMN())</f>
        <v/>
      </c>
      <c r="WJ13" s="97" t="str">
        <f>IF(ISERROR(FIND(Stammdaten!$BZ$26,WJ$20,1)),"",COLUMN())</f>
        <v/>
      </c>
      <c r="WK13" s="97" t="str">
        <f>IF(ISERROR(FIND(Stammdaten!$BZ$26,WK$20,1)),"",COLUMN())</f>
        <v/>
      </c>
      <c r="WL13" s="97" t="str">
        <f>IF(ISERROR(FIND(Stammdaten!$BZ$26,WL$20,1)),"",COLUMN())</f>
        <v/>
      </c>
      <c r="WM13" s="97" t="str">
        <f>IF(ISERROR(FIND(Stammdaten!$BZ$26,WM$20,1)),"",COLUMN())</f>
        <v/>
      </c>
      <c r="WN13" s="97" t="str">
        <f>IF(ISERROR(FIND(Stammdaten!$BZ$26,WN$20,1)),"",COLUMN())</f>
        <v/>
      </c>
      <c r="WO13" s="97" t="str">
        <f>IF(ISERROR(FIND(Stammdaten!$BZ$26,WO$20,1)),"",COLUMN())</f>
        <v/>
      </c>
      <c r="WP13" s="97" t="str">
        <f>IF(ISERROR(FIND(Stammdaten!$BZ$26,WP$20,1)),"",COLUMN())</f>
        <v/>
      </c>
      <c r="WQ13" s="97">
        <f>IF(ISERROR(FIND(Stammdaten!$BZ$26,WQ$20,1)),"",COLUMN())</f>
        <v>615</v>
      </c>
      <c r="WR13" s="97">
        <f>IF(ISERROR(FIND(Stammdaten!$BZ$26,WR$20,1)),"",COLUMN())</f>
        <v>616</v>
      </c>
      <c r="WS13" s="97">
        <f>IF(ISERROR(FIND(Stammdaten!$BZ$26,WS$20,1)),"",COLUMN())</f>
        <v>617</v>
      </c>
      <c r="WT13" s="97" t="str">
        <f ca="1">IF(ISERROR(FIND(Stammdaten!$BZ$26,WT$20,1)),"",COLUMN())</f>
        <v/>
      </c>
      <c r="WU13" s="97" t="str">
        <f ca="1">IF(ISERROR(FIND(Stammdaten!$BZ$26,WU$20,1)),"",COLUMN())</f>
        <v/>
      </c>
      <c r="WV13" s="97" t="str">
        <f ca="1">IF(ISERROR(FIND(Stammdaten!$BZ$26,WV$20,1)),"",COLUMN())</f>
        <v/>
      </c>
      <c r="WW13" s="97" t="str">
        <f ca="1">IF(ISERROR(FIND(Stammdaten!$BZ$26,WW$20,1)),"",COLUMN())</f>
        <v/>
      </c>
      <c r="WX13" s="97" t="str">
        <f ca="1">IF(ISERROR(FIND(Stammdaten!$BZ$26,WX$20,1)),"",COLUMN())</f>
        <v/>
      </c>
      <c r="WY13" s="97" t="str">
        <f ca="1">IF(ISERROR(FIND(Stammdaten!$BZ$26,WY$20,1)),"",COLUMN())</f>
        <v/>
      </c>
      <c r="WZ13" s="97" t="str">
        <f ca="1">IF(ISERROR(FIND(Stammdaten!$BZ$26,WZ$20,1)),"",COLUMN())</f>
        <v/>
      </c>
      <c r="XA13" s="97" t="str">
        <f ca="1">IF(ISERROR(FIND(Stammdaten!$BZ$26,XA$20,1)),"",COLUMN())</f>
        <v/>
      </c>
      <c r="XB13" s="97" t="str">
        <f ca="1">IF(ISERROR(FIND(Stammdaten!$BZ$26,XB$20,1)),"",COLUMN())</f>
        <v/>
      </c>
      <c r="XC13" s="97" t="str">
        <f ca="1">IF(ISERROR(FIND(Stammdaten!$BZ$26,XC$20,1)),"",COLUMN())</f>
        <v/>
      </c>
      <c r="XD13" s="97" t="str">
        <f>IF(ISERROR(FIND(Stammdaten!$BZ$26,XD$20,1)),"",COLUMN())</f>
        <v/>
      </c>
      <c r="XE13" s="97" t="str">
        <f>IF(ISERROR(FIND(Stammdaten!$BZ$26,XE$20,1)),"",COLUMN())</f>
        <v/>
      </c>
      <c r="XF13" s="97" t="str">
        <f>IF(ISERROR(FIND(Stammdaten!$BZ$26,XF$20,1)),"",COLUMN())</f>
        <v/>
      </c>
      <c r="XG13" s="97" t="str">
        <f>IF(ISERROR(FIND(Stammdaten!$BZ$26,XG$20,1)),"",COLUMN())</f>
        <v/>
      </c>
      <c r="XH13" s="97" t="str">
        <f>IF(ISERROR(FIND(Stammdaten!$BZ$26,XH$20,1)),"",COLUMN())</f>
        <v/>
      </c>
      <c r="XI13" s="97" t="str">
        <f>IF(ISERROR(FIND(Stammdaten!$BZ$26,XI$20,1)),"",COLUMN())</f>
        <v/>
      </c>
      <c r="XJ13" s="97" t="str">
        <f>IF(ISERROR(FIND(Stammdaten!$BZ$26,XJ$20,1)),"",COLUMN())</f>
        <v/>
      </c>
      <c r="XK13" s="97" t="str">
        <f>IF(ISERROR(FIND(Stammdaten!$BZ$26,XK$20,1)),"",COLUMN())</f>
        <v/>
      </c>
      <c r="XL13" s="97" t="str">
        <f>IF(ISERROR(FIND(Stammdaten!$BZ$26,XL$20,1)),"",COLUMN())</f>
        <v/>
      </c>
      <c r="XM13" s="97" t="str">
        <f>IF(ISERROR(FIND(Stammdaten!$BZ$26,XM$20,1)),"",COLUMN())</f>
        <v/>
      </c>
      <c r="XN13" s="97" t="str">
        <f>IF(ISERROR(FIND(Stammdaten!$BZ$26,XN$20,1)),"",COLUMN())</f>
        <v/>
      </c>
      <c r="XO13" s="97" t="str">
        <f>IF(ISERROR(FIND(Stammdaten!$BZ$26,XO$20,1)),"",COLUMN())</f>
        <v/>
      </c>
      <c r="XP13" s="97" t="str">
        <f>IF(ISERROR(FIND(Stammdaten!$BZ$26,XP$20,1)),"",COLUMN())</f>
        <v/>
      </c>
      <c r="XQ13" s="97" t="str">
        <f>IF(ISERROR(FIND(Stammdaten!$BZ$26,XQ$20,1)),"",COLUMN())</f>
        <v/>
      </c>
      <c r="XR13" s="97" t="str">
        <f>IF(ISERROR(FIND(Stammdaten!$BZ$26,XR$20,1)),"",COLUMN())</f>
        <v/>
      </c>
      <c r="XS13" s="97" t="str">
        <f>IF(ISERROR(FIND(Stammdaten!$BZ$26,XS$20,1)),"",COLUMN())</f>
        <v/>
      </c>
      <c r="XT13" s="97" t="str">
        <f>IF(ISERROR(FIND(Stammdaten!$BZ$26,XT$20,1)),"",COLUMN())</f>
        <v/>
      </c>
      <c r="XU13" s="97" t="str">
        <f>IF(ISERROR(FIND(Stammdaten!$BZ$26,XU$20,1)),"",COLUMN())</f>
        <v/>
      </c>
      <c r="XV13" s="97" t="str">
        <f>IF(ISERROR(FIND(Stammdaten!$BZ$26,XV$20,1)),"",COLUMN())</f>
        <v/>
      </c>
      <c r="XW13" s="97" t="str">
        <f>IF(ISERROR(FIND(Stammdaten!$BZ$26,XW$20,1)),"",COLUMN())</f>
        <v/>
      </c>
      <c r="XX13" s="97" t="str">
        <f>IF(ISERROR(FIND(Stammdaten!$BZ$26,XX$20,1)),"",COLUMN())</f>
        <v/>
      </c>
      <c r="XY13" s="97" t="str">
        <f>IF(ISERROR(FIND(Stammdaten!$BZ$26,XY$20,1)),"",COLUMN())</f>
        <v/>
      </c>
      <c r="XZ13" s="97" t="str">
        <f>IF(ISERROR(FIND(Stammdaten!$BZ$26,XZ$20,1)),"",COLUMN())</f>
        <v/>
      </c>
      <c r="YA13" s="97" t="str">
        <f>IF(ISERROR(FIND(Stammdaten!$BZ$26,YA$20,1)),"",COLUMN())</f>
        <v/>
      </c>
      <c r="YB13" s="97" t="str">
        <f>IF(ISERROR(FIND(Stammdaten!$BZ$26,YB$20,1)),"",COLUMN())</f>
        <v/>
      </c>
      <c r="YC13" s="97" t="str">
        <f>IF(ISERROR(FIND(Stammdaten!$BZ$26,YC$20,1)),"",COLUMN())</f>
        <v/>
      </c>
      <c r="YD13" s="97" t="str">
        <f>IF(ISERROR(FIND(Stammdaten!$BZ$26,YD$20,1)),"",COLUMN())</f>
        <v/>
      </c>
      <c r="YE13" s="97" t="str">
        <f>IF(ISERROR(FIND(Stammdaten!$BZ$26,YE$20,1)),"",COLUMN())</f>
        <v/>
      </c>
      <c r="YF13" s="97" t="str">
        <f>IF(ISERROR(FIND(Stammdaten!$BZ$26,YF$20,1)),"",COLUMN())</f>
        <v/>
      </c>
      <c r="YG13" s="97" t="str">
        <f>IF(ISERROR(FIND(Stammdaten!$BZ$26,YG$20,1)),"",COLUMN())</f>
        <v/>
      </c>
      <c r="YH13" s="97" t="str">
        <f>IF(ISERROR(FIND(Stammdaten!$BZ$26,YH$20,1)),"",COLUMN())</f>
        <v/>
      </c>
      <c r="YI13" s="97" t="str">
        <f>IF(ISERROR(FIND(Stammdaten!$BZ$26,YI$20,1)),"",COLUMN())</f>
        <v/>
      </c>
      <c r="YJ13" s="97" t="str">
        <f>IF(ISERROR(FIND(Stammdaten!$BZ$26,YJ$20,1)),"",COLUMN())</f>
        <v/>
      </c>
      <c r="YK13" s="97" t="str">
        <f>IF(ISERROR(FIND(Stammdaten!$BZ$26,YK$20,1)),"",COLUMN())</f>
        <v/>
      </c>
      <c r="YL13" s="97" t="str">
        <f>IF(ISERROR(FIND(Stammdaten!$BZ$26,YL$20,1)),"",COLUMN())</f>
        <v/>
      </c>
      <c r="YM13" s="97" t="str">
        <f>IF(ISERROR(FIND(Stammdaten!$BZ$26,YM$20,1)),"",COLUMN())</f>
        <v/>
      </c>
      <c r="YN13" s="97" t="str">
        <f>IF(ISERROR(FIND(Stammdaten!$BZ$26,YN$20,1)),"",COLUMN())</f>
        <v/>
      </c>
      <c r="YO13" s="97" t="str">
        <f>IF(ISERROR(FIND(Stammdaten!$BZ$26,YO$20,1)),"",COLUMN())</f>
        <v/>
      </c>
      <c r="YP13" s="97" t="str">
        <f>IF(ISERROR(FIND(Stammdaten!$BZ$26,YP$20,1)),"",COLUMN())</f>
        <v/>
      </c>
      <c r="YQ13" s="97" t="str">
        <f>IF(ISERROR(FIND(Stammdaten!$BZ$26,YQ$20,1)),"",COLUMN())</f>
        <v/>
      </c>
      <c r="YR13" s="97" t="str">
        <f>IF(ISERROR(FIND(Stammdaten!$BZ$26,YR$20,1)),"",COLUMN())</f>
        <v/>
      </c>
      <c r="YS13" s="97" t="str">
        <f>IF(ISERROR(FIND(Stammdaten!$BZ$26,YS$20,1)),"",COLUMN())</f>
        <v/>
      </c>
      <c r="YT13" s="97" t="str">
        <f>IF(ISERROR(FIND(Stammdaten!$BZ$26,YT$20,1)),"",COLUMN())</f>
        <v/>
      </c>
      <c r="YU13" s="97" t="str">
        <f>IF(ISERROR(FIND(Stammdaten!$BZ$26,YU$20,1)),"",COLUMN())</f>
        <v/>
      </c>
      <c r="YV13" s="97" t="str">
        <f>IF(ISERROR(FIND(Stammdaten!$BZ$26,YV$20,1)),"",COLUMN())</f>
        <v/>
      </c>
      <c r="YW13" s="97" t="str">
        <f>IF(ISERROR(FIND(Stammdaten!$BZ$26,YW$20,1)),"",COLUMN())</f>
        <v/>
      </c>
      <c r="YX13" s="97" t="str">
        <f>IF(ISERROR(FIND(Stammdaten!$BZ$26,YX$20,1)),"",COLUMN())</f>
        <v/>
      </c>
      <c r="YY13" s="97" t="str">
        <f>IF(ISERROR(FIND(Stammdaten!$BZ$26,YY$20,1)),"",COLUMN())</f>
        <v/>
      </c>
      <c r="YZ13" s="97" t="str">
        <f>IF(ISERROR(FIND(Stammdaten!$BZ$26,YZ$20,1)),"",COLUMN())</f>
        <v/>
      </c>
      <c r="ZA13" s="97" t="str">
        <f>IF(ISERROR(FIND(Stammdaten!$BZ$26,ZA$20,1)),"",COLUMN())</f>
        <v/>
      </c>
      <c r="ZB13" s="97" t="str">
        <f>IF(ISERROR(FIND(Stammdaten!$BZ$26,ZB$20,1)),"",COLUMN())</f>
        <v/>
      </c>
      <c r="ZC13" s="97" t="str">
        <f>IF(ISERROR(FIND(Stammdaten!$BZ$26,ZC$20,1)),"",COLUMN())</f>
        <v/>
      </c>
      <c r="ZD13" s="97" t="str">
        <f>IF(ISERROR(FIND(Stammdaten!$BZ$26,ZD$20,1)),"",COLUMN())</f>
        <v/>
      </c>
      <c r="ZE13" s="97" t="str">
        <f>IF(ISERROR(FIND(Stammdaten!$BZ$26,ZE$20,1)),"",COLUMN())</f>
        <v/>
      </c>
      <c r="ZF13" s="97" t="str">
        <f>IF(ISERROR(FIND(Stammdaten!$BZ$26,ZF$20,1)),"",COLUMN())</f>
        <v/>
      </c>
      <c r="ZG13" s="97" t="str">
        <f>IF(ISERROR(FIND(Stammdaten!$BZ$26,ZG$20,1)),"",COLUMN())</f>
        <v/>
      </c>
      <c r="ZH13" s="97" t="str">
        <f>IF(ISERROR(FIND(Stammdaten!$BZ$26,ZH$20,1)),"",COLUMN())</f>
        <v/>
      </c>
      <c r="ZI13" s="97" t="str">
        <f>IF(ISERROR(FIND(Stammdaten!$BZ$26,ZI$20,1)),"",COLUMN())</f>
        <v/>
      </c>
      <c r="ZJ13" s="97" t="str">
        <f>IF(ISERROR(FIND(Stammdaten!$BZ$26,ZJ$20,1)),"",COLUMN())</f>
        <v/>
      </c>
      <c r="ZK13" s="97" t="str">
        <f>IF(ISERROR(FIND(Stammdaten!$BZ$26,ZK$20,1)),"",COLUMN())</f>
        <v/>
      </c>
      <c r="ZL13" s="97" t="str">
        <f>IF(ISERROR(FIND(Stammdaten!$BZ$26,ZL$20,1)),"",COLUMN())</f>
        <v/>
      </c>
      <c r="ZM13" s="97" t="str">
        <f>IF(ISERROR(FIND(Stammdaten!$BZ$26,ZM$20,1)),"",COLUMN())</f>
        <v/>
      </c>
      <c r="ZN13" s="97" t="str">
        <f>IF(ISERROR(FIND(Stammdaten!$BZ$26,ZN$20,1)),"",COLUMN())</f>
        <v/>
      </c>
      <c r="ZO13" s="97" t="str">
        <f>IF(ISERROR(FIND(Stammdaten!$BZ$26,ZO$20,1)),"",COLUMN())</f>
        <v/>
      </c>
      <c r="ZP13" s="97" t="str">
        <f>IF(ISERROR(FIND(Stammdaten!$BZ$26,ZP$20,1)),"",COLUMN())</f>
        <v/>
      </c>
      <c r="ZQ13" s="97" t="str">
        <f>IF(ISERROR(FIND(Stammdaten!$BZ$26,ZQ$20,1)),"",COLUMN())</f>
        <v/>
      </c>
      <c r="ZR13" s="97" t="str">
        <f>IF(ISERROR(FIND(Stammdaten!$BZ$26,ZR$20,1)),"",COLUMN())</f>
        <v/>
      </c>
      <c r="ZS13" s="97" t="str">
        <f>IF(ISERROR(FIND(Stammdaten!$BZ$26,ZS$20,1)),"",COLUMN())</f>
        <v/>
      </c>
      <c r="ZT13" s="97" t="str">
        <f>IF(ISERROR(FIND(Stammdaten!$BZ$26,ZT$20,1)),"",COLUMN())</f>
        <v/>
      </c>
      <c r="ZU13" s="97" t="str">
        <f>IF(ISERROR(FIND(Stammdaten!$BZ$26,ZU$20,1)),"",COLUMN())</f>
        <v/>
      </c>
      <c r="ZV13" s="97" t="str">
        <f>IF(ISERROR(FIND(Stammdaten!$BZ$26,ZV$20,1)),"",COLUMN())</f>
        <v/>
      </c>
      <c r="ZW13" s="97" t="str">
        <f>IF(ISERROR(FIND(Stammdaten!$BZ$26,ZW$20,1)),"",COLUMN())</f>
        <v/>
      </c>
      <c r="ZX13" s="97" t="str">
        <f>IF(ISERROR(FIND(Stammdaten!$BZ$26,ZX$20,1)),"",COLUMN())</f>
        <v/>
      </c>
      <c r="ZY13" s="97" t="str">
        <f>IF(ISERROR(FIND(Stammdaten!$BZ$26,ZY$20,1)),"",COLUMN())</f>
        <v/>
      </c>
      <c r="ZZ13" s="97" t="str">
        <f>IF(ISERROR(FIND(Stammdaten!$BZ$26,ZZ$20,1)),"",COLUMN())</f>
        <v/>
      </c>
      <c r="AAA13" s="97" t="str">
        <f>IF(ISERROR(FIND(Stammdaten!$BZ$26,AAA$20,1)),"",COLUMN())</f>
        <v/>
      </c>
      <c r="AAB13" s="97" t="str">
        <f>IF(ISERROR(FIND(Stammdaten!$BZ$26,AAB$20,1)),"",COLUMN())</f>
        <v/>
      </c>
      <c r="AAC13" s="97" t="str">
        <f>IF(ISERROR(FIND(Stammdaten!$BZ$26,AAC$20,1)),"",COLUMN())</f>
        <v/>
      </c>
      <c r="AAD13" s="97" t="str">
        <f>IF(ISERROR(FIND(Stammdaten!$BZ$26,AAD$20,1)),"",COLUMN())</f>
        <v/>
      </c>
      <c r="AAE13" s="97" t="str">
        <f>IF(ISERROR(FIND(Stammdaten!$BZ$26,AAE$20,1)),"",COLUMN())</f>
        <v/>
      </c>
      <c r="AAF13" s="97" t="str">
        <f>IF(ISERROR(FIND(Stammdaten!$BZ$26,AAF$20,1)),"",COLUMN())</f>
        <v/>
      </c>
      <c r="AAG13" s="97" t="str">
        <f>IF(ISERROR(FIND(Stammdaten!$BZ$26,AAG$20,1)),"",COLUMN())</f>
        <v/>
      </c>
      <c r="AAH13" s="97" t="str">
        <f>IF(ISERROR(FIND(Stammdaten!$BZ$26,AAH$20,1)),"",COLUMN())</f>
        <v/>
      </c>
      <c r="AAI13" s="97" t="str">
        <f>IF(ISERROR(FIND(Stammdaten!$BZ$26,AAI$20,1)),"",COLUMN())</f>
        <v/>
      </c>
      <c r="AAJ13" s="97" t="str">
        <f>IF(ISERROR(FIND(Stammdaten!$BZ$26,AAJ$20,1)),"",COLUMN())</f>
        <v/>
      </c>
      <c r="AAK13" s="97" t="str">
        <f>IF(ISERROR(FIND(Stammdaten!$BZ$26,AAK$20,1)),"",COLUMN())</f>
        <v/>
      </c>
      <c r="AAL13" s="97" t="str">
        <f>IF(ISERROR(FIND(Stammdaten!$BZ$26,AAL$20,1)),"",COLUMN())</f>
        <v/>
      </c>
      <c r="AAM13" s="97" t="str">
        <f>IF(ISERROR(FIND(Stammdaten!$BZ$26,AAM$20,1)),"",COLUMN())</f>
        <v/>
      </c>
      <c r="AAN13" s="97" t="str">
        <f>IF(ISERROR(FIND(Stammdaten!$BZ$26,AAN$20,1)),"",COLUMN())</f>
        <v/>
      </c>
      <c r="AAO13" s="97" t="str">
        <f>IF(ISERROR(FIND(Stammdaten!$BZ$26,AAO$20,1)),"",COLUMN())</f>
        <v/>
      </c>
      <c r="AAP13" s="97" t="str">
        <f>IF(ISERROR(FIND(Stammdaten!$BZ$26,AAP$20,1)),"",COLUMN())</f>
        <v/>
      </c>
      <c r="AAQ13" s="97" t="str">
        <f>IF(ISERROR(FIND(Stammdaten!$BZ$26,AAQ$20,1)),"",COLUMN())</f>
        <v/>
      </c>
      <c r="AAR13" s="97" t="str">
        <f>IF(ISERROR(FIND(Stammdaten!$BZ$26,AAR$20,1)),"",COLUMN())</f>
        <v/>
      </c>
      <c r="AAS13" s="97" t="str">
        <f>IF(ISERROR(FIND(Stammdaten!$BZ$26,AAS$20,1)),"",COLUMN())</f>
        <v/>
      </c>
      <c r="AAT13" s="97" t="str">
        <f>IF(ISERROR(FIND(Stammdaten!$BZ$26,AAT$20,1)),"",COLUMN())</f>
        <v/>
      </c>
      <c r="AAU13" s="97" t="str">
        <f>IF(ISERROR(FIND(Stammdaten!$BZ$26,AAU$20,1)),"",COLUMN())</f>
        <v/>
      </c>
      <c r="AAV13" s="97" t="str">
        <f>IF(ISERROR(FIND(Stammdaten!$BZ$26,AAV$20,1)),"",COLUMN())</f>
        <v/>
      </c>
      <c r="AAW13" s="97" t="str">
        <f>IF(ISERROR(FIND(Stammdaten!$BZ$26,AAW$20,1)),"",COLUMN())</f>
        <v/>
      </c>
      <c r="AAX13" s="97" t="str">
        <f>IF(ISERROR(FIND(Stammdaten!$BZ$26,AAX$20,1)),"",COLUMN())</f>
        <v/>
      </c>
      <c r="AAY13" s="97" t="str">
        <f>IF(ISERROR(FIND(Stammdaten!$BZ$26,AAY$20,1)),"",COLUMN())</f>
        <v/>
      </c>
      <c r="AAZ13" s="97" t="str">
        <f>IF(ISERROR(FIND(Stammdaten!$BZ$26,AAZ$20,1)),"",COLUMN())</f>
        <v/>
      </c>
      <c r="ABA13" s="97" t="str">
        <f>IF(ISERROR(FIND(Stammdaten!$BZ$26,ABA$20,1)),"",COLUMN())</f>
        <v/>
      </c>
      <c r="ABB13" s="97" t="str">
        <f>IF(ISERROR(FIND(Stammdaten!$BZ$26,ABB$20,1)),"",COLUMN())</f>
        <v/>
      </c>
      <c r="ABC13" s="97" t="str">
        <f>IF(ISERROR(FIND(Stammdaten!$BZ$26,ABC$20,1)),"",COLUMN())</f>
        <v/>
      </c>
      <c r="ABD13" s="97" t="str">
        <f>IF(ISERROR(FIND(Stammdaten!$BZ$26,ABD$20,1)),"",COLUMN())</f>
        <v/>
      </c>
      <c r="ABE13" s="97" t="str">
        <f>IF(ISERROR(FIND(Stammdaten!$BZ$26,ABE$20,1)),"",COLUMN())</f>
        <v/>
      </c>
      <c r="ABF13" s="97" t="str">
        <f>IF(ISERROR(FIND(Stammdaten!$BZ$26,ABF$20,1)),"",COLUMN())</f>
        <v/>
      </c>
      <c r="ABG13" s="97" t="str">
        <f>IF(ISERROR(FIND(Stammdaten!$BZ$26,ABG$20,1)),"",COLUMN())</f>
        <v/>
      </c>
      <c r="ABH13" s="97" t="str">
        <f>IF(ISERROR(FIND(Stammdaten!$BZ$26,ABH$20,1)),"",COLUMN())</f>
        <v/>
      </c>
      <c r="ABI13" s="97" t="str">
        <f>IF(ISERROR(FIND(Stammdaten!$BZ$26,ABI$20,1)),"",COLUMN())</f>
        <v/>
      </c>
      <c r="ABJ13" s="97" t="str">
        <f>IF(ISERROR(FIND(Stammdaten!$BZ$26,ABJ$20,1)),"",COLUMN())</f>
        <v/>
      </c>
      <c r="ABK13" s="97" t="str">
        <f>IF(ISERROR(FIND(Stammdaten!$BZ$26,ABK$20,1)),"",COLUMN())</f>
        <v/>
      </c>
      <c r="ABL13" s="97" t="str">
        <f>IF(ISERROR(FIND(Stammdaten!$BZ$26,ABL$20,1)),"",COLUMN())</f>
        <v/>
      </c>
      <c r="ABM13" s="97" t="str">
        <f>IF(ISERROR(FIND(Stammdaten!$BZ$26,ABM$20,1)),"",COLUMN())</f>
        <v/>
      </c>
      <c r="ABN13" s="97" t="str">
        <f>IF(ISERROR(FIND(Stammdaten!$BZ$26,ABN$20,1)),"",COLUMN())</f>
        <v/>
      </c>
      <c r="ABO13" s="97" t="str">
        <f>IF(ISERROR(FIND(Stammdaten!$BZ$26,ABO$20,1)),"",COLUMN())</f>
        <v/>
      </c>
      <c r="ABP13" s="97" t="str">
        <f>IF(ISERROR(FIND(Stammdaten!$BZ$26,ABP$20,1)),"",COLUMN())</f>
        <v/>
      </c>
      <c r="ABQ13" s="97" t="str">
        <f>IF(ISERROR(FIND(Stammdaten!$BZ$26,ABQ$20,1)),"",COLUMN())</f>
        <v/>
      </c>
      <c r="ABR13" s="97" t="str">
        <f>IF(ISERROR(FIND(Stammdaten!$BZ$26,ABR$20,1)),"",COLUMN())</f>
        <v/>
      </c>
      <c r="ABS13" s="97" t="str">
        <f>IF(ISERROR(FIND(Stammdaten!$BZ$26,ABS$20,1)),"",COLUMN())</f>
        <v/>
      </c>
      <c r="ABT13" s="97" t="str">
        <f>IF(ISERROR(FIND(Stammdaten!$BZ$26,ABT$20,1)),"",COLUMN())</f>
        <v/>
      </c>
      <c r="ABU13" s="97" t="str">
        <f>IF(ISERROR(FIND(Stammdaten!$BZ$26,ABU$20,1)),"",COLUMN())</f>
        <v/>
      </c>
      <c r="ABV13" s="97" t="str">
        <f>IF(ISERROR(FIND(Stammdaten!$BZ$26,ABV$20,1)),"",COLUMN())</f>
        <v/>
      </c>
      <c r="ABW13" s="97" t="str">
        <f>IF(ISERROR(FIND(Stammdaten!$BZ$26,ABW$20,1)),"",COLUMN())</f>
        <v/>
      </c>
      <c r="ABX13" s="97" t="str">
        <f>IF(ISERROR(FIND(Stammdaten!$BZ$26,ABX$20,1)),"",COLUMN())</f>
        <v/>
      </c>
      <c r="ABY13" s="97" t="str">
        <f>IF(ISERROR(FIND(Stammdaten!$BZ$26,ABY$20,1)),"",COLUMN())</f>
        <v/>
      </c>
      <c r="ABZ13" s="97" t="str">
        <f>IF(ISERROR(FIND(Stammdaten!$BZ$26,ABZ$20,1)),"",COLUMN())</f>
        <v/>
      </c>
      <c r="ACA13" s="97" t="str">
        <f>IF(ISERROR(FIND(Stammdaten!$BZ$26,ACA$20,1)),"",COLUMN())</f>
        <v/>
      </c>
      <c r="ACB13" s="97" t="str">
        <f>IF(ISERROR(FIND(Stammdaten!$BZ$26,ACB$20,1)),"",COLUMN())</f>
        <v/>
      </c>
      <c r="ACC13" s="97" t="str">
        <f>IF(ISERROR(FIND(Stammdaten!$BZ$26,ACC$20,1)),"",COLUMN())</f>
        <v/>
      </c>
      <c r="ACD13" s="97" t="str">
        <f>IF(ISERROR(FIND(Stammdaten!$BZ$26,ACD$20,1)),"",COLUMN())</f>
        <v/>
      </c>
      <c r="ACE13" s="97" t="str">
        <f>IF(ISERROR(FIND(Stammdaten!$BZ$26,ACE$20,1)),"",COLUMN())</f>
        <v/>
      </c>
      <c r="ACF13" s="97" t="str">
        <f>IF(ISERROR(FIND(Stammdaten!$BZ$26,ACF$20,1)),"",COLUMN())</f>
        <v/>
      </c>
      <c r="ACG13" s="97" t="str">
        <f>IF(ISERROR(FIND(Stammdaten!$BZ$26,ACG$20,1)),"",COLUMN())</f>
        <v/>
      </c>
      <c r="ACH13" s="97" t="str">
        <f>IF(ISERROR(FIND(Stammdaten!$BZ$26,ACH$20,1)),"",COLUMN())</f>
        <v/>
      </c>
      <c r="ACI13" s="97" t="str">
        <f>IF(ISERROR(FIND(Stammdaten!$BZ$26,ACI$20,1)),"",COLUMN())</f>
        <v/>
      </c>
      <c r="ACJ13" s="97" t="str">
        <f>IF(ISERROR(FIND(Stammdaten!$BZ$26,ACJ$20,1)),"",COLUMN())</f>
        <v/>
      </c>
      <c r="ACK13" s="97" t="str">
        <f>IF(ISERROR(FIND(Stammdaten!$BZ$26,ACK$20,1)),"",COLUMN())</f>
        <v/>
      </c>
      <c r="ACL13" s="97" t="str">
        <f>IF(ISERROR(FIND(Stammdaten!$BZ$26,ACL$20,1)),"",COLUMN())</f>
        <v/>
      </c>
      <c r="ACM13" s="97" t="str">
        <f>IF(ISERROR(FIND(Stammdaten!$BZ$26,ACM$20,1)),"",COLUMN())</f>
        <v/>
      </c>
      <c r="ACN13" s="97"/>
    </row>
    <row r="14" spans="1:768" s="92" customFormat="1" ht="30" customHeight="1">
      <c r="A14" s="101"/>
      <c r="B14" s="102"/>
      <c r="C14" s="102"/>
      <c r="D14" s="102"/>
      <c r="E14" s="102"/>
      <c r="F14" s="102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3"/>
      <c r="DR14" s="103"/>
      <c r="DS14" s="103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3"/>
      <c r="EM14" s="103"/>
      <c r="EN14" s="103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3"/>
      <c r="FH14" s="103"/>
      <c r="FI14" s="103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3"/>
      <c r="GE14" s="103"/>
      <c r="GF14" s="103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3"/>
      <c r="GY14" s="103"/>
      <c r="GZ14" s="103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4"/>
      <c r="HS14" s="104"/>
      <c r="HT14" s="104"/>
      <c r="HU14" s="104"/>
      <c r="HV14" s="104"/>
      <c r="HW14" s="104"/>
      <c r="HX14" s="101"/>
      <c r="HY14" s="101"/>
      <c r="HZ14" s="101"/>
      <c r="IA14" s="104"/>
      <c r="IB14" s="104"/>
      <c r="IC14" s="104"/>
      <c r="ID14" s="104"/>
      <c r="IE14" s="104"/>
      <c r="IF14" s="104"/>
      <c r="IG14" s="101"/>
      <c r="IH14" s="101"/>
      <c r="II14" s="101"/>
      <c r="IJ14" s="104"/>
      <c r="IK14" s="104"/>
      <c r="IL14" s="104"/>
      <c r="IM14" s="104"/>
      <c r="IN14" s="104"/>
      <c r="IO14" s="104"/>
      <c r="IP14" s="101"/>
      <c r="IQ14" s="101"/>
      <c r="IR14" s="101"/>
      <c r="IS14" s="104"/>
      <c r="IT14" s="104"/>
      <c r="IU14" s="104"/>
      <c r="IV14" s="104"/>
      <c r="IW14" s="104"/>
      <c r="IX14" s="104"/>
      <c r="IY14" s="101"/>
      <c r="IZ14" s="101"/>
      <c r="JA14" s="101"/>
      <c r="JB14" s="104"/>
      <c r="JC14" s="104"/>
      <c r="JD14" s="104"/>
      <c r="JE14" s="104"/>
      <c r="JF14" s="104"/>
      <c r="JG14" s="104"/>
      <c r="JH14" s="101"/>
      <c r="JI14" s="101"/>
      <c r="JJ14" s="101"/>
      <c r="JK14" s="104"/>
      <c r="JL14" s="104"/>
      <c r="JM14" s="104"/>
      <c r="JN14" s="104"/>
      <c r="JO14" s="104"/>
      <c r="JP14" s="104"/>
      <c r="JQ14" s="101"/>
      <c r="JR14" s="101"/>
      <c r="JS14" s="101"/>
      <c r="JT14" s="101"/>
      <c r="JU14" s="101"/>
      <c r="JV14" s="101"/>
      <c r="JW14" s="101"/>
      <c r="JX14" s="101"/>
      <c r="JY14" s="101"/>
      <c r="JZ14" s="101"/>
      <c r="KA14" s="101"/>
      <c r="KB14" s="101"/>
      <c r="KC14" s="101"/>
      <c r="KD14" s="101"/>
      <c r="KE14" s="101"/>
      <c r="KF14" s="101"/>
      <c r="KG14" s="101"/>
      <c r="KH14" s="101"/>
      <c r="KI14" s="101"/>
      <c r="KJ14" s="101"/>
      <c r="KK14" s="101"/>
      <c r="KL14" s="101"/>
      <c r="KM14" s="101"/>
      <c r="KN14" s="101"/>
      <c r="KO14" s="101"/>
      <c r="KP14" s="101"/>
      <c r="KQ14" s="101"/>
      <c r="KR14" s="101"/>
      <c r="KS14" s="101"/>
      <c r="KT14" s="101"/>
      <c r="KU14" s="101"/>
      <c r="KV14" s="101"/>
      <c r="KW14" s="101"/>
      <c r="KX14" s="101"/>
      <c r="KY14" s="101"/>
      <c r="KZ14" s="101"/>
      <c r="LA14" s="101"/>
      <c r="LB14" s="101"/>
      <c r="LC14" s="101"/>
      <c r="LD14" s="101"/>
      <c r="LE14" s="101"/>
      <c r="LF14" s="101"/>
      <c r="LG14" s="101"/>
      <c r="LH14" s="101"/>
      <c r="LI14" s="101"/>
      <c r="LJ14" s="101"/>
      <c r="LK14" s="101"/>
      <c r="LL14" s="101"/>
      <c r="LM14" s="101"/>
      <c r="LN14" s="101"/>
      <c r="LO14" s="101"/>
      <c r="LP14" s="101"/>
      <c r="LQ14" s="101"/>
      <c r="LR14" s="101"/>
      <c r="LS14" s="101"/>
      <c r="LT14" s="101"/>
      <c r="LU14" s="101"/>
      <c r="LV14" s="101"/>
      <c r="LW14" s="101"/>
      <c r="LX14" s="101"/>
      <c r="LY14" s="101"/>
      <c r="LZ14" s="101"/>
      <c r="MA14" s="101"/>
      <c r="MB14" s="101"/>
      <c r="MC14" s="101"/>
      <c r="MD14" s="101"/>
      <c r="ME14" s="101"/>
      <c r="MF14" s="101"/>
      <c r="MG14" s="101"/>
      <c r="MH14" s="101"/>
      <c r="MI14" s="101"/>
      <c r="MJ14" s="101"/>
      <c r="MK14" s="101"/>
      <c r="ML14" s="101"/>
      <c r="MM14" s="101"/>
      <c r="MN14" s="101"/>
      <c r="MO14" s="101"/>
      <c r="MP14" s="101"/>
      <c r="MQ14" s="101"/>
      <c r="MR14" s="101"/>
      <c r="MS14" s="103"/>
      <c r="MT14" s="103"/>
      <c r="MU14" s="103"/>
      <c r="MV14" s="103"/>
      <c r="MW14" s="101"/>
      <c r="MX14" s="101"/>
      <c r="MY14" s="101"/>
      <c r="MZ14" s="101"/>
      <c r="NA14" s="101"/>
      <c r="NB14" s="101"/>
      <c r="NC14" s="101"/>
      <c r="ND14" s="101"/>
      <c r="NE14" s="101"/>
      <c r="NF14" s="101"/>
      <c r="NG14" s="101"/>
      <c r="NH14" s="101"/>
      <c r="NI14" s="104"/>
      <c r="NJ14" s="104"/>
      <c r="NK14" s="101"/>
      <c r="NL14" s="101"/>
      <c r="NM14" s="101"/>
      <c r="NN14" s="101"/>
      <c r="NO14" s="101"/>
      <c r="NP14" s="101"/>
      <c r="NQ14" s="101"/>
      <c r="NR14" s="101"/>
      <c r="NS14" s="101"/>
      <c r="NT14" s="101"/>
      <c r="NU14" s="101"/>
      <c r="NV14" s="101"/>
      <c r="NW14" s="101"/>
      <c r="NX14" s="101"/>
      <c r="NY14" s="101"/>
      <c r="NZ14" s="101"/>
      <c r="OA14" s="101"/>
      <c r="OB14" s="101"/>
      <c r="OC14" s="101"/>
      <c r="OD14" s="101"/>
      <c r="OE14" s="101"/>
      <c r="OF14" s="101"/>
      <c r="OG14" s="101"/>
      <c r="OH14" s="101"/>
      <c r="OI14" s="101"/>
      <c r="OJ14" s="101"/>
      <c r="OK14" s="101"/>
      <c r="OL14" s="101"/>
      <c r="OM14" s="103"/>
      <c r="ON14" s="103"/>
      <c r="OO14" s="103"/>
      <c r="OP14" s="101"/>
      <c r="OQ14" s="101"/>
      <c r="OR14" s="101"/>
      <c r="OS14" s="101"/>
      <c r="OT14" s="101"/>
      <c r="OU14" s="101"/>
      <c r="OV14" s="101"/>
      <c r="OW14" s="101"/>
      <c r="OX14" s="101"/>
      <c r="OY14" s="101"/>
      <c r="OZ14" s="101"/>
      <c r="PA14" s="101"/>
      <c r="PB14" s="101"/>
      <c r="PC14" s="101"/>
      <c r="PD14" s="101"/>
      <c r="PE14" s="104"/>
      <c r="PF14" s="101"/>
      <c r="PG14" s="101"/>
      <c r="PH14" s="101"/>
      <c r="PI14" s="101"/>
      <c r="PJ14" s="101"/>
      <c r="PK14" s="101"/>
      <c r="PL14" s="101"/>
      <c r="PM14" s="101"/>
      <c r="PN14" s="101"/>
      <c r="PO14" s="101"/>
      <c r="PP14" s="101"/>
      <c r="PQ14" s="104"/>
      <c r="PR14" s="104"/>
      <c r="PS14" s="101"/>
      <c r="PT14" s="101"/>
      <c r="PU14" s="101"/>
      <c r="PV14" s="101"/>
      <c r="PW14" s="101"/>
      <c r="PX14" s="101"/>
      <c r="PY14" s="101"/>
      <c r="PZ14" s="101"/>
      <c r="QA14" s="101"/>
      <c r="QB14" s="101"/>
      <c r="QC14" s="101"/>
      <c r="QD14" s="104"/>
      <c r="QE14" s="101"/>
      <c r="QF14" s="101"/>
      <c r="QG14" s="101"/>
      <c r="QH14" s="101"/>
      <c r="QI14" s="101"/>
      <c r="QJ14" s="101"/>
      <c r="QK14" s="101"/>
      <c r="QL14" s="101"/>
      <c r="QM14" s="101"/>
      <c r="QN14" s="101"/>
      <c r="QO14" s="101"/>
      <c r="QP14" s="101"/>
      <c r="QQ14" s="101"/>
      <c r="QR14" s="101"/>
      <c r="QS14" s="101"/>
      <c r="QT14" s="101"/>
      <c r="QU14" s="103"/>
      <c r="QV14" s="103"/>
      <c r="QW14" s="103"/>
      <c r="QX14" s="101"/>
      <c r="QY14" s="101"/>
      <c r="QZ14" s="101"/>
      <c r="RA14" s="101"/>
      <c r="RB14" s="101"/>
      <c r="RC14" s="101"/>
      <c r="RD14" s="101"/>
      <c r="RE14" s="101"/>
      <c r="RF14" s="101"/>
      <c r="RG14" s="101"/>
      <c r="RH14" s="101"/>
      <c r="RI14" s="101"/>
      <c r="RJ14" s="101"/>
      <c r="RK14" s="101"/>
      <c r="RL14" s="101"/>
      <c r="RM14" s="101"/>
      <c r="RN14" s="101"/>
      <c r="RO14" s="101"/>
      <c r="RP14" s="101"/>
      <c r="RQ14" s="101"/>
      <c r="RR14" s="101"/>
      <c r="RS14" s="101"/>
      <c r="RT14" s="101"/>
      <c r="RU14" s="101"/>
      <c r="RV14" s="101"/>
      <c r="RW14" s="101"/>
      <c r="RX14" s="101"/>
      <c r="RY14" s="101"/>
      <c r="RZ14" s="101"/>
      <c r="SA14" s="101"/>
      <c r="SB14" s="101"/>
      <c r="SC14" s="101"/>
      <c r="SD14" s="101"/>
      <c r="SE14" s="101"/>
      <c r="SF14" s="101"/>
      <c r="SG14" s="101"/>
      <c r="SH14" s="101"/>
      <c r="SI14" s="101"/>
      <c r="SJ14" s="101"/>
      <c r="SK14" s="101"/>
      <c r="SL14" s="101"/>
      <c r="SM14" s="101"/>
      <c r="SN14" s="101"/>
      <c r="SO14" s="101"/>
      <c r="SP14" s="101"/>
      <c r="SQ14" s="101"/>
      <c r="SR14" s="101"/>
      <c r="SS14" s="101"/>
      <c r="ST14" s="101"/>
      <c r="SU14" s="101"/>
      <c r="SV14" s="101"/>
      <c r="SW14" s="101"/>
      <c r="SX14" s="101"/>
      <c r="SY14" s="101"/>
      <c r="SZ14" s="101"/>
      <c r="TA14" s="101"/>
      <c r="TB14" s="101"/>
      <c r="TC14" s="101"/>
      <c r="TD14" s="101"/>
      <c r="TE14" s="101"/>
      <c r="TF14" s="101"/>
      <c r="TG14" s="101"/>
      <c r="TH14" s="101"/>
      <c r="TI14" s="101"/>
      <c r="TJ14" s="101"/>
      <c r="TK14" s="101"/>
      <c r="TL14" s="104"/>
      <c r="TM14" s="104"/>
      <c r="TN14" s="101"/>
      <c r="TO14" s="101"/>
      <c r="TP14" s="101"/>
      <c r="TQ14" s="101"/>
      <c r="TR14" s="101"/>
      <c r="TS14" s="101"/>
      <c r="TT14" s="101"/>
      <c r="TU14" s="101"/>
      <c r="TV14" s="101"/>
      <c r="TW14" s="101"/>
      <c r="TX14" s="101"/>
      <c r="TY14" s="101"/>
      <c r="TZ14" s="101"/>
      <c r="UA14" s="101"/>
      <c r="UB14" s="101"/>
      <c r="UC14" s="101"/>
      <c r="UD14" s="101"/>
      <c r="UE14" s="101"/>
      <c r="UF14" s="101"/>
      <c r="UG14" s="101"/>
      <c r="UH14" s="101"/>
      <c r="UI14" s="101"/>
      <c r="UJ14" s="101"/>
      <c r="UK14" s="101"/>
      <c r="UL14" s="101"/>
      <c r="UM14" s="101"/>
      <c r="UN14" s="101"/>
      <c r="UO14" s="101"/>
      <c r="UP14" s="101"/>
      <c r="UQ14" s="101"/>
      <c r="UR14" s="101"/>
      <c r="US14" s="101"/>
      <c r="UT14" s="101"/>
      <c r="UU14" s="101"/>
      <c r="UV14" s="101"/>
      <c r="UW14" s="101"/>
      <c r="UX14" s="101"/>
      <c r="UY14" s="101"/>
      <c r="UZ14" s="101"/>
      <c r="VA14" s="101"/>
      <c r="VB14" s="101"/>
      <c r="VC14" s="101"/>
      <c r="VD14" s="101"/>
      <c r="VE14" s="101"/>
      <c r="VF14" s="101"/>
      <c r="VG14" s="101"/>
      <c r="VH14" s="101"/>
      <c r="VI14" s="101"/>
      <c r="VJ14" s="101"/>
      <c r="VK14" s="101"/>
      <c r="VL14" s="101"/>
      <c r="VM14" s="101"/>
      <c r="VN14" s="101"/>
      <c r="VO14" s="101"/>
      <c r="VP14" s="101"/>
      <c r="VQ14" s="101"/>
      <c r="VR14" s="101"/>
      <c r="VS14" s="101"/>
      <c r="VT14" s="101"/>
      <c r="VU14" s="101"/>
      <c r="VV14" s="101"/>
      <c r="VW14" s="101"/>
      <c r="VX14" s="101"/>
      <c r="VY14" s="101"/>
      <c r="VZ14" s="101"/>
      <c r="WA14" s="101"/>
      <c r="WB14" s="101"/>
      <c r="WC14" s="101"/>
      <c r="WD14" s="101"/>
      <c r="WE14" s="101"/>
      <c r="WF14" s="101"/>
      <c r="WG14" s="101"/>
      <c r="WH14" s="101"/>
      <c r="WI14" s="101"/>
      <c r="WJ14" s="101"/>
      <c r="WK14" s="101"/>
      <c r="WL14" s="101"/>
      <c r="WM14" s="101"/>
      <c r="WN14" s="101"/>
      <c r="WO14" s="101"/>
      <c r="WP14" s="101"/>
      <c r="WQ14" s="101"/>
      <c r="WR14" s="101"/>
      <c r="WS14" s="101"/>
      <c r="WT14" s="101"/>
      <c r="WU14" s="101"/>
      <c r="WV14" s="101"/>
      <c r="WW14" s="101"/>
      <c r="WX14" s="101"/>
      <c r="WY14" s="101"/>
      <c r="WZ14" s="101"/>
      <c r="XA14" s="101"/>
      <c r="XB14" s="101"/>
      <c r="XC14" s="101"/>
      <c r="XD14" s="101"/>
      <c r="XE14" s="101"/>
      <c r="XF14" s="101"/>
      <c r="XG14" s="101"/>
      <c r="XH14" s="103"/>
      <c r="XI14" s="103"/>
      <c r="XJ14" s="103"/>
      <c r="XK14" s="101"/>
      <c r="XL14" s="101"/>
      <c r="XM14" s="101"/>
      <c r="XN14" s="101"/>
      <c r="XO14" s="101"/>
      <c r="XP14" s="101"/>
      <c r="XQ14" s="101"/>
      <c r="XR14" s="101"/>
      <c r="XS14" s="101"/>
      <c r="XT14" s="101"/>
      <c r="XU14" s="101"/>
      <c r="XV14" s="101"/>
      <c r="XW14" s="101"/>
      <c r="XX14" s="101"/>
      <c r="XY14" s="101"/>
      <c r="XZ14" s="101"/>
      <c r="YA14" s="101"/>
      <c r="YB14" s="101"/>
      <c r="YC14" s="101"/>
      <c r="YD14" s="103"/>
      <c r="YE14" s="103"/>
      <c r="YF14" s="103"/>
      <c r="YG14" s="101"/>
      <c r="YH14" s="101"/>
      <c r="YI14" s="101"/>
      <c r="YJ14" s="101"/>
      <c r="YK14" s="101"/>
      <c r="YL14" s="101"/>
      <c r="YM14" s="101"/>
      <c r="YN14" s="101"/>
      <c r="YO14" s="101"/>
      <c r="YP14" s="101"/>
      <c r="YQ14" s="101"/>
      <c r="YR14" s="101"/>
      <c r="YS14" s="101"/>
      <c r="YT14" s="101"/>
      <c r="YU14" s="101"/>
      <c r="YV14" s="101"/>
      <c r="YW14" s="101"/>
      <c r="YX14" s="101"/>
      <c r="YY14" s="101"/>
      <c r="YZ14" s="101"/>
      <c r="ZA14" s="101"/>
      <c r="ZB14" s="101"/>
      <c r="ZC14" s="101"/>
      <c r="ZD14" s="101"/>
      <c r="ZE14" s="101"/>
      <c r="ZF14" s="101"/>
      <c r="ZG14" s="101"/>
      <c r="ZH14" s="101"/>
      <c r="ZI14" s="101"/>
      <c r="ZJ14" s="101"/>
      <c r="ZK14" s="101"/>
      <c r="ZL14" s="101"/>
      <c r="ZM14" s="101"/>
      <c r="ZN14" s="101"/>
      <c r="ZO14" s="101"/>
      <c r="ZP14" s="101"/>
      <c r="ZQ14" s="101"/>
      <c r="ZR14" s="101"/>
      <c r="ZS14" s="101"/>
      <c r="ZT14" s="101"/>
      <c r="ZU14" s="101"/>
      <c r="ZV14" s="101"/>
      <c r="ZW14" s="101"/>
      <c r="ZX14" s="101"/>
      <c r="ZY14" s="101"/>
      <c r="ZZ14" s="101"/>
      <c r="AAA14" s="101"/>
      <c r="AAB14" s="101"/>
      <c r="AAC14" s="101"/>
      <c r="AAD14" s="101"/>
      <c r="AAE14" s="101"/>
      <c r="AAF14" s="101"/>
      <c r="AAG14" s="101"/>
      <c r="AAH14" s="101"/>
      <c r="AAI14" s="101"/>
      <c r="AAJ14" s="101"/>
      <c r="AAK14" s="101"/>
      <c r="AAL14" s="101"/>
      <c r="AAM14" s="101"/>
      <c r="AAN14" s="101"/>
      <c r="AAO14" s="101"/>
      <c r="AAP14" s="101"/>
      <c r="AAQ14" s="101"/>
      <c r="AAR14" s="101"/>
      <c r="AAS14" s="101"/>
      <c r="AAT14" s="104"/>
      <c r="AAU14" s="104"/>
      <c r="AAV14" s="101"/>
      <c r="AAW14" s="101"/>
      <c r="AAX14" s="101"/>
      <c r="AAY14" s="101"/>
      <c r="AAZ14" s="101"/>
      <c r="ABA14" s="101"/>
      <c r="ABB14" s="101"/>
      <c r="ABC14" s="101"/>
      <c r="ABD14" s="101"/>
      <c r="ABE14" s="101"/>
      <c r="ABF14" s="104"/>
      <c r="ABG14" s="104"/>
      <c r="ABH14" s="101"/>
      <c r="ABI14" s="101"/>
      <c r="ABJ14" s="101"/>
      <c r="ABK14" s="101"/>
      <c r="ABL14" s="101"/>
      <c r="ABM14" s="101"/>
      <c r="ABN14" s="101"/>
      <c r="ABO14" s="101"/>
      <c r="ABP14" s="101"/>
      <c r="ABQ14" s="101"/>
      <c r="ABR14" s="101"/>
      <c r="ABS14" s="101"/>
      <c r="ABT14" s="101"/>
      <c r="ABU14" s="101"/>
      <c r="ABV14" s="101"/>
      <c r="ABW14" s="101"/>
      <c r="ABX14" s="101"/>
      <c r="ABY14" s="101"/>
      <c r="ABZ14" s="101"/>
      <c r="ACA14" s="101"/>
      <c r="ACB14" s="101"/>
      <c r="ACC14" s="101"/>
      <c r="ACD14" s="104"/>
      <c r="ACE14" s="104"/>
      <c r="ACF14" s="101"/>
      <c r="ACG14" s="101"/>
      <c r="ACH14" s="101"/>
      <c r="ACI14" s="101"/>
      <c r="ACJ14" s="101"/>
      <c r="ACK14" s="101"/>
      <c r="ACL14" s="101"/>
      <c r="ACM14" s="101"/>
      <c r="ACN14" s="101"/>
    </row>
    <row r="15" spans="1:768" ht="19.5" thickBot="1">
      <c r="A15" s="102"/>
      <c r="B15" s="105" t="s">
        <v>90</v>
      </c>
      <c r="C15" s="106"/>
      <c r="D15" s="107"/>
      <c r="E15" s="107"/>
      <c r="F15" s="107"/>
      <c r="HN15" s="108"/>
      <c r="PA15" s="108"/>
      <c r="XW15" s="108"/>
      <c r="YV15" s="109"/>
      <c r="ZF15" s="108"/>
      <c r="ZH15" s="110" t="s">
        <v>72</v>
      </c>
      <c r="ZI15" s="110"/>
      <c r="ZJ15" s="110"/>
      <c r="ZK15" s="110"/>
      <c r="ZL15" s="110"/>
      <c r="ZM15" s="110"/>
      <c r="ZN15" s="110"/>
      <c r="ZO15" s="110"/>
      <c r="ZP15" s="110"/>
      <c r="ZQ15" s="110"/>
      <c r="ZR15" s="110"/>
      <c r="ZS15" s="110"/>
      <c r="ZT15" s="110"/>
      <c r="ZU15" s="110"/>
      <c r="ZV15" s="110"/>
      <c r="ZW15" s="110"/>
      <c r="ZX15" s="110"/>
      <c r="ZY15" s="110"/>
      <c r="ZZ15" s="110"/>
      <c r="AAA15" s="110"/>
      <c r="AAB15" s="110"/>
      <c r="AAC15" s="110"/>
      <c r="AAD15" s="110"/>
      <c r="AAE15" s="110"/>
      <c r="AAF15" s="110"/>
      <c r="AAG15" s="110"/>
      <c r="AAH15" s="110"/>
      <c r="AAI15" s="110"/>
      <c r="AAJ15" s="110"/>
      <c r="AAK15" s="110"/>
      <c r="AAL15" s="110"/>
      <c r="AAM15" s="110"/>
      <c r="AAN15" s="110"/>
      <c r="AAO15" s="110"/>
      <c r="AAP15" s="110"/>
      <c r="AAQ15" s="110"/>
      <c r="AAR15" s="110"/>
      <c r="AAS15" s="110"/>
      <c r="AAT15" s="110"/>
      <c r="AAU15" s="110"/>
      <c r="AAV15" s="110"/>
      <c r="AAW15" s="110"/>
      <c r="AAX15" s="110"/>
      <c r="AAY15" s="110"/>
      <c r="AAZ15" s="110"/>
      <c r="ABA15" s="110"/>
      <c r="ABB15" s="110"/>
      <c r="ABC15" s="110"/>
      <c r="ABD15" s="110"/>
      <c r="ABE15" s="110"/>
      <c r="ABF15" s="110"/>
      <c r="ABG15" s="110"/>
      <c r="ABH15" s="110"/>
      <c r="ABI15" s="110"/>
      <c r="ABJ15" s="110"/>
      <c r="ABK15" s="110"/>
      <c r="ABL15" s="110"/>
      <c r="ABM15" s="110"/>
      <c r="ABN15" s="110"/>
      <c r="ABO15" s="110"/>
      <c r="ABP15" s="110"/>
      <c r="ABQ15" s="110"/>
      <c r="ABR15" s="110"/>
      <c r="ABS15" s="110"/>
      <c r="ABT15" s="110"/>
      <c r="ABU15" s="110"/>
      <c r="ABV15" s="110"/>
      <c r="ABW15" s="110"/>
      <c r="ABX15" s="110"/>
      <c r="ABY15" s="110"/>
      <c r="ABZ15" s="110"/>
      <c r="ACA15" s="110"/>
      <c r="ACB15" s="110"/>
      <c r="ACC15" s="110"/>
      <c r="ACD15" s="110"/>
      <c r="ACE15" s="110"/>
      <c r="ACF15" s="110"/>
      <c r="ACG15" s="110"/>
      <c r="ACH15" s="110"/>
      <c r="ACI15" s="110"/>
      <c r="ACJ15" s="110"/>
      <c r="ACK15" s="110"/>
      <c r="ACL15" s="110"/>
      <c r="ACM15" s="110"/>
      <c r="ACN15" s="102"/>
    </row>
    <row r="16" spans="1:768" ht="15" customHeight="1" thickBot="1">
      <c r="A16" s="102"/>
      <c r="C16" s="91" t="s">
        <v>77</v>
      </c>
      <c r="E16" s="91" t="s">
        <v>78</v>
      </c>
      <c r="G16" s="111" t="str" cm="1">
        <f t="array" ref="G16">INDEX(StdBS[Titelanzeige],G$1)</f>
        <v>BS.1   Laufen, Springen, Werfen</v>
      </c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  <c r="GU16" s="112"/>
      <c r="GV16" s="112"/>
      <c r="GW16" s="112"/>
      <c r="GX16" s="112"/>
      <c r="GY16" s="112"/>
      <c r="GZ16" s="112"/>
      <c r="HA16" s="112"/>
      <c r="HB16" s="112"/>
      <c r="HC16" s="112"/>
      <c r="HD16" s="112"/>
      <c r="HE16" s="112"/>
      <c r="HF16" s="112"/>
      <c r="HG16" s="112"/>
      <c r="HH16" s="112"/>
      <c r="HI16" s="112"/>
      <c r="HJ16" s="112"/>
      <c r="HK16" s="112"/>
      <c r="HL16" s="112"/>
      <c r="HM16" s="112"/>
      <c r="HN16" s="113"/>
      <c r="HO16" s="114"/>
      <c r="HP16" s="111" t="str" cm="1">
        <f t="array" ref="HP16">INDEX(StdBS[Titelanzeige],HP$1)</f>
        <v>BS.2   Bewegen an Geräten</v>
      </c>
      <c r="HQ16" s="112"/>
      <c r="HR16" s="112"/>
      <c r="HS16" s="112"/>
      <c r="HT16" s="112"/>
      <c r="HU16" s="112"/>
      <c r="HV16" s="112"/>
      <c r="HW16" s="112"/>
      <c r="HX16" s="112"/>
      <c r="HY16" s="112"/>
      <c r="HZ16" s="112"/>
      <c r="IA16" s="112"/>
      <c r="IB16" s="112"/>
      <c r="IC16" s="112"/>
      <c r="ID16" s="112"/>
      <c r="IE16" s="112"/>
      <c r="IF16" s="112"/>
      <c r="IG16" s="112"/>
      <c r="IH16" s="112"/>
      <c r="II16" s="112"/>
      <c r="IJ16" s="112"/>
      <c r="IK16" s="112"/>
      <c r="IL16" s="112"/>
      <c r="IM16" s="112"/>
      <c r="IN16" s="112"/>
      <c r="IO16" s="112"/>
      <c r="IP16" s="112"/>
      <c r="IQ16" s="112"/>
      <c r="IR16" s="112"/>
      <c r="IS16" s="112"/>
      <c r="IT16" s="112"/>
      <c r="IU16" s="112"/>
      <c r="IV16" s="112"/>
      <c r="IW16" s="112"/>
      <c r="IX16" s="112"/>
      <c r="IY16" s="112"/>
      <c r="IZ16" s="112"/>
      <c r="JA16" s="112"/>
      <c r="JB16" s="112"/>
      <c r="JC16" s="112"/>
      <c r="JD16" s="112"/>
      <c r="JE16" s="112"/>
      <c r="JF16" s="112"/>
      <c r="JG16" s="112"/>
      <c r="JH16" s="112"/>
      <c r="JI16" s="112"/>
      <c r="JJ16" s="112"/>
      <c r="JK16" s="112"/>
      <c r="JL16" s="112"/>
      <c r="JM16" s="112"/>
      <c r="JN16" s="112"/>
      <c r="JO16" s="112"/>
      <c r="JP16" s="112"/>
      <c r="JQ16" s="112"/>
      <c r="JR16" s="112"/>
      <c r="JS16" s="112"/>
      <c r="JT16" s="112"/>
      <c r="JU16" s="112"/>
      <c r="JV16" s="112"/>
      <c r="JW16" s="112"/>
      <c r="JX16" s="112"/>
      <c r="JY16" s="112"/>
      <c r="JZ16" s="112"/>
      <c r="KA16" s="112"/>
      <c r="KB16" s="112"/>
      <c r="KC16" s="112"/>
      <c r="KD16" s="112"/>
      <c r="KE16" s="112"/>
      <c r="KF16" s="112"/>
      <c r="KG16" s="112"/>
      <c r="KH16" s="112"/>
      <c r="KI16" s="112"/>
      <c r="KJ16" s="112"/>
      <c r="KK16" s="112"/>
      <c r="KL16" s="112"/>
      <c r="KM16" s="112"/>
      <c r="KN16" s="112"/>
      <c r="KO16" s="112"/>
      <c r="KP16" s="112"/>
      <c r="KQ16" s="112"/>
      <c r="KR16" s="112"/>
      <c r="KS16" s="112"/>
      <c r="KT16" s="112"/>
      <c r="KU16" s="112"/>
      <c r="KV16" s="112"/>
      <c r="KW16" s="112"/>
      <c r="KX16" s="112"/>
      <c r="KY16" s="112"/>
      <c r="KZ16" s="112"/>
      <c r="LA16" s="112"/>
      <c r="LB16" s="112"/>
      <c r="LC16" s="112"/>
      <c r="LD16" s="112"/>
      <c r="LE16" s="112"/>
      <c r="LF16" s="112"/>
      <c r="LG16" s="112"/>
      <c r="LH16" s="112"/>
      <c r="LI16" s="112"/>
      <c r="LJ16" s="112"/>
      <c r="LK16" s="112"/>
      <c r="LL16" s="112"/>
      <c r="LM16" s="112"/>
      <c r="LN16" s="112"/>
      <c r="LO16" s="112"/>
      <c r="LP16" s="112"/>
      <c r="LQ16" s="112"/>
      <c r="LR16" s="112"/>
      <c r="LS16" s="112"/>
      <c r="LT16" s="112"/>
      <c r="LU16" s="112"/>
      <c r="LV16" s="112"/>
      <c r="LW16" s="112"/>
      <c r="LX16" s="112"/>
      <c r="LY16" s="112"/>
      <c r="LZ16" s="112"/>
      <c r="MA16" s="112"/>
      <c r="MB16" s="112"/>
      <c r="MC16" s="112"/>
      <c r="MD16" s="112"/>
      <c r="ME16" s="112"/>
      <c r="MF16" s="112"/>
      <c r="MG16" s="112"/>
      <c r="MH16" s="112"/>
      <c r="MI16" s="112"/>
      <c r="MJ16" s="112"/>
      <c r="MK16" s="112"/>
      <c r="ML16" s="112"/>
      <c r="MM16" s="112"/>
      <c r="MN16" s="112"/>
      <c r="MO16" s="112"/>
      <c r="MP16" s="112"/>
      <c r="MQ16" s="112"/>
      <c r="MR16" s="112"/>
      <c r="MS16" s="112"/>
      <c r="MT16" s="112"/>
      <c r="MU16" s="112"/>
      <c r="MV16" s="112"/>
      <c r="MW16" s="112"/>
      <c r="MX16" s="112"/>
      <c r="MY16" s="112"/>
      <c r="MZ16" s="112"/>
      <c r="NA16" s="112"/>
      <c r="NB16" s="112"/>
      <c r="NC16" s="112"/>
      <c r="ND16" s="112"/>
      <c r="NE16" s="112"/>
      <c r="NF16" s="112"/>
      <c r="NG16" s="112"/>
      <c r="NH16" s="112"/>
      <c r="NI16" s="112"/>
      <c r="NJ16" s="112"/>
      <c r="NK16" s="112"/>
      <c r="NL16" s="112"/>
      <c r="NM16" s="112"/>
      <c r="NN16" s="112"/>
      <c r="NO16" s="112"/>
      <c r="NP16" s="112"/>
      <c r="NQ16" s="112"/>
      <c r="NR16" s="112"/>
      <c r="NS16" s="112"/>
      <c r="NT16" s="112"/>
      <c r="NU16" s="112"/>
      <c r="NV16" s="112"/>
      <c r="NW16" s="112"/>
      <c r="NX16" s="112"/>
      <c r="NY16" s="112"/>
      <c r="NZ16" s="112"/>
      <c r="OA16" s="112"/>
      <c r="OB16" s="112"/>
      <c r="OC16" s="112"/>
      <c r="OD16" s="112"/>
      <c r="OE16" s="112"/>
      <c r="OF16" s="112"/>
      <c r="OG16" s="112"/>
      <c r="OH16" s="112"/>
      <c r="OI16" s="112"/>
      <c r="OJ16" s="112"/>
      <c r="OK16" s="112"/>
      <c r="OL16" s="112"/>
      <c r="OM16" s="112"/>
      <c r="ON16" s="112"/>
      <c r="OO16" s="112"/>
      <c r="OP16" s="112"/>
      <c r="OQ16" s="112"/>
      <c r="OR16" s="112"/>
      <c r="OS16" s="112"/>
      <c r="OT16" s="112"/>
      <c r="OU16" s="112"/>
      <c r="OV16" s="112"/>
      <c r="OW16" s="112"/>
      <c r="OX16" s="112"/>
      <c r="OY16" s="112"/>
      <c r="OZ16" s="112"/>
      <c r="PA16" s="113"/>
      <c r="PB16" s="114"/>
      <c r="PC16" s="111" t="str" cm="1">
        <f t="array" ref="PC16">INDEX(StdBS[Titelanzeige],PC$1)</f>
        <v>BS.3   Darstellen und Tanzen</v>
      </c>
      <c r="PD16" s="112"/>
      <c r="PE16" s="112"/>
      <c r="PF16" s="112"/>
      <c r="PG16" s="112"/>
      <c r="PH16" s="112"/>
      <c r="PI16" s="112"/>
      <c r="PJ16" s="112"/>
      <c r="PK16" s="112"/>
      <c r="PL16" s="112"/>
      <c r="PM16" s="112"/>
      <c r="PN16" s="112"/>
      <c r="PO16" s="112"/>
      <c r="PP16" s="112"/>
      <c r="PQ16" s="112"/>
      <c r="PR16" s="112"/>
      <c r="PS16" s="112"/>
      <c r="PT16" s="112"/>
      <c r="PU16" s="112"/>
      <c r="PV16" s="112"/>
      <c r="PW16" s="112"/>
      <c r="PX16" s="112"/>
      <c r="PY16" s="112"/>
      <c r="PZ16" s="112"/>
      <c r="QA16" s="112"/>
      <c r="QB16" s="112"/>
      <c r="QC16" s="112"/>
      <c r="QD16" s="112"/>
      <c r="QE16" s="112"/>
      <c r="QF16" s="112"/>
      <c r="QG16" s="112"/>
      <c r="QH16" s="112"/>
      <c r="QI16" s="112"/>
      <c r="QJ16" s="112"/>
      <c r="QK16" s="112"/>
      <c r="QL16" s="112"/>
      <c r="QM16" s="112"/>
      <c r="QN16" s="112"/>
      <c r="QO16" s="112"/>
      <c r="QP16" s="112"/>
      <c r="QQ16" s="112"/>
      <c r="QR16" s="112"/>
      <c r="QS16" s="112"/>
      <c r="QT16" s="112"/>
      <c r="QU16" s="112"/>
      <c r="QV16" s="112"/>
      <c r="QW16" s="112"/>
      <c r="QX16" s="112"/>
      <c r="QY16" s="112"/>
      <c r="QZ16" s="112"/>
      <c r="RA16" s="112"/>
      <c r="RB16" s="112"/>
      <c r="RC16" s="112"/>
      <c r="RD16" s="112"/>
      <c r="RE16" s="112"/>
      <c r="RF16" s="112"/>
      <c r="RG16" s="112"/>
      <c r="RH16" s="112"/>
      <c r="RI16" s="112"/>
      <c r="RJ16" s="112"/>
      <c r="RK16" s="112"/>
      <c r="RL16" s="113"/>
      <c r="RM16" s="114"/>
      <c r="RN16" s="111" t="str" cm="1">
        <f t="array" ref="RN16">INDEX(StdBS[Titelanzeige],RN$1)</f>
        <v>BS.4   Spielen</v>
      </c>
      <c r="RO16" s="112"/>
      <c r="RP16" s="112"/>
      <c r="RQ16" s="112"/>
      <c r="RR16" s="112"/>
      <c r="RS16" s="112"/>
      <c r="RT16" s="112"/>
      <c r="RU16" s="112"/>
      <c r="RV16" s="112"/>
      <c r="RW16" s="112"/>
      <c r="RX16" s="112"/>
      <c r="RY16" s="112"/>
      <c r="RZ16" s="112"/>
      <c r="SA16" s="112"/>
      <c r="SB16" s="112"/>
      <c r="SC16" s="112"/>
      <c r="SD16" s="112"/>
      <c r="SE16" s="112"/>
      <c r="SF16" s="112"/>
      <c r="SG16" s="112"/>
      <c r="SH16" s="112"/>
      <c r="SI16" s="112"/>
      <c r="SJ16" s="112"/>
      <c r="SK16" s="112"/>
      <c r="SL16" s="112"/>
      <c r="SM16" s="112"/>
      <c r="SN16" s="112"/>
      <c r="SO16" s="112"/>
      <c r="SP16" s="112"/>
      <c r="SQ16" s="112"/>
      <c r="SR16" s="112"/>
      <c r="SS16" s="112"/>
      <c r="ST16" s="112"/>
      <c r="SU16" s="112"/>
      <c r="SV16" s="112"/>
      <c r="SW16" s="112"/>
      <c r="SX16" s="112"/>
      <c r="SY16" s="112"/>
      <c r="SZ16" s="112"/>
      <c r="TA16" s="112"/>
      <c r="TB16" s="112"/>
      <c r="TC16" s="112"/>
      <c r="TD16" s="112"/>
      <c r="TE16" s="112"/>
      <c r="TF16" s="112"/>
      <c r="TG16" s="112"/>
      <c r="TH16" s="112"/>
      <c r="TI16" s="112"/>
      <c r="TJ16" s="112"/>
      <c r="TK16" s="112"/>
      <c r="TL16" s="112"/>
      <c r="TM16" s="112"/>
      <c r="TN16" s="112"/>
      <c r="TO16" s="112"/>
      <c r="TP16" s="112"/>
      <c r="TQ16" s="112"/>
      <c r="TR16" s="112"/>
      <c r="TS16" s="112"/>
      <c r="TT16" s="112"/>
      <c r="TU16" s="112"/>
      <c r="TV16" s="112"/>
      <c r="TW16" s="112"/>
      <c r="TX16" s="112"/>
      <c r="TY16" s="112"/>
      <c r="TZ16" s="112"/>
      <c r="UA16" s="112"/>
      <c r="UB16" s="112"/>
      <c r="UC16" s="112"/>
      <c r="UD16" s="112"/>
      <c r="UE16" s="112"/>
      <c r="UF16" s="112"/>
      <c r="UG16" s="112"/>
      <c r="UH16" s="112"/>
      <c r="UI16" s="112"/>
      <c r="UJ16" s="112"/>
      <c r="UK16" s="112"/>
      <c r="UL16" s="112"/>
      <c r="UM16" s="112"/>
      <c r="UN16" s="112"/>
      <c r="UO16" s="112"/>
      <c r="UP16" s="112"/>
      <c r="UQ16" s="112"/>
      <c r="UR16" s="112"/>
      <c r="US16" s="112"/>
      <c r="UT16" s="112"/>
      <c r="UU16" s="112"/>
      <c r="UV16" s="112"/>
      <c r="UW16" s="112"/>
      <c r="UX16" s="112"/>
      <c r="UY16" s="112"/>
      <c r="UZ16" s="112"/>
      <c r="VA16" s="112"/>
      <c r="VB16" s="112"/>
      <c r="VC16" s="112"/>
      <c r="VD16" s="112"/>
      <c r="VE16" s="112"/>
      <c r="VF16" s="112"/>
      <c r="VG16" s="112"/>
      <c r="VH16" s="112"/>
      <c r="VI16" s="112"/>
      <c r="VJ16" s="112"/>
      <c r="VK16" s="112"/>
      <c r="VL16" s="112"/>
      <c r="VM16" s="112"/>
      <c r="VN16" s="112"/>
      <c r="VO16" s="112"/>
      <c r="VP16" s="112"/>
      <c r="VQ16" s="112"/>
      <c r="VR16" s="112"/>
      <c r="VS16" s="112"/>
      <c r="VT16" s="112"/>
      <c r="VU16" s="112"/>
      <c r="VV16" s="112"/>
      <c r="VW16" s="112"/>
      <c r="VX16" s="112"/>
      <c r="VY16" s="112"/>
      <c r="VZ16" s="112"/>
      <c r="WA16" s="112"/>
      <c r="WB16" s="112"/>
      <c r="WC16" s="112"/>
      <c r="WD16" s="112"/>
      <c r="WE16" s="112"/>
      <c r="WF16" s="112"/>
      <c r="WG16" s="112"/>
      <c r="WH16" s="112"/>
      <c r="WI16" s="112"/>
      <c r="WJ16" s="112"/>
      <c r="WK16" s="112"/>
      <c r="WL16" s="112"/>
      <c r="WM16" s="112"/>
      <c r="WN16" s="112"/>
      <c r="WO16" s="112"/>
      <c r="WP16" s="112"/>
      <c r="WQ16" s="112"/>
      <c r="WR16" s="112"/>
      <c r="WS16" s="112"/>
      <c r="WT16" s="112"/>
      <c r="WU16" s="112"/>
      <c r="WV16" s="112"/>
      <c r="WW16" s="112"/>
      <c r="WX16" s="112"/>
      <c r="WY16" s="112"/>
      <c r="WZ16" s="112"/>
      <c r="XA16" s="112"/>
      <c r="XB16" s="112"/>
      <c r="XC16" s="112"/>
      <c r="XD16" s="112"/>
      <c r="XE16" s="112"/>
      <c r="XF16" s="112"/>
      <c r="XG16" s="112"/>
      <c r="XH16" s="112"/>
      <c r="XI16" s="112"/>
      <c r="XJ16" s="112"/>
      <c r="XK16" s="112"/>
      <c r="XL16" s="112"/>
      <c r="XM16" s="112"/>
      <c r="XN16" s="112"/>
      <c r="XO16" s="112"/>
      <c r="XP16" s="112"/>
      <c r="XQ16" s="112"/>
      <c r="XR16" s="112"/>
      <c r="XS16" s="112"/>
      <c r="XT16" s="112"/>
      <c r="XU16" s="112"/>
      <c r="XV16" s="112"/>
      <c r="XW16" s="113"/>
      <c r="XX16" s="114"/>
      <c r="XY16" s="115" t="str">
        <f>Stammdaten!$BM$6</f>
        <v>BS.1</v>
      </c>
      <c r="XZ16" s="115" t="str">
        <f>Stammdaten!$BM$7</f>
        <v>BS.2</v>
      </c>
      <c r="YA16" s="115" t="str">
        <f>Stammdaten!$BM$8</f>
        <v>BS.3</v>
      </c>
      <c r="YB16" s="115" t="str">
        <f>Stammdaten!$BM$9</f>
        <v>BS.4</v>
      </c>
      <c r="YC16" s="116" t="str">
        <f>Stammdaten!$CB$27</f>
        <v>Gesamtauswertung</v>
      </c>
      <c r="YD16" s="117"/>
      <c r="YE16" s="117"/>
      <c r="YF16" s="117"/>
      <c r="YG16" s="117"/>
      <c r="YH16" s="117"/>
      <c r="YI16" s="117"/>
      <c r="YJ16" s="117"/>
      <c r="YK16" s="117"/>
      <c r="YL16" s="117"/>
      <c r="YM16" s="117"/>
      <c r="YN16" s="117"/>
      <c r="YO16" s="117"/>
      <c r="YP16" s="117"/>
      <c r="YQ16" s="117"/>
      <c r="YR16" s="117"/>
      <c r="YS16" s="117"/>
      <c r="YT16" s="118"/>
      <c r="YU16" s="119"/>
      <c r="YV16" s="120" t="str">
        <f>Stammdaten!$CC$27</f>
        <v>Gesamtnote</v>
      </c>
      <c r="YW16" s="121"/>
      <c r="YX16" s="121"/>
      <c r="YY16" s="121"/>
      <c r="YZ16" s="121"/>
      <c r="ZA16" s="121"/>
      <c r="ZB16" s="121"/>
      <c r="ZC16" s="121"/>
      <c r="ZD16" s="121"/>
      <c r="ZE16" s="121"/>
      <c r="ZF16" s="122"/>
      <c r="ZG16" s="123"/>
      <c r="ZH16" s="124" t="str" cm="1">
        <f t="array" ref="ZH16">INDEX(StdBS[Titelanzeige],ZH$1)</f>
        <v>BS.5   Gleiten, Rollen, Fahren</v>
      </c>
      <c r="ZI16" s="125"/>
      <c r="ZJ16" s="125"/>
      <c r="ZK16" s="126"/>
      <c r="ZL16" s="127"/>
      <c r="ZM16" s="128" t="str" cm="1">
        <f t="array" ref="ZM16">INDEX(StdBS[Titelanzeige],ZM$1)</f>
        <v>BS.6   Bewegen im Wasser</v>
      </c>
      <c r="ZN16" s="129"/>
      <c r="ZO16" s="129"/>
      <c r="ZP16" s="129"/>
      <c r="ZQ16" s="129"/>
      <c r="ZR16" s="129"/>
      <c r="ZS16" s="129"/>
      <c r="ZT16" s="129"/>
      <c r="ZU16" s="129"/>
      <c r="ZV16" s="129"/>
      <c r="ZW16" s="129"/>
      <c r="ZX16" s="129"/>
      <c r="ZY16" s="129"/>
      <c r="ZZ16" s="129"/>
      <c r="AAA16" s="129"/>
      <c r="AAB16" s="129"/>
      <c r="AAC16" s="129"/>
      <c r="AAD16" s="113"/>
      <c r="AAE16" s="130"/>
      <c r="AAF16" s="111" t="str" cm="1">
        <f t="array" ref="AAF16">INDEX(StdDisziplinen[Fit0],AAF$1)&amp;"   "&amp;INDEX(StdFit[StdFit2],$AAF$1)</f>
        <v>FIT   Allgemeine Fitness</v>
      </c>
      <c r="AAG16" s="112"/>
      <c r="AAH16" s="112"/>
      <c r="AAI16" s="112"/>
      <c r="AAJ16" s="112"/>
      <c r="AAK16" s="112"/>
      <c r="AAL16" s="112"/>
      <c r="AAM16" s="112"/>
      <c r="AAN16" s="112"/>
      <c r="AAO16" s="112"/>
      <c r="AAP16" s="112"/>
      <c r="AAQ16" s="112"/>
      <c r="AAR16" s="112"/>
      <c r="AAS16" s="112"/>
      <c r="AAT16" s="112"/>
      <c r="AAU16" s="112"/>
      <c r="AAV16" s="112"/>
      <c r="AAW16" s="112"/>
      <c r="AAX16" s="112"/>
      <c r="AAY16" s="112"/>
      <c r="AAZ16" s="112"/>
      <c r="ABA16" s="112"/>
      <c r="ABB16" s="112"/>
      <c r="ABC16" s="112"/>
      <c r="ABD16" s="112"/>
      <c r="ABE16" s="112"/>
      <c r="ABF16" s="112"/>
      <c r="ABG16" s="112"/>
      <c r="ABH16" s="112"/>
      <c r="ABI16" s="112"/>
      <c r="ABJ16" s="112"/>
      <c r="ABK16" s="112"/>
      <c r="ABL16" s="112"/>
      <c r="ABM16" s="112"/>
      <c r="ABN16" s="112"/>
      <c r="ABO16" s="112"/>
      <c r="ABP16" s="112"/>
      <c r="ABQ16" s="112"/>
      <c r="ABR16" s="112"/>
      <c r="ABS16" s="112"/>
      <c r="ABT16" s="112"/>
      <c r="ABU16" s="112"/>
      <c r="ABV16" s="112"/>
      <c r="ABW16" s="112"/>
      <c r="ABX16" s="112"/>
      <c r="ABY16" s="112"/>
      <c r="ABZ16" s="112"/>
      <c r="ACA16" s="112"/>
      <c r="ACB16" s="112"/>
      <c r="ACC16" s="112"/>
      <c r="ACD16" s="112"/>
      <c r="ACE16" s="112"/>
      <c r="ACF16" s="112"/>
      <c r="ACG16" s="112"/>
      <c r="ACH16" s="112"/>
      <c r="ACI16" s="112"/>
      <c r="ACJ16" s="112"/>
      <c r="ACK16" s="112"/>
      <c r="ACL16" s="112"/>
      <c r="ACM16" s="131"/>
      <c r="ACN16" s="102"/>
    </row>
    <row r="17" spans="1:768" ht="14.45" customHeight="1">
      <c r="A17" s="102"/>
      <c r="B17" s="132" t="s">
        <v>26</v>
      </c>
      <c r="C17" s="133"/>
      <c r="D17" s="134"/>
      <c r="E17" s="133"/>
      <c r="G17" s="135" t="str" cm="1">
        <f t="array" ref="G17">INDEX(StdGruppe[StdGruppe],G$2)</f>
        <v>Sprintdisziplinen</v>
      </c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7"/>
      <c r="AD17" s="138"/>
      <c r="AE17" s="135" t="str" cm="1">
        <f t="array" ref="AE17">INDEX(StdGruppe[StdGruppe],AE$2)</f>
        <v>Ausdauerdisziplinen</v>
      </c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7"/>
      <c r="BB17" s="138"/>
      <c r="BC17" s="135" t="str" cm="1">
        <f t="array" ref="BC17">INDEX(StdGruppe[StdGruppe],BC$2)</f>
        <v>Sprungdisziplinen</v>
      </c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7"/>
      <c r="BZ17" s="138"/>
      <c r="CA17" s="135" t="str" cm="1">
        <f t="array" ref="CA17">INDEX(StdGruppe[StdGruppe],CA$2)</f>
        <v>Wurfdisziplinen</v>
      </c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7"/>
      <c r="DJ17" s="138"/>
      <c r="DK17" s="139" t="str" cm="1">
        <f t="array" ref="DK17">INDEX(StdGruppe[StdGruppe],DK$2)</f>
        <v>Sprintdisziplinen</v>
      </c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1"/>
      <c r="EF17" s="135" t="str" cm="1">
        <f t="array" ref="EF17">INDEX(StdGruppe[StdGruppe],EF$2)</f>
        <v>Ausdauerdisziplinen</v>
      </c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7"/>
      <c r="FA17" s="135" t="str" cm="1">
        <f t="array" ref="FA17">INDEX(StdGruppe[StdGruppe],FA$2)</f>
        <v>Sprungdisziplinen</v>
      </c>
      <c r="FB17" s="136"/>
      <c r="FC17" s="136"/>
      <c r="FD17" s="136"/>
      <c r="FE17" s="136"/>
      <c r="FF17" s="136"/>
      <c r="FG17" s="136"/>
      <c r="FH17" s="136"/>
      <c r="FI17" s="136"/>
      <c r="FJ17" s="136"/>
      <c r="FK17" s="136"/>
      <c r="FL17" s="136"/>
      <c r="FM17" s="136"/>
      <c r="FN17" s="136"/>
      <c r="FO17" s="136"/>
      <c r="FP17" s="136"/>
      <c r="FQ17" s="136"/>
      <c r="FR17" s="136"/>
      <c r="FS17" s="136"/>
      <c r="FT17" s="136"/>
      <c r="FU17" s="137"/>
      <c r="FV17" s="135" t="str" cm="1">
        <f t="array" ref="FV17">INDEX(StdGruppe[StdGruppe],FV$2)</f>
        <v>Wurfdisziplinen</v>
      </c>
      <c r="FW17" s="136"/>
      <c r="FX17" s="136"/>
      <c r="FY17" s="136"/>
      <c r="FZ17" s="136"/>
      <c r="GA17" s="136"/>
      <c r="GB17" s="136"/>
      <c r="GC17" s="136"/>
      <c r="GD17" s="136"/>
      <c r="GE17" s="136"/>
      <c r="GF17" s="136"/>
      <c r="GG17" s="136"/>
      <c r="GH17" s="136"/>
      <c r="GI17" s="136"/>
      <c r="GJ17" s="136"/>
      <c r="GK17" s="136"/>
      <c r="GL17" s="136"/>
      <c r="GM17" s="136"/>
      <c r="GN17" s="136"/>
      <c r="GO17" s="136"/>
      <c r="GP17" s="136"/>
      <c r="GQ17" s="136"/>
      <c r="GR17" s="137"/>
      <c r="GS17" s="139" t="str">
        <f>Stammdaten!$BZ$21</f>
        <v>Positionen</v>
      </c>
      <c r="GT17" s="140"/>
      <c r="GU17" s="140"/>
      <c r="GV17" s="141"/>
      <c r="GW17" s="142" t="s">
        <v>332</v>
      </c>
      <c r="GX17" s="143"/>
      <c r="GY17" s="143"/>
      <c r="GZ17" s="143"/>
      <c r="HA17" s="144" t="str">
        <f>Stammdaten!$BZ$22</f>
        <v>Durchschnitt</v>
      </c>
      <c r="HB17" s="145"/>
      <c r="HC17" s="146" t="str">
        <f>Stammdaten!$CA$9</f>
        <v>Erstellung Textanzeige</v>
      </c>
      <c r="HD17" s="147"/>
      <c r="HE17" s="147"/>
      <c r="HF17" s="147"/>
      <c r="HG17" s="148"/>
      <c r="HH17" s="146" t="str">
        <f>Stammdaten!$CC$16</f>
        <v>Durchschnitt-steuerung</v>
      </c>
      <c r="HI17" s="147"/>
      <c r="HJ17" s="147"/>
      <c r="HK17" s="148"/>
      <c r="HL17" s="149" t="str">
        <f>Stammdaten!$CC$22</f>
        <v>In den Durchschnitt eingehende Noten</v>
      </c>
      <c r="HM17" s="145"/>
      <c r="HN17" s="150"/>
      <c r="HO17" s="151"/>
      <c r="HP17" s="152" t="str" cm="1">
        <f t="array" ref="HP17">INDEX(StdGruppe[StdGruppe],HP$2)</f>
        <v>Geräteturnen</v>
      </c>
      <c r="HQ17" s="153"/>
      <c r="HR17" s="153"/>
      <c r="HS17" s="153"/>
      <c r="HT17" s="153"/>
      <c r="HU17" s="153"/>
      <c r="HV17" s="153"/>
      <c r="HW17" s="153"/>
      <c r="HX17" s="153"/>
      <c r="HY17" s="153"/>
      <c r="HZ17" s="153"/>
      <c r="IA17" s="153"/>
      <c r="IB17" s="153"/>
      <c r="IC17" s="153"/>
      <c r="ID17" s="153"/>
      <c r="IE17" s="153"/>
      <c r="IF17" s="153"/>
      <c r="IG17" s="153"/>
      <c r="IH17" s="153"/>
      <c r="II17" s="153"/>
      <c r="IJ17" s="153"/>
      <c r="IK17" s="153"/>
      <c r="IL17" s="153"/>
      <c r="IM17" s="153"/>
      <c r="IN17" s="153"/>
      <c r="IO17" s="153"/>
      <c r="IP17" s="153"/>
      <c r="IQ17" s="153"/>
      <c r="IR17" s="153"/>
      <c r="IS17" s="153"/>
      <c r="IT17" s="153"/>
      <c r="IU17" s="153"/>
      <c r="IV17" s="153"/>
      <c r="IW17" s="153"/>
      <c r="IX17" s="153"/>
      <c r="IY17" s="153"/>
      <c r="IZ17" s="153"/>
      <c r="JA17" s="153"/>
      <c r="JB17" s="153"/>
      <c r="JC17" s="153"/>
      <c r="JD17" s="153"/>
      <c r="JE17" s="153"/>
      <c r="JF17" s="153"/>
      <c r="JG17" s="153"/>
      <c r="JH17" s="153"/>
      <c r="JI17" s="153"/>
      <c r="JJ17" s="153"/>
      <c r="JK17" s="153"/>
      <c r="JL17" s="153"/>
      <c r="JM17" s="153"/>
      <c r="JN17" s="153"/>
      <c r="JO17" s="153"/>
      <c r="JP17" s="153"/>
      <c r="JQ17" s="153"/>
      <c r="JR17" s="153"/>
      <c r="JS17" s="153"/>
      <c r="JT17" s="153"/>
      <c r="JU17" s="153"/>
      <c r="JV17" s="153"/>
      <c r="JW17" s="153"/>
      <c r="JX17" s="153"/>
      <c r="JY17" s="153"/>
      <c r="JZ17" s="153"/>
      <c r="KA17" s="153"/>
      <c r="KB17" s="153"/>
      <c r="KC17" s="153"/>
      <c r="KD17" s="153"/>
      <c r="KE17" s="153"/>
      <c r="KF17" s="153"/>
      <c r="KG17" s="153"/>
      <c r="KH17" s="153"/>
      <c r="KI17" s="153"/>
      <c r="KJ17" s="153"/>
      <c r="KK17" s="153"/>
      <c r="KL17" s="153"/>
      <c r="KM17" s="153"/>
      <c r="KN17" s="153"/>
      <c r="KO17" s="153"/>
      <c r="KP17" s="153"/>
      <c r="KQ17" s="153"/>
      <c r="KR17" s="153"/>
      <c r="KS17" s="153"/>
      <c r="KT17" s="153"/>
      <c r="KU17" s="153"/>
      <c r="KV17" s="153"/>
      <c r="KW17" s="153"/>
      <c r="KX17" s="153"/>
      <c r="KY17" s="153"/>
      <c r="KZ17" s="153"/>
      <c r="LA17" s="153"/>
      <c r="LB17" s="153"/>
      <c r="LC17" s="153"/>
      <c r="LD17" s="153"/>
      <c r="LE17" s="153"/>
      <c r="LF17" s="153"/>
      <c r="LG17" s="153"/>
      <c r="LH17" s="153"/>
      <c r="LI17" s="153"/>
      <c r="LJ17" s="153"/>
      <c r="LK17" s="153"/>
      <c r="LL17" s="153"/>
      <c r="LM17" s="153"/>
      <c r="LN17" s="153"/>
      <c r="LO17" s="153"/>
      <c r="LP17" s="153"/>
      <c r="LQ17" s="153"/>
      <c r="LR17" s="153"/>
      <c r="LS17" s="153"/>
      <c r="LT17" s="153"/>
      <c r="LU17" s="153"/>
      <c r="LV17" s="153"/>
      <c r="LW17" s="153"/>
      <c r="LX17" s="153"/>
      <c r="LY17" s="153"/>
      <c r="LZ17" s="153"/>
      <c r="MA17" s="153"/>
      <c r="MB17" s="153"/>
      <c r="MC17" s="153"/>
      <c r="MD17" s="153"/>
      <c r="ME17" s="153"/>
      <c r="MF17" s="153"/>
      <c r="MG17" s="153"/>
      <c r="MH17" s="153"/>
      <c r="MI17" s="153"/>
      <c r="MJ17" s="153"/>
      <c r="MK17" s="153"/>
      <c r="ML17" s="153"/>
      <c r="MM17" s="153"/>
      <c r="MN17" s="153"/>
      <c r="MO17" s="153"/>
      <c r="MP17" s="153"/>
      <c r="MQ17" s="153"/>
      <c r="MR17" s="153"/>
      <c r="MS17" s="153"/>
      <c r="MT17" s="153"/>
      <c r="MU17" s="153"/>
      <c r="MV17" s="153"/>
      <c r="MW17" s="153"/>
      <c r="MX17" s="153"/>
      <c r="MY17" s="153"/>
      <c r="MZ17" s="153"/>
      <c r="NA17" s="153"/>
      <c r="NB17" s="153"/>
      <c r="NC17" s="153"/>
      <c r="ND17" s="153"/>
      <c r="NE17" s="153"/>
      <c r="NF17" s="154"/>
      <c r="NG17" s="139" t="str" cm="1">
        <f t="array" ref="NG17">INDEX(StdDisziplinen[StdDisziplin],NG$3)</f>
        <v>Parkour</v>
      </c>
      <c r="NH17" s="140"/>
      <c r="NI17" s="140"/>
      <c r="NJ17" s="140"/>
      <c r="NK17" s="140"/>
      <c r="NL17" s="140"/>
      <c r="NM17" s="140"/>
      <c r="NN17" s="140"/>
      <c r="NO17" s="140"/>
      <c r="NP17" s="140"/>
      <c r="NQ17" s="140"/>
      <c r="NR17" s="141"/>
      <c r="NS17" s="155"/>
      <c r="NT17" s="152" t="str" cm="1">
        <f t="array" aca="1" ref="NT17" ca="1">INDEX(INDIRECT(Stammdaten!$BN$4),NT$2)</f>
        <v>Bewegen an Geräten</v>
      </c>
      <c r="NU17" s="153"/>
      <c r="NV17" s="153"/>
      <c r="NW17" s="156"/>
      <c r="NX17" s="152" t="str" cm="1">
        <f t="array" aca="1" ref="NX17" ca="1">INDEX(INDIRECT(Stammdaten!$R$4),NU$4)</f>
        <v>Parkour</v>
      </c>
      <c r="NY17" s="153"/>
      <c r="NZ17" s="153"/>
      <c r="OA17" s="153"/>
      <c r="OB17" s="153"/>
      <c r="OC17" s="153"/>
      <c r="OD17" s="153"/>
      <c r="OE17" s="153"/>
      <c r="OF17" s="153"/>
      <c r="OG17" s="153"/>
      <c r="OH17" s="153"/>
      <c r="OI17" s="156"/>
      <c r="OJ17" s="157" t="str">
        <f>Stammdaten!$BZ$21</f>
        <v>Positionen</v>
      </c>
      <c r="OK17" s="158"/>
      <c r="OL17" s="159" t="s">
        <v>332</v>
      </c>
      <c r="OM17" s="160"/>
      <c r="ON17" s="160"/>
      <c r="OO17" s="160"/>
      <c r="OP17" s="161" t="str">
        <f>Stammdaten!$BZ$22</f>
        <v>Durchschnitt</v>
      </c>
      <c r="OQ17" s="162"/>
      <c r="OR17" s="146" t="str">
        <f>Stammdaten!$CA$9</f>
        <v>Erstellung Textanzeige</v>
      </c>
      <c r="OS17" s="147"/>
      <c r="OT17" s="148"/>
      <c r="OU17" s="146" t="str">
        <f>Stammdaten!$CC$16</f>
        <v>Durchschnitt-steuerung</v>
      </c>
      <c r="OV17" s="147"/>
      <c r="OW17" s="147"/>
      <c r="OX17" s="148"/>
      <c r="OY17" s="149" t="str">
        <f>Stammdaten!$CC$22</f>
        <v>In den Durchschnitt eingehende Noten</v>
      </c>
      <c r="OZ17" s="155"/>
      <c r="PA17" s="163"/>
      <c r="PB17" s="164"/>
      <c r="PC17" s="139" t="str" cm="1">
        <f t="array" ref="PC17">INDEX(StdDisziplinen[StdDisziplin],PC$3)</f>
        <v>Tanzen</v>
      </c>
      <c r="PD17" s="140"/>
      <c r="PE17" s="140"/>
      <c r="PF17" s="140"/>
      <c r="PG17" s="140"/>
      <c r="PH17" s="140"/>
      <c r="PI17" s="140"/>
      <c r="PJ17" s="140"/>
      <c r="PK17" s="140"/>
      <c r="PL17" s="140"/>
      <c r="PM17" s="141"/>
      <c r="PN17" s="164"/>
      <c r="PO17" s="139" t="str" cm="1">
        <f t="array" ref="PO17">INDEX(StdDisziplinen[StdDisziplin],PO$3)</f>
        <v>Rope-Skipping</v>
      </c>
      <c r="PP17" s="140"/>
      <c r="PQ17" s="140"/>
      <c r="PR17" s="140"/>
      <c r="PS17" s="140"/>
      <c r="PT17" s="140"/>
      <c r="PU17" s="140"/>
      <c r="PV17" s="140"/>
      <c r="PW17" s="140"/>
      <c r="PX17" s="140"/>
      <c r="PY17" s="140"/>
      <c r="PZ17" s="141"/>
      <c r="QA17" s="164"/>
      <c r="QB17" s="139" t="str" cm="1">
        <f t="array" ref="QB17">INDEX(StdDisziplinen[StdDisziplin],QB$3)</f>
        <v>Aerobic</v>
      </c>
      <c r="QC17" s="140"/>
      <c r="QD17" s="140"/>
      <c r="QE17" s="140"/>
      <c r="QF17" s="140"/>
      <c r="QG17" s="140"/>
      <c r="QH17" s="140"/>
      <c r="QI17" s="140"/>
      <c r="QJ17" s="140"/>
      <c r="QK17" s="140"/>
      <c r="QL17" s="141"/>
      <c r="QM17" s="164"/>
      <c r="QN17" s="152" t="str" cm="1">
        <f t="array" aca="1" ref="QN17" ca="1">INDEX(INDIRECT(Stammdaten!$BN$4),QN$2)</f>
        <v>Darstellen und Tanzen</v>
      </c>
      <c r="QO17" s="153"/>
      <c r="QP17" s="153"/>
      <c r="QQ17" s="153"/>
      <c r="QR17" s="153"/>
      <c r="QS17" s="153"/>
      <c r="QT17" s="153"/>
      <c r="QU17" s="153"/>
      <c r="QV17" s="153"/>
      <c r="QW17" s="153"/>
      <c r="QX17" s="153"/>
      <c r="QY17" s="153"/>
      <c r="QZ17" s="153"/>
      <c r="RA17" s="153"/>
      <c r="RB17" s="153"/>
      <c r="RC17" s="153"/>
      <c r="RD17" s="153"/>
      <c r="RE17" s="153"/>
      <c r="RF17" s="153"/>
      <c r="RG17" s="153"/>
      <c r="RH17" s="153"/>
      <c r="RI17" s="156"/>
      <c r="RJ17" s="154"/>
      <c r="RK17" s="155"/>
      <c r="RL17" s="165"/>
      <c r="RM17" s="166"/>
      <c r="RN17" s="139" t="str" cm="1">
        <f t="array" ref="RN17">INDEX(StdDisziplinen[StdDisziplin],RN$3)</f>
        <v>Basketball</v>
      </c>
      <c r="RO17" s="140"/>
      <c r="RP17" s="140"/>
      <c r="RQ17" s="140"/>
      <c r="RR17" s="140"/>
      <c r="RS17" s="140"/>
      <c r="RT17" s="140"/>
      <c r="RU17" s="140"/>
      <c r="RV17" s="140"/>
      <c r="RW17" s="140"/>
      <c r="RX17" s="141"/>
      <c r="RY17" s="166"/>
      <c r="RZ17" s="139" t="str" cm="1">
        <f t="array" ref="RZ17">INDEX(StdDisziplinen[StdDisziplin],RZ$3)</f>
        <v>Fussball</v>
      </c>
      <c r="SA17" s="140"/>
      <c r="SB17" s="140"/>
      <c r="SC17" s="140"/>
      <c r="SD17" s="140"/>
      <c r="SE17" s="140"/>
      <c r="SF17" s="140"/>
      <c r="SG17" s="140"/>
      <c r="SH17" s="140"/>
      <c r="SI17" s="140"/>
      <c r="SJ17" s="141"/>
      <c r="SK17" s="166"/>
      <c r="SL17" s="139" t="str" cm="1">
        <f t="array" ref="SL17">INDEX(StdDisziplinen[StdDisziplin],SL$3)</f>
        <v>Handball</v>
      </c>
      <c r="SM17" s="140"/>
      <c r="SN17" s="140"/>
      <c r="SO17" s="140"/>
      <c r="SP17" s="140"/>
      <c r="SQ17" s="140"/>
      <c r="SR17" s="140"/>
      <c r="SS17" s="140"/>
      <c r="ST17" s="140"/>
      <c r="SU17" s="140"/>
      <c r="SV17" s="141"/>
      <c r="SW17" s="166"/>
      <c r="SX17" s="139" t="str" cm="1">
        <f t="array" ref="SX17">INDEX(StdDisziplinen[StdDisziplin],SX$3)</f>
        <v>Unihockey</v>
      </c>
      <c r="SY17" s="140"/>
      <c r="SZ17" s="140"/>
      <c r="TA17" s="140"/>
      <c r="TB17" s="140"/>
      <c r="TC17" s="140"/>
      <c r="TD17" s="140"/>
      <c r="TE17" s="140"/>
      <c r="TF17" s="140"/>
      <c r="TG17" s="140"/>
      <c r="TH17" s="141"/>
      <c r="TI17" s="166"/>
      <c r="TJ17" s="139" t="str" cm="1">
        <f t="array" ref="TJ17">INDEX(StdDisziplinen[StdDisziplin],TJ$3)</f>
        <v>Volleyball</v>
      </c>
      <c r="TK17" s="140"/>
      <c r="TL17" s="140"/>
      <c r="TM17" s="140"/>
      <c r="TN17" s="140"/>
      <c r="TO17" s="140"/>
      <c r="TP17" s="140"/>
      <c r="TQ17" s="140"/>
      <c r="TR17" s="140"/>
      <c r="TS17" s="140"/>
      <c r="TT17" s="140"/>
      <c r="TU17" s="141"/>
      <c r="TV17" s="167"/>
      <c r="TW17" s="152" t="str" cm="1">
        <f t="array" aca="1" ref="TW17" ca="1">INDEX(INDIRECT(Stammdaten!$BN$4),WT$2)</f>
        <v>Spielen</v>
      </c>
      <c r="TX17" s="153"/>
      <c r="TY17" s="153"/>
      <c r="TZ17" s="153"/>
      <c r="UA17" s="153"/>
      <c r="UB17" s="153"/>
      <c r="UC17" s="153"/>
      <c r="UD17" s="153"/>
      <c r="UE17" s="153"/>
      <c r="UF17" s="153"/>
      <c r="UG17" s="153"/>
      <c r="UH17" s="153"/>
      <c r="UI17" s="153"/>
      <c r="UJ17" s="153"/>
      <c r="UK17" s="153"/>
      <c r="UL17" s="153"/>
      <c r="UM17" s="153"/>
      <c r="UN17" s="153"/>
      <c r="UO17" s="153"/>
      <c r="UP17" s="153"/>
      <c r="UQ17" s="153"/>
      <c r="UR17" s="153"/>
      <c r="US17" s="153"/>
      <c r="UT17" s="153"/>
      <c r="UU17" s="153"/>
      <c r="UV17" s="153"/>
      <c r="UW17" s="153"/>
      <c r="UX17" s="153"/>
      <c r="UY17" s="153"/>
      <c r="UZ17" s="153"/>
      <c r="VA17" s="153"/>
      <c r="VB17" s="153"/>
      <c r="VC17" s="153"/>
      <c r="VD17" s="153"/>
      <c r="VE17" s="153"/>
      <c r="VF17" s="153"/>
      <c r="VG17" s="153"/>
      <c r="VH17" s="153"/>
      <c r="VI17" s="153"/>
      <c r="VJ17" s="153"/>
      <c r="VK17" s="153"/>
      <c r="VL17" s="153"/>
      <c r="VM17" s="153"/>
      <c r="VN17" s="153"/>
      <c r="VO17" s="153"/>
      <c r="VP17" s="153"/>
      <c r="VQ17" s="153"/>
      <c r="VR17" s="153"/>
      <c r="VS17" s="153"/>
      <c r="VT17" s="153"/>
      <c r="VU17" s="153"/>
      <c r="VV17" s="153"/>
      <c r="VW17" s="153"/>
      <c r="VX17" s="153"/>
      <c r="VY17" s="153"/>
      <c r="VZ17" s="153"/>
      <c r="WA17" s="153"/>
      <c r="WB17" s="153"/>
      <c r="WC17" s="153"/>
      <c r="WD17" s="153"/>
      <c r="WE17" s="153"/>
      <c r="WF17" s="153"/>
      <c r="WG17" s="153"/>
      <c r="WH17" s="153"/>
      <c r="WI17" s="153"/>
      <c r="WJ17" s="153"/>
      <c r="WK17" s="153"/>
      <c r="WL17" s="153"/>
      <c r="WM17" s="153"/>
      <c r="WN17" s="153"/>
      <c r="WO17" s="153"/>
      <c r="WP17" s="153"/>
      <c r="WQ17" s="153"/>
      <c r="WR17" s="153"/>
      <c r="WS17" s="153"/>
      <c r="WT17" s="153"/>
      <c r="WU17" s="153"/>
      <c r="WV17" s="153"/>
      <c r="WW17" s="153"/>
      <c r="WX17" s="153"/>
      <c r="WY17" s="153"/>
      <c r="WZ17" s="153"/>
      <c r="XA17" s="153"/>
      <c r="XB17" s="153"/>
      <c r="XC17" s="153"/>
      <c r="XD17" s="153"/>
      <c r="XE17" s="153"/>
      <c r="XF17" s="156"/>
      <c r="XG17" s="168"/>
      <c r="XH17" s="169"/>
      <c r="XI17" s="169"/>
      <c r="XJ17" s="168"/>
      <c r="XK17" s="144" t="str">
        <f>Stammdaten!$BZ$22</f>
        <v>Durchschnitt</v>
      </c>
      <c r="XL17" s="170"/>
      <c r="XM17" s="171" t="str">
        <f>Stammdaten!$CA$9</f>
        <v>Erstellung Textanzeige</v>
      </c>
      <c r="XN17" s="172"/>
      <c r="XO17" s="172"/>
      <c r="XP17" s="173"/>
      <c r="XQ17" s="146" t="str">
        <f>Stammdaten!$CC$16</f>
        <v>Durchschnitt-steuerung</v>
      </c>
      <c r="XR17" s="147"/>
      <c r="XS17" s="147"/>
      <c r="XT17" s="148"/>
      <c r="XU17" s="174" t="str">
        <f>Stammdaten!$CC$22</f>
        <v>In den Durchschnitt eingehende Noten</v>
      </c>
      <c r="XV17" s="167"/>
      <c r="XW17" s="163"/>
      <c r="XX17" s="164"/>
      <c r="XY17" s="157" t="str">
        <f>Stammdaten!$BZ$21</f>
        <v>Positionen</v>
      </c>
      <c r="XZ17" s="157"/>
      <c r="YA17" s="157"/>
      <c r="YB17" s="158"/>
      <c r="YC17" s="142" t="s">
        <v>332</v>
      </c>
      <c r="YD17" s="143"/>
      <c r="YE17" s="143"/>
      <c r="YF17" s="143"/>
      <c r="YG17" s="144" t="str">
        <f>Stammdaten!$BZ$22</f>
        <v>Durchschnitt</v>
      </c>
      <c r="YH17" s="171" t="str">
        <f>Stammdaten!$CA$9</f>
        <v>Erstellung Textanzeige</v>
      </c>
      <c r="YI17" s="172"/>
      <c r="YJ17" s="172"/>
      <c r="YK17" s="172"/>
      <c r="YL17" s="173"/>
      <c r="YM17" s="146" t="str">
        <f>Stammdaten!$CB$16</f>
        <v>Ampel-steuerung</v>
      </c>
      <c r="YN17" s="147"/>
      <c r="YO17" s="147"/>
      <c r="YP17" s="148"/>
      <c r="YQ17" s="146" t="str">
        <f>Stammdaten!$CC$16</f>
        <v>Durchschnitt-steuerung</v>
      </c>
      <c r="YR17" s="147"/>
      <c r="YS17" s="147"/>
      <c r="YT17" s="148"/>
      <c r="YU17" s="175"/>
      <c r="YV17" s="176" t="str">
        <f>Stammdaten!$BM$6</f>
        <v>BS.1</v>
      </c>
      <c r="YW17" s="175"/>
      <c r="YX17" s="176" t="str">
        <f>Stammdaten!$BM$7</f>
        <v>BS.2</v>
      </c>
      <c r="YY17" s="175"/>
      <c r="YZ17" s="176" t="str">
        <f>Stammdaten!$BM$8</f>
        <v>BS.3</v>
      </c>
      <c r="ZA17" s="175"/>
      <c r="ZB17" s="176" t="str">
        <f>Stammdaten!$BM$9</f>
        <v>BS.4</v>
      </c>
      <c r="ZC17" s="164"/>
      <c r="ZD17" s="149" t="str">
        <f>Stammdaten!$CC$22</f>
        <v>In den Durchschnitt eingehende Noten</v>
      </c>
      <c r="ZE17" s="155"/>
      <c r="ZF17" s="165"/>
      <c r="ZG17" s="177"/>
      <c r="ZH17" s="178" t="s">
        <v>461</v>
      </c>
      <c r="ZI17" s="179"/>
      <c r="ZJ17" s="179"/>
      <c r="ZK17" s="180"/>
      <c r="ZL17" s="181"/>
      <c r="ZM17" s="182" t="str" cm="1">
        <f t="array" ref="ZM17">INDEX(StdDisziplinen[StdDisziplin],ZM$3)</f>
        <v>Schwimmen</v>
      </c>
      <c r="ZN17" s="157"/>
      <c r="ZO17" s="157"/>
      <c r="ZP17" s="157"/>
      <c r="ZQ17" s="157"/>
      <c r="ZR17" s="157"/>
      <c r="ZS17" s="157"/>
      <c r="ZT17" s="157"/>
      <c r="ZU17" s="157"/>
      <c r="ZV17" s="157"/>
      <c r="ZW17" s="157"/>
      <c r="ZX17" s="157"/>
      <c r="ZY17" s="157"/>
      <c r="ZZ17" s="157"/>
      <c r="AAA17" s="157"/>
      <c r="AAB17" s="157"/>
      <c r="AAC17" s="157"/>
      <c r="AAD17" s="158"/>
      <c r="AAE17" s="170"/>
      <c r="AAF17" s="135" t="str" cm="1">
        <f t="array" ref="AAF17">INDEX(StdDisziplinen[Fit1],$AAF$1)</f>
        <v>Fit-Check</v>
      </c>
      <c r="AAG17" s="136"/>
      <c r="AAH17" s="136"/>
      <c r="AAI17" s="136"/>
      <c r="AAJ17" s="136"/>
      <c r="AAK17" s="136"/>
      <c r="AAL17" s="136"/>
      <c r="AAM17" s="136"/>
      <c r="AAN17" s="136"/>
      <c r="AAO17" s="136"/>
      <c r="AAP17" s="136"/>
      <c r="AAQ17" s="136"/>
      <c r="AAR17" s="136"/>
      <c r="AAS17" s="136"/>
      <c r="AAT17" s="136"/>
      <c r="AAU17" s="136"/>
      <c r="AAV17" s="136"/>
      <c r="AAW17" s="136"/>
      <c r="AAX17" s="136"/>
      <c r="AAY17" s="136"/>
      <c r="AAZ17" s="136"/>
      <c r="ABA17" s="136"/>
      <c r="ABB17" s="136"/>
      <c r="ABC17" s="136"/>
      <c r="ABD17" s="136"/>
      <c r="ABE17" s="136"/>
      <c r="ABF17" s="136"/>
      <c r="ABG17" s="136"/>
      <c r="ABH17" s="136"/>
      <c r="ABI17" s="136"/>
      <c r="ABJ17" s="136"/>
      <c r="ABK17" s="136"/>
      <c r="ABL17" s="136"/>
      <c r="ABM17" s="136"/>
      <c r="ABN17" s="136"/>
      <c r="ABO17" s="136"/>
      <c r="ABP17" s="136"/>
      <c r="ABQ17" s="136"/>
      <c r="ABR17" s="136"/>
      <c r="ABS17" s="136"/>
      <c r="ABT17" s="136"/>
      <c r="ABU17" s="136"/>
      <c r="ABV17" s="136"/>
      <c r="ABW17" s="136"/>
      <c r="ABX17" s="136"/>
      <c r="ABY17" s="136"/>
      <c r="ABZ17" s="137"/>
      <c r="ACA17" s="167"/>
      <c r="ACB17" s="182" t="str" cm="1">
        <f t="array" ref="ACB17">INDEX(StdDisziplinen[StdDisziplin],ACB$3)</f>
        <v>Konditionsparcours</v>
      </c>
      <c r="ACC17" s="157"/>
      <c r="ACD17" s="157"/>
      <c r="ACE17" s="157"/>
      <c r="ACF17" s="157"/>
      <c r="ACG17" s="157"/>
      <c r="ACH17" s="157"/>
      <c r="ACI17" s="157"/>
      <c r="ACJ17" s="157"/>
      <c r="ACK17" s="157"/>
      <c r="ACL17" s="157"/>
      <c r="ACM17" s="158"/>
      <c r="ACN17" s="102"/>
    </row>
    <row r="18" spans="1:768" ht="14.45" customHeight="1">
      <c r="A18" s="102"/>
      <c r="B18" s="132" t="s">
        <v>29</v>
      </c>
      <c r="C18" s="133" t="s">
        <v>256</v>
      </c>
      <c r="D18" s="183"/>
      <c r="E18" s="184" t="s">
        <v>95</v>
      </c>
      <c r="G18" s="182" t="str" cm="1">
        <f t="array" ref="G18">INDEX(StdDisziplinen[StdDisziplin],G$3)</f>
        <v>60-m-Lauf</v>
      </c>
      <c r="H18" s="157"/>
      <c r="I18" s="157"/>
      <c r="J18" s="157"/>
      <c r="K18" s="157"/>
      <c r="L18" s="157"/>
      <c r="M18" s="157"/>
      <c r="N18" s="157"/>
      <c r="O18" s="157"/>
      <c r="P18" s="157"/>
      <c r="Q18" s="158"/>
      <c r="R18" s="185"/>
      <c r="S18" s="182" t="str" cm="1">
        <f t="array" ref="S18">INDEX(StdDisziplinen[StdDisziplin],S$3)</f>
        <v>80-m-Lauf</v>
      </c>
      <c r="T18" s="157"/>
      <c r="U18" s="157"/>
      <c r="V18" s="157"/>
      <c r="W18" s="157"/>
      <c r="X18" s="157"/>
      <c r="Y18" s="157"/>
      <c r="Z18" s="157"/>
      <c r="AA18" s="157"/>
      <c r="AB18" s="157"/>
      <c r="AC18" s="158"/>
      <c r="AD18" s="168"/>
      <c r="AE18" s="182" t="str" cm="1">
        <f t="array" ref="AE18">INDEX(StdDisziplinen[StdDisziplin],AE$3)</f>
        <v>12-Min.-Lauf (Halle)</v>
      </c>
      <c r="AF18" s="157"/>
      <c r="AG18" s="157"/>
      <c r="AH18" s="157"/>
      <c r="AI18" s="157"/>
      <c r="AJ18" s="157"/>
      <c r="AK18" s="157"/>
      <c r="AL18" s="157"/>
      <c r="AM18" s="157"/>
      <c r="AN18" s="157"/>
      <c r="AO18" s="158"/>
      <c r="AP18" s="168"/>
      <c r="AQ18" s="182" t="str" cm="1">
        <f t="array" ref="AQ18">INDEX(StdDisziplinen[StdDisziplin],AQ$3)</f>
        <v>12-Min.-Lauf (im Freien)</v>
      </c>
      <c r="AR18" s="157"/>
      <c r="AS18" s="157"/>
      <c r="AT18" s="157"/>
      <c r="AU18" s="157"/>
      <c r="AV18" s="157"/>
      <c r="AW18" s="157"/>
      <c r="AX18" s="157"/>
      <c r="AY18" s="157"/>
      <c r="AZ18" s="157"/>
      <c r="BA18" s="158"/>
      <c r="BB18" s="168"/>
      <c r="BC18" s="182" t="str" cm="1">
        <f t="array" ref="BC18">INDEX(StdDisziplinen[StdDisziplin],BC$3)</f>
        <v>Hochsprung</v>
      </c>
      <c r="BD18" s="157"/>
      <c r="BE18" s="157"/>
      <c r="BF18" s="157"/>
      <c r="BG18" s="157"/>
      <c r="BH18" s="157"/>
      <c r="BI18" s="157"/>
      <c r="BJ18" s="157"/>
      <c r="BK18" s="157"/>
      <c r="BL18" s="157"/>
      <c r="BM18" s="158"/>
      <c r="BN18" s="168"/>
      <c r="BO18" s="182" t="str" cm="1">
        <f t="array" ref="BO18">INDEX(StdDisziplinen[StdDisziplin],BO$3)</f>
        <v>Weitsprung</v>
      </c>
      <c r="BP18" s="157"/>
      <c r="BQ18" s="157"/>
      <c r="BR18" s="157"/>
      <c r="BS18" s="157"/>
      <c r="BT18" s="157"/>
      <c r="BU18" s="157"/>
      <c r="BV18" s="157"/>
      <c r="BW18" s="157"/>
      <c r="BX18" s="157"/>
      <c r="BY18" s="158"/>
      <c r="BZ18" s="168"/>
      <c r="CA18" s="139" t="str" cm="1">
        <f t="array" ref="CA18">INDEX(StdDisziplinen[StdDisziplin],CA$3)</f>
        <v>Ballwurf</v>
      </c>
      <c r="CB18" s="140"/>
      <c r="CC18" s="140"/>
      <c r="CD18" s="140"/>
      <c r="CE18" s="140"/>
      <c r="CF18" s="140"/>
      <c r="CG18" s="140"/>
      <c r="CH18" s="140"/>
      <c r="CI18" s="140"/>
      <c r="CJ18" s="140"/>
      <c r="CK18" s="141"/>
      <c r="CL18" s="168"/>
      <c r="CM18" s="139" t="str" cm="1">
        <f t="array" ref="CM18">INDEX(StdDisziplinen[StdDisziplin],CM$3)</f>
        <v>Kugelstossen</v>
      </c>
      <c r="CN18" s="140"/>
      <c r="CO18" s="140"/>
      <c r="CP18" s="140"/>
      <c r="CQ18" s="140"/>
      <c r="CR18" s="140"/>
      <c r="CS18" s="140"/>
      <c r="CT18" s="140"/>
      <c r="CU18" s="140"/>
      <c r="CV18" s="140"/>
      <c r="CW18" s="141"/>
      <c r="CX18" s="168"/>
      <c r="CY18" s="139" t="str" cm="1">
        <f t="array" ref="CY18">INDEX(StdDisziplinen[StdDisziplin],CY$3)</f>
        <v>Speerwurf</v>
      </c>
      <c r="CZ18" s="140"/>
      <c r="DA18" s="140"/>
      <c r="DB18" s="140"/>
      <c r="DC18" s="140"/>
      <c r="DD18" s="140"/>
      <c r="DE18" s="140"/>
      <c r="DF18" s="140"/>
      <c r="DG18" s="140"/>
      <c r="DH18" s="140"/>
      <c r="DI18" s="141"/>
      <c r="DJ18" s="170"/>
      <c r="DK18" s="182" t="str">
        <f>Stammdaten!$AB$2</f>
        <v>Skalawert</v>
      </c>
      <c r="DL18" s="158"/>
      <c r="DM18" s="182" t="str">
        <f>Stammdaten!$CA$13</f>
        <v>Zwischenergebnis</v>
      </c>
      <c r="DN18" s="158"/>
      <c r="DO18" s="186" t="str">
        <f>Stammdaten!$BZ$13&amp;CHAR(10)&amp;Stammdaten!$CA$14</f>
        <v>Ergebnis
(beste Note)</v>
      </c>
      <c r="DP18" s="187"/>
      <c r="DQ18" s="187" t="str">
        <f>Stammdaten!$BZ$11</f>
        <v>Anz.</v>
      </c>
      <c r="DR18" s="187" t="str">
        <f>Stammdaten!$BZ$11</f>
        <v>Anz.</v>
      </c>
      <c r="DS18" s="187" t="str">
        <f>Stammdaten!$CA$11</f>
        <v>Anz. ok</v>
      </c>
      <c r="DT18" s="188" t="str">
        <f>Stammdaten!$CA$16</f>
        <v>Diplomsteuerung</v>
      </c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90"/>
      <c r="EF18" s="139" t="str">
        <f>Stammdaten!$AB$2</f>
        <v>Skalawert</v>
      </c>
      <c r="EG18" s="141"/>
      <c r="EH18" s="139" t="str">
        <f>Stammdaten!$CA$13</f>
        <v>Zwischenergebnis</v>
      </c>
      <c r="EI18" s="141"/>
      <c r="EJ18" s="149" t="str">
        <f>Stammdaten!$BZ$13&amp;CHAR(10)&amp;Stammdaten!$CA$14</f>
        <v>Ergebnis
(beste Note)</v>
      </c>
      <c r="EK18" s="191"/>
      <c r="EL18" s="191" t="str">
        <f>Stammdaten!$BZ$11</f>
        <v>Anz.</v>
      </c>
      <c r="EM18" s="191" t="str">
        <f>Stammdaten!$BZ$11</f>
        <v>Anz.</v>
      </c>
      <c r="EN18" s="191" t="str">
        <f>Stammdaten!$CA$11</f>
        <v>Anz. ok</v>
      </c>
      <c r="EO18" s="192" t="str">
        <f>Stammdaten!$CA$16</f>
        <v>Diplomsteuerung</v>
      </c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4"/>
      <c r="FA18" s="139" t="str">
        <f>Stammdaten!$AB$2</f>
        <v>Skalawert</v>
      </c>
      <c r="FB18" s="141"/>
      <c r="FC18" s="139" t="str">
        <f>Stammdaten!$CA$13</f>
        <v>Zwischenergebnis</v>
      </c>
      <c r="FD18" s="141"/>
      <c r="FE18" s="149" t="str">
        <f>Stammdaten!$BZ$13&amp;CHAR(10)&amp;Stammdaten!$CA$14</f>
        <v>Ergebnis
(beste Note)</v>
      </c>
      <c r="FF18" s="191"/>
      <c r="FG18" s="191" t="str">
        <f>Stammdaten!$BZ$11</f>
        <v>Anz.</v>
      </c>
      <c r="FH18" s="191" t="str">
        <f>Stammdaten!$BZ$11</f>
        <v>Anz.</v>
      </c>
      <c r="FI18" s="191" t="str">
        <f>Stammdaten!$CA$11</f>
        <v>Anz. ok</v>
      </c>
      <c r="FJ18" s="188" t="str">
        <f>Stammdaten!$CA$16</f>
        <v>Diplomsteuerung</v>
      </c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90"/>
      <c r="FV18" s="139" t="str">
        <f>Stammdaten!$AB$2</f>
        <v>Skalawert</v>
      </c>
      <c r="FW18" s="140"/>
      <c r="FX18" s="141"/>
      <c r="FY18" s="139" t="str">
        <f>Stammdaten!$CA$13</f>
        <v>Zwischenergebnis</v>
      </c>
      <c r="FZ18" s="140"/>
      <c r="GA18" s="141"/>
      <c r="GB18" s="149" t="str">
        <f>Stammdaten!$BZ$13&amp;CHAR(10)&amp;Stammdaten!$CA$14</f>
        <v>Ergebnis
(beste Note)</v>
      </c>
      <c r="GC18" s="191"/>
      <c r="GD18" s="191" t="str">
        <f>Stammdaten!$BZ$11</f>
        <v>Anz.</v>
      </c>
      <c r="GE18" s="191" t="str">
        <f>Stammdaten!$BZ$11</f>
        <v>Anz.</v>
      </c>
      <c r="GF18" s="191" t="str">
        <f>Stammdaten!$CA$11</f>
        <v>Anz. ok</v>
      </c>
      <c r="GG18" s="188" t="str">
        <f>Stammdaten!$CA$16</f>
        <v>Diplomsteuerung</v>
      </c>
      <c r="GH18" s="189"/>
      <c r="GI18" s="189"/>
      <c r="GJ18" s="189"/>
      <c r="GK18" s="189"/>
      <c r="GL18" s="189"/>
      <c r="GM18" s="189"/>
      <c r="GN18" s="189"/>
      <c r="GO18" s="189"/>
      <c r="GP18" s="189"/>
      <c r="GQ18" s="189"/>
      <c r="GR18" s="190"/>
      <c r="GS18" s="139"/>
      <c r="GT18" s="140"/>
      <c r="GU18" s="140"/>
      <c r="GV18" s="141"/>
      <c r="GW18" s="144"/>
      <c r="GX18" s="191" t="str">
        <f>Stammdaten!$BZ$11</f>
        <v>Anz.</v>
      </c>
      <c r="GY18" s="191" t="str">
        <f>Stammdaten!$BZ$11</f>
        <v>Anz.</v>
      </c>
      <c r="GZ18" s="191" t="str">
        <f>Stammdaten!$CA$11</f>
        <v>Anz. ok</v>
      </c>
      <c r="HA18" s="144"/>
      <c r="HB18" s="145" t="str">
        <f>Stammdaten!$BZ$22</f>
        <v>Durchschnitt</v>
      </c>
      <c r="HC18" s="171"/>
      <c r="HD18" s="172"/>
      <c r="HE18" s="172"/>
      <c r="HF18" s="172"/>
      <c r="HG18" s="173"/>
      <c r="HH18" s="171"/>
      <c r="HI18" s="172"/>
      <c r="HJ18" s="172"/>
      <c r="HK18" s="173"/>
      <c r="HL18" s="149"/>
      <c r="HM18" s="145"/>
      <c r="HN18" s="195" t="s">
        <v>100</v>
      </c>
      <c r="HO18" s="196"/>
      <c r="HP18" s="139" t="str" cm="1">
        <f t="array" ref="HP18">INDEX(StdDisziplinen[StdDisziplin],HP$3)</f>
        <v>Reck</v>
      </c>
      <c r="HQ18" s="140"/>
      <c r="HR18" s="140"/>
      <c r="HS18" s="140"/>
      <c r="HT18" s="140"/>
      <c r="HU18" s="140"/>
      <c r="HV18" s="140"/>
      <c r="HW18" s="141"/>
      <c r="HX18" s="168"/>
      <c r="HY18" s="139" t="str" cm="1">
        <f t="array" ref="HY18">INDEX(StdDisziplinen[StdDisziplin],HY$3)</f>
        <v>Boden</v>
      </c>
      <c r="HZ18" s="140"/>
      <c r="IA18" s="140"/>
      <c r="IB18" s="140"/>
      <c r="IC18" s="140"/>
      <c r="ID18" s="140"/>
      <c r="IE18" s="140"/>
      <c r="IF18" s="141"/>
      <c r="IG18" s="168"/>
      <c r="IH18" s="139" t="str" cm="1">
        <f t="array" ref="IH18">INDEX(StdDisziplinen[StdDisziplin],IH$3)</f>
        <v>Stufenbarren</v>
      </c>
      <c r="II18" s="140"/>
      <c r="IJ18" s="140"/>
      <c r="IK18" s="140"/>
      <c r="IL18" s="140"/>
      <c r="IM18" s="140"/>
      <c r="IN18" s="140"/>
      <c r="IO18" s="141"/>
      <c r="IP18" s="168"/>
      <c r="IQ18" s="139" t="str" cm="1">
        <f t="array" ref="IQ18">INDEX(StdDisziplinen[StdDisziplin],IQ$3)</f>
        <v>Parallelbarren</v>
      </c>
      <c r="IR18" s="140"/>
      <c r="IS18" s="140"/>
      <c r="IT18" s="140"/>
      <c r="IU18" s="140"/>
      <c r="IV18" s="140"/>
      <c r="IW18" s="140"/>
      <c r="IX18" s="141"/>
      <c r="IY18" s="168"/>
      <c r="IZ18" s="139" t="str" cm="1">
        <f t="array" ref="IZ18">INDEX(StdDisziplinen[StdDisziplin],IZ$3)</f>
        <v>Schaukelringe</v>
      </c>
      <c r="JA18" s="140"/>
      <c r="JB18" s="140"/>
      <c r="JC18" s="140"/>
      <c r="JD18" s="140"/>
      <c r="JE18" s="140"/>
      <c r="JF18" s="140"/>
      <c r="JG18" s="141"/>
      <c r="JH18" s="168"/>
      <c r="JI18" s="139" t="str" cm="1">
        <f t="array" ref="JI18">INDEX(StdDisziplinen[StdDisziplin],JI$3)</f>
        <v>Sprung</v>
      </c>
      <c r="JJ18" s="140"/>
      <c r="JK18" s="140"/>
      <c r="JL18" s="140"/>
      <c r="JM18" s="140"/>
      <c r="JN18" s="140"/>
      <c r="JO18" s="140"/>
      <c r="JP18" s="141"/>
      <c r="JQ18" s="155"/>
      <c r="JR18" s="182" t="str">
        <f>Stammdaten!$CA$25</f>
        <v>Punktwerte</v>
      </c>
      <c r="JS18" s="157"/>
      <c r="JT18" s="157"/>
      <c r="JU18" s="157"/>
      <c r="JV18" s="157"/>
      <c r="JW18" s="158"/>
      <c r="JX18" s="182" t="str">
        <f>Stammdaten!$CB$23</f>
        <v>Max.</v>
      </c>
      <c r="JY18" s="157"/>
      <c r="JZ18" s="157"/>
      <c r="KA18" s="182" t="str">
        <f>Stammdaten!$BZ$8</f>
        <v>Bei Gleichheit</v>
      </c>
      <c r="KB18" s="157"/>
      <c r="KC18" s="157"/>
      <c r="KD18" s="157"/>
      <c r="KE18" s="157"/>
      <c r="KF18" s="157"/>
      <c r="KG18" s="157"/>
      <c r="KH18" s="157"/>
      <c r="KI18" s="157"/>
      <c r="KJ18" s="157"/>
      <c r="KK18" s="157"/>
      <c r="KL18" s="158"/>
      <c r="KM18" s="182" t="str">
        <f>Stammdaten!$CA$21</f>
        <v>Fehlpositionen</v>
      </c>
      <c r="KN18" s="157"/>
      <c r="KO18" s="158"/>
      <c r="KP18" s="182" t="str">
        <f>Stammdaten!$CA$3</f>
        <v>Dispensationen</v>
      </c>
      <c r="KQ18" s="157"/>
      <c r="KR18" s="157"/>
      <c r="KS18" s="157"/>
      <c r="KT18" s="157"/>
      <c r="KU18" s="158"/>
      <c r="KV18" s="182" t="str">
        <f>Stammdaten!$CC$25</f>
        <v>Nullwerte</v>
      </c>
      <c r="KW18" s="157"/>
      <c r="KX18" s="157"/>
      <c r="KY18" s="157"/>
      <c r="KZ18" s="157"/>
      <c r="LA18" s="158"/>
      <c r="LB18" s="182" t="str">
        <f>Stammdaten!$CB$24</f>
        <v>Auswertung</v>
      </c>
      <c r="LC18" s="157"/>
      <c r="LD18" s="157"/>
      <c r="LE18" s="157"/>
      <c r="LF18" s="157"/>
      <c r="LG18" s="158"/>
      <c r="LH18" s="152" t="str">
        <f>Stammdaten!$CA$16</f>
        <v>Diplomsteuerung</v>
      </c>
      <c r="LI18" s="153"/>
      <c r="LJ18" s="153"/>
      <c r="LK18" s="153"/>
      <c r="LL18" s="153"/>
      <c r="LM18" s="153"/>
      <c r="LN18" s="153"/>
      <c r="LO18" s="153"/>
      <c r="LP18" s="153"/>
      <c r="LQ18" s="153"/>
      <c r="LR18" s="153"/>
      <c r="LS18" s="156"/>
      <c r="LT18" s="152" t="str">
        <f>Stammdaten!$CA$16</f>
        <v>Diplomsteuerung</v>
      </c>
      <c r="LU18" s="153"/>
      <c r="LV18" s="153"/>
      <c r="LW18" s="153"/>
      <c r="LX18" s="153"/>
      <c r="LY18" s="153"/>
      <c r="LZ18" s="153"/>
      <c r="MA18" s="153"/>
      <c r="MB18" s="153"/>
      <c r="MC18" s="153"/>
      <c r="MD18" s="153"/>
      <c r="ME18" s="156"/>
      <c r="MF18" s="152" t="str">
        <f>Stammdaten!$CA$16</f>
        <v>Diplomsteuerung</v>
      </c>
      <c r="MG18" s="153"/>
      <c r="MH18" s="153"/>
      <c r="MI18" s="153"/>
      <c r="MJ18" s="153"/>
      <c r="MK18" s="153"/>
      <c r="ML18" s="153"/>
      <c r="MM18" s="153"/>
      <c r="MN18" s="153"/>
      <c r="MO18" s="153"/>
      <c r="MP18" s="153"/>
      <c r="MQ18" s="153"/>
      <c r="MR18" s="154" t="str">
        <f>Stammdaten!$CB$23</f>
        <v>Max.</v>
      </c>
      <c r="MS18" s="191" t="str">
        <f>Stammdaten!$BZ$11</f>
        <v>Anz.</v>
      </c>
      <c r="MT18" s="191" t="str">
        <f>Stammdaten!$BZ$11</f>
        <v>Anz.</v>
      </c>
      <c r="MU18" s="191" t="str">
        <f>Stammdaten!$BZ$11</f>
        <v>Anz.</v>
      </c>
      <c r="MV18" s="197" t="str">
        <f>Stammdaten!$CA$11</f>
        <v>Anz. ok</v>
      </c>
      <c r="MW18" s="186" t="str">
        <f>Stammdaten!$CA$27&amp;CHAR(10)&amp;Stammdaten!$O$41&amp;CHAR(10)&amp;Stammdaten!$BZ$6</f>
        <v>Gesamtpunkte
Geräteturnen
(gerundet)</v>
      </c>
      <c r="MX18" s="130"/>
      <c r="MY18" s="146" t="str">
        <f>Stammdaten!$CB$24&amp;CHAR(10)&amp;Stammdaten!$O$41</f>
        <v>Auswertung
Geräteturnen</v>
      </c>
      <c r="MZ18" s="147"/>
      <c r="NA18" s="147"/>
      <c r="NB18" s="147"/>
      <c r="NC18" s="147"/>
      <c r="ND18" s="147"/>
      <c r="NE18" s="148"/>
      <c r="NF18" s="168"/>
      <c r="NG18" s="139"/>
      <c r="NH18" s="140"/>
      <c r="NI18" s="140"/>
      <c r="NJ18" s="140"/>
      <c r="NK18" s="140"/>
      <c r="NL18" s="140"/>
      <c r="NM18" s="140"/>
      <c r="NN18" s="140"/>
      <c r="NO18" s="140"/>
      <c r="NP18" s="140"/>
      <c r="NQ18" s="140"/>
      <c r="NR18" s="141"/>
      <c r="NS18" s="145"/>
      <c r="NT18" s="182" t="str">
        <f>Stammdaten!$AB$2</f>
        <v>Skalawert</v>
      </c>
      <c r="NU18" s="158"/>
      <c r="NV18" s="182" t="str">
        <f>Stammdaten!$CA$13</f>
        <v>Zwischenergebnis</v>
      </c>
      <c r="NW18" s="158"/>
      <c r="NX18" s="192" t="str">
        <f>Stammdaten!$CA$16</f>
        <v>Diplomsteuerung</v>
      </c>
      <c r="NY18" s="193"/>
      <c r="NZ18" s="193"/>
      <c r="OA18" s="193"/>
      <c r="OB18" s="193"/>
      <c r="OC18" s="193"/>
      <c r="OD18" s="193"/>
      <c r="OE18" s="193"/>
      <c r="OF18" s="193"/>
      <c r="OG18" s="193"/>
      <c r="OH18" s="193"/>
      <c r="OI18" s="194"/>
      <c r="OJ18" s="140"/>
      <c r="OK18" s="141"/>
      <c r="OL18" s="144"/>
      <c r="OM18" s="191" t="str">
        <f>Stammdaten!$BZ$11</f>
        <v>Anz.</v>
      </c>
      <c r="ON18" s="191" t="str">
        <f>Stammdaten!$BZ$11</f>
        <v>Anz.</v>
      </c>
      <c r="OO18" s="191" t="str">
        <f>Stammdaten!$CA$11</f>
        <v>Anz. ok</v>
      </c>
      <c r="OP18" s="144"/>
      <c r="OQ18" s="145" t="str">
        <f>Stammdaten!$BZ$22</f>
        <v>Durchschnitt</v>
      </c>
      <c r="OR18" s="171"/>
      <c r="OS18" s="172"/>
      <c r="OT18" s="173"/>
      <c r="OU18" s="171"/>
      <c r="OV18" s="172"/>
      <c r="OW18" s="172"/>
      <c r="OX18" s="173"/>
      <c r="OY18" s="149"/>
      <c r="OZ18" s="145"/>
      <c r="PA18" s="195" t="s">
        <v>100</v>
      </c>
      <c r="PB18" s="196"/>
      <c r="PC18" s="139"/>
      <c r="PD18" s="140"/>
      <c r="PE18" s="140"/>
      <c r="PF18" s="140"/>
      <c r="PG18" s="140"/>
      <c r="PH18" s="140"/>
      <c r="PI18" s="140"/>
      <c r="PJ18" s="140"/>
      <c r="PK18" s="140"/>
      <c r="PL18" s="140"/>
      <c r="PM18" s="141"/>
      <c r="PN18" s="168"/>
      <c r="PO18" s="139"/>
      <c r="PP18" s="140"/>
      <c r="PQ18" s="140"/>
      <c r="PR18" s="140"/>
      <c r="PS18" s="140"/>
      <c r="PT18" s="140"/>
      <c r="PU18" s="140"/>
      <c r="PV18" s="140"/>
      <c r="PW18" s="140"/>
      <c r="PX18" s="140"/>
      <c r="PY18" s="140"/>
      <c r="PZ18" s="141"/>
      <c r="QA18" s="168"/>
      <c r="QB18" s="139"/>
      <c r="QC18" s="140"/>
      <c r="QD18" s="140"/>
      <c r="QE18" s="140"/>
      <c r="QF18" s="140"/>
      <c r="QG18" s="140"/>
      <c r="QH18" s="140"/>
      <c r="QI18" s="140"/>
      <c r="QJ18" s="140"/>
      <c r="QK18" s="140"/>
      <c r="QL18" s="141"/>
      <c r="QM18" s="164"/>
      <c r="QN18" s="139" t="str">
        <f>Stammdaten!$AB$2</f>
        <v>Skalawert</v>
      </c>
      <c r="QO18" s="140"/>
      <c r="QP18" s="141"/>
      <c r="QQ18" s="139" t="str">
        <f>Stammdaten!$CA$13</f>
        <v>Zwischenergebnis</v>
      </c>
      <c r="QR18" s="140"/>
      <c r="QS18" s="141"/>
      <c r="QT18" s="149" t="str">
        <f>Stammdaten!$BZ$13&amp;CHAR(10)&amp;Stammdaten!$CA$14</f>
        <v>Ergebnis
(beste Note)</v>
      </c>
      <c r="QU18" s="191" t="str">
        <f>Stammdaten!$BZ$11</f>
        <v>Anz.</v>
      </c>
      <c r="QV18" s="191" t="str">
        <f>Stammdaten!$BZ$11</f>
        <v>Anz.</v>
      </c>
      <c r="QW18" s="191" t="str">
        <f>Stammdaten!$CA$11</f>
        <v>Anz. ok</v>
      </c>
      <c r="QX18" s="188" t="str">
        <f>Stammdaten!$CA$16</f>
        <v>Diplomsteuerung</v>
      </c>
      <c r="QY18" s="189"/>
      <c r="QZ18" s="189"/>
      <c r="RA18" s="189"/>
      <c r="RB18" s="189"/>
      <c r="RC18" s="189"/>
      <c r="RD18" s="189"/>
      <c r="RE18" s="189"/>
      <c r="RF18" s="189"/>
      <c r="RG18" s="189"/>
      <c r="RH18" s="189"/>
      <c r="RI18" s="190"/>
      <c r="RJ18" s="170" t="str">
        <f>Stammdaten!$BZ$22</f>
        <v>Durchschnitt</v>
      </c>
      <c r="RK18" s="155"/>
      <c r="RL18" s="198" t="str">
        <f>Stammdaten!$CB$14</f>
        <v>Beste Note</v>
      </c>
      <c r="RM18" s="166"/>
      <c r="RN18" s="139"/>
      <c r="RO18" s="140"/>
      <c r="RP18" s="140"/>
      <c r="RQ18" s="140"/>
      <c r="RR18" s="140"/>
      <c r="RS18" s="140"/>
      <c r="RT18" s="140"/>
      <c r="RU18" s="140"/>
      <c r="RV18" s="140"/>
      <c r="RW18" s="140"/>
      <c r="RX18" s="141"/>
      <c r="RY18" s="168"/>
      <c r="RZ18" s="139"/>
      <c r="SA18" s="140"/>
      <c r="SB18" s="140"/>
      <c r="SC18" s="140"/>
      <c r="SD18" s="140"/>
      <c r="SE18" s="140"/>
      <c r="SF18" s="140"/>
      <c r="SG18" s="140"/>
      <c r="SH18" s="140"/>
      <c r="SI18" s="140"/>
      <c r="SJ18" s="141"/>
      <c r="SK18" s="168"/>
      <c r="SL18" s="139"/>
      <c r="SM18" s="140"/>
      <c r="SN18" s="140"/>
      <c r="SO18" s="140"/>
      <c r="SP18" s="140"/>
      <c r="SQ18" s="140"/>
      <c r="SR18" s="140"/>
      <c r="SS18" s="140"/>
      <c r="ST18" s="140"/>
      <c r="SU18" s="140"/>
      <c r="SV18" s="141"/>
      <c r="SW18" s="168"/>
      <c r="SX18" s="139"/>
      <c r="SY18" s="140"/>
      <c r="SZ18" s="140"/>
      <c r="TA18" s="140"/>
      <c r="TB18" s="140"/>
      <c r="TC18" s="140"/>
      <c r="TD18" s="140"/>
      <c r="TE18" s="140"/>
      <c r="TF18" s="140"/>
      <c r="TG18" s="140"/>
      <c r="TH18" s="141"/>
      <c r="TI18" s="168"/>
      <c r="TJ18" s="139"/>
      <c r="TK18" s="140"/>
      <c r="TL18" s="140"/>
      <c r="TM18" s="140"/>
      <c r="TN18" s="140"/>
      <c r="TO18" s="140"/>
      <c r="TP18" s="140"/>
      <c r="TQ18" s="140"/>
      <c r="TR18" s="140"/>
      <c r="TS18" s="140"/>
      <c r="TT18" s="140"/>
      <c r="TU18" s="141"/>
      <c r="TV18" s="155"/>
      <c r="TW18" s="182" t="str">
        <f>Stammdaten!$CB$25</f>
        <v>Notenwerte</v>
      </c>
      <c r="TX18" s="157"/>
      <c r="TY18" s="157"/>
      <c r="TZ18" s="157"/>
      <c r="UA18" s="158"/>
      <c r="UB18" s="139" t="str">
        <f>Stammdaten!$CB$23</f>
        <v>Max.</v>
      </c>
      <c r="UC18" s="140"/>
      <c r="UD18" s="141"/>
      <c r="UE18" s="139" t="str">
        <f>Stammdaten!$BZ$8</f>
        <v>Bei Gleichheit</v>
      </c>
      <c r="UF18" s="140"/>
      <c r="UG18" s="140"/>
      <c r="UH18" s="140"/>
      <c r="UI18" s="140"/>
      <c r="UJ18" s="140"/>
      <c r="UK18" s="140"/>
      <c r="UL18" s="140"/>
      <c r="UM18" s="140"/>
      <c r="UN18" s="140"/>
      <c r="UO18" s="140"/>
      <c r="UP18" s="141"/>
      <c r="UQ18" s="139" t="str">
        <f>Stammdaten!$CA$21</f>
        <v>Fehlpositionen</v>
      </c>
      <c r="UR18" s="140"/>
      <c r="US18" s="141"/>
      <c r="UT18" s="139" t="str">
        <f>Stammdaten!$CA$3</f>
        <v>Dispensationen</v>
      </c>
      <c r="UU18" s="140"/>
      <c r="UV18" s="140"/>
      <c r="UW18" s="140"/>
      <c r="UX18" s="141"/>
      <c r="UY18" s="139" t="str">
        <f>Stammdaten!$CC$25</f>
        <v>Nullwerte</v>
      </c>
      <c r="UZ18" s="140"/>
      <c r="VA18" s="140"/>
      <c r="VB18" s="140"/>
      <c r="VC18" s="141"/>
      <c r="VD18" s="139" t="str">
        <f>Stammdaten!$CB$24</f>
        <v>Auswertung</v>
      </c>
      <c r="VE18" s="140"/>
      <c r="VF18" s="140"/>
      <c r="VG18" s="140"/>
      <c r="VH18" s="140"/>
      <c r="VI18" s="141"/>
      <c r="VJ18" s="135" t="str">
        <f>Stammdaten!$CA$16</f>
        <v>Diplomsteuerung</v>
      </c>
      <c r="VK18" s="136"/>
      <c r="VL18" s="136"/>
      <c r="VM18" s="136"/>
      <c r="VN18" s="136"/>
      <c r="VO18" s="136"/>
      <c r="VP18" s="136"/>
      <c r="VQ18" s="136"/>
      <c r="VR18" s="136"/>
      <c r="VS18" s="136"/>
      <c r="VT18" s="136"/>
      <c r="VU18" s="137"/>
      <c r="VV18" s="135" t="str">
        <f>Stammdaten!$CA$16</f>
        <v>Diplomsteuerung</v>
      </c>
      <c r="VW18" s="136"/>
      <c r="VX18" s="136"/>
      <c r="VY18" s="136"/>
      <c r="VZ18" s="136"/>
      <c r="WA18" s="136"/>
      <c r="WB18" s="136"/>
      <c r="WC18" s="136"/>
      <c r="WD18" s="136"/>
      <c r="WE18" s="136"/>
      <c r="WF18" s="136"/>
      <c r="WG18" s="137"/>
      <c r="WH18" s="135" t="str">
        <f>Stammdaten!$CA$16</f>
        <v>Diplomsteuerung</v>
      </c>
      <c r="WI18" s="136"/>
      <c r="WJ18" s="136"/>
      <c r="WK18" s="136"/>
      <c r="WL18" s="136"/>
      <c r="WM18" s="136"/>
      <c r="WN18" s="136"/>
      <c r="WO18" s="136"/>
      <c r="WP18" s="136"/>
      <c r="WQ18" s="136"/>
      <c r="WR18" s="136"/>
      <c r="WS18" s="137"/>
      <c r="WT18" s="139" t="str">
        <f>Stammdaten!$AB$2</f>
        <v>Skalawert</v>
      </c>
      <c r="WU18" s="140"/>
      <c r="WV18" s="140"/>
      <c r="WW18" s="140"/>
      <c r="WX18" s="141"/>
      <c r="WY18" s="139" t="str">
        <f>Stammdaten!$CA$13</f>
        <v>Zwischenergebnis</v>
      </c>
      <c r="WZ18" s="140"/>
      <c r="XA18" s="140"/>
      <c r="XB18" s="140"/>
      <c r="XC18" s="141"/>
      <c r="XD18" s="149">
        <v>1</v>
      </c>
      <c r="XE18" s="149">
        <v>2</v>
      </c>
      <c r="XF18" s="149">
        <v>3</v>
      </c>
      <c r="XG18" s="170" t="str">
        <f>Stammdaten!$CB$23</f>
        <v>Max.</v>
      </c>
      <c r="XH18" s="191" t="str">
        <f>Stammdaten!$BZ$11</f>
        <v>Anz.</v>
      </c>
      <c r="XI18" s="191" t="str">
        <f>Stammdaten!$BZ$11</f>
        <v>Anz.</v>
      </c>
      <c r="XJ18" s="199" t="str">
        <f>Stammdaten!$CA$11</f>
        <v>Anz. ok</v>
      </c>
      <c r="XK18" s="144"/>
      <c r="XL18" s="170" t="str">
        <f>Stammdaten!$BZ$22</f>
        <v>Durchschnitt</v>
      </c>
      <c r="XM18" s="171"/>
      <c r="XN18" s="172"/>
      <c r="XO18" s="172"/>
      <c r="XP18" s="173"/>
      <c r="XQ18" s="171"/>
      <c r="XR18" s="172"/>
      <c r="XS18" s="172"/>
      <c r="XT18" s="173"/>
      <c r="XU18" s="174"/>
      <c r="XV18" s="145"/>
      <c r="XW18" s="195" t="s">
        <v>100</v>
      </c>
      <c r="XX18" s="164"/>
      <c r="XY18" s="140"/>
      <c r="XZ18" s="140"/>
      <c r="YA18" s="140"/>
      <c r="YB18" s="141"/>
      <c r="YC18" s="144"/>
      <c r="YD18" s="191" t="str">
        <f>Stammdaten!$BZ$11</f>
        <v>Anz.</v>
      </c>
      <c r="YE18" s="191" t="str">
        <f>Stammdaten!$BZ$11</f>
        <v>Anz.</v>
      </c>
      <c r="YF18" s="191" t="str">
        <f>Stammdaten!$CA$11</f>
        <v>Anz. ok</v>
      </c>
      <c r="YG18" s="144"/>
      <c r="YH18" s="171"/>
      <c r="YI18" s="172"/>
      <c r="YJ18" s="172"/>
      <c r="YK18" s="172"/>
      <c r="YL18" s="173"/>
      <c r="YM18" s="200"/>
      <c r="YN18" s="201"/>
      <c r="YO18" s="201"/>
      <c r="YP18" s="202"/>
      <c r="YQ18" s="171"/>
      <c r="YR18" s="172"/>
      <c r="YS18" s="172"/>
      <c r="YT18" s="173"/>
      <c r="YU18" s="175"/>
      <c r="YV18" s="176"/>
      <c r="YW18" s="175"/>
      <c r="YX18" s="176"/>
      <c r="YY18" s="175"/>
      <c r="YZ18" s="176"/>
      <c r="ZA18" s="175"/>
      <c r="ZB18" s="176"/>
      <c r="ZC18" s="164"/>
      <c r="ZD18" s="149"/>
      <c r="ZE18" s="155"/>
      <c r="ZF18" s="198" t="str">
        <f>Stammdaten!$BZ$22</f>
        <v>Durchschnitt</v>
      </c>
      <c r="ZG18" s="177"/>
      <c r="ZH18" s="203"/>
      <c r="ZI18" s="204"/>
      <c r="ZJ18" s="204"/>
      <c r="ZK18" s="205"/>
      <c r="ZL18" s="181"/>
      <c r="ZM18" s="139"/>
      <c r="ZN18" s="140"/>
      <c r="ZO18" s="140"/>
      <c r="ZP18" s="140"/>
      <c r="ZQ18" s="140"/>
      <c r="ZR18" s="140"/>
      <c r="ZS18" s="140"/>
      <c r="ZT18" s="140"/>
      <c r="ZU18" s="140"/>
      <c r="ZV18" s="140"/>
      <c r="ZW18" s="140"/>
      <c r="ZX18" s="140"/>
      <c r="ZY18" s="140"/>
      <c r="ZZ18" s="140"/>
      <c r="AAA18" s="140"/>
      <c r="AAB18" s="140"/>
      <c r="AAC18" s="140"/>
      <c r="AAD18" s="141"/>
      <c r="AAE18" s="170"/>
      <c r="AAF18" s="135" t="str" cm="1">
        <f t="array" ref="AAF18">INDEX(StdDisziplinen[Fähigkeit],AAF$2)</f>
        <v>Ausdauer</v>
      </c>
      <c r="AAG18" s="136"/>
      <c r="AAH18" s="136"/>
      <c r="AAI18" s="136"/>
      <c r="AAJ18" s="136"/>
      <c r="AAK18" s="136"/>
      <c r="AAL18" s="136"/>
      <c r="AAM18" s="136"/>
      <c r="AAN18" s="136"/>
      <c r="AAO18" s="136"/>
      <c r="AAP18" s="137"/>
      <c r="AAQ18" s="168"/>
      <c r="AAR18" s="139" t="str" cm="1">
        <f t="array" ref="AAR18">INDEX(StdDisziplinen[Fähigkeit],AAR$2)</f>
        <v>Beweglichkeit</v>
      </c>
      <c r="AAS18" s="140"/>
      <c r="AAT18" s="140"/>
      <c r="AAU18" s="140"/>
      <c r="AAV18" s="140"/>
      <c r="AAW18" s="140"/>
      <c r="AAX18" s="140"/>
      <c r="AAY18" s="140"/>
      <c r="AAZ18" s="140"/>
      <c r="ABA18" s="140"/>
      <c r="ABB18" s="141"/>
      <c r="ABC18" s="168"/>
      <c r="ABD18" s="139" t="str" cm="1">
        <f t="array" ref="ABD18">INDEX(StdDisziplinen[Fähigkeit],ABD$2)</f>
        <v>Rumpfkraft</v>
      </c>
      <c r="ABE18" s="140"/>
      <c r="ABF18" s="140"/>
      <c r="ABG18" s="140"/>
      <c r="ABH18" s="140"/>
      <c r="ABI18" s="140"/>
      <c r="ABJ18" s="140"/>
      <c r="ABK18" s="140"/>
      <c r="ABL18" s="140"/>
      <c r="ABM18" s="140"/>
      <c r="ABN18" s="141"/>
      <c r="ABO18" s="168"/>
      <c r="ABP18" s="135" t="str" cm="1">
        <f t="array" ref="ABP18">INDEX(StdDisziplinen[Fähigkeit],ABP$2)</f>
        <v>Schnelligkeit</v>
      </c>
      <c r="ABQ18" s="136"/>
      <c r="ABR18" s="136"/>
      <c r="ABS18" s="136"/>
      <c r="ABT18" s="136"/>
      <c r="ABU18" s="136"/>
      <c r="ABV18" s="136"/>
      <c r="ABW18" s="136"/>
      <c r="ABX18" s="136"/>
      <c r="ABY18" s="136"/>
      <c r="ABZ18" s="137"/>
      <c r="ACA18" s="169"/>
      <c r="ACB18" s="139"/>
      <c r="ACC18" s="140"/>
      <c r="ACD18" s="140"/>
      <c r="ACE18" s="140"/>
      <c r="ACF18" s="140"/>
      <c r="ACG18" s="140"/>
      <c r="ACH18" s="140"/>
      <c r="ACI18" s="140"/>
      <c r="ACJ18" s="140"/>
      <c r="ACK18" s="140"/>
      <c r="ACL18" s="140"/>
      <c r="ACM18" s="141"/>
      <c r="ACN18" s="102"/>
    </row>
    <row r="19" spans="1:768" ht="14.45" customHeight="1">
      <c r="A19" s="102"/>
      <c r="B19" s="132" t="s">
        <v>27</v>
      </c>
      <c r="C19" s="133"/>
      <c r="D19" s="183"/>
      <c r="E19" s="206" t="s">
        <v>105</v>
      </c>
      <c r="G19" s="135"/>
      <c r="H19" s="136"/>
      <c r="I19" s="136"/>
      <c r="J19" s="136"/>
      <c r="K19" s="136"/>
      <c r="L19" s="136"/>
      <c r="M19" s="136"/>
      <c r="N19" s="136"/>
      <c r="O19" s="136"/>
      <c r="P19" s="136"/>
      <c r="Q19" s="137"/>
      <c r="R19" s="168"/>
      <c r="S19" s="135"/>
      <c r="T19" s="136"/>
      <c r="U19" s="136"/>
      <c r="V19" s="136"/>
      <c r="W19" s="136"/>
      <c r="X19" s="136"/>
      <c r="Y19" s="136"/>
      <c r="Z19" s="136"/>
      <c r="AA19" s="136"/>
      <c r="AB19" s="136"/>
      <c r="AC19" s="137"/>
      <c r="AD19" s="168"/>
      <c r="AE19" s="135"/>
      <c r="AF19" s="136"/>
      <c r="AG19" s="136"/>
      <c r="AH19" s="136"/>
      <c r="AI19" s="136"/>
      <c r="AJ19" s="136"/>
      <c r="AK19" s="136"/>
      <c r="AL19" s="136"/>
      <c r="AM19" s="136"/>
      <c r="AN19" s="136"/>
      <c r="AO19" s="137"/>
      <c r="AP19" s="168"/>
      <c r="AQ19" s="135"/>
      <c r="AR19" s="136"/>
      <c r="AS19" s="136"/>
      <c r="AT19" s="136"/>
      <c r="AU19" s="136"/>
      <c r="AV19" s="136"/>
      <c r="AW19" s="136"/>
      <c r="AX19" s="136"/>
      <c r="AY19" s="136"/>
      <c r="AZ19" s="136"/>
      <c r="BA19" s="137"/>
      <c r="BB19" s="168"/>
      <c r="BC19" s="135"/>
      <c r="BD19" s="136"/>
      <c r="BE19" s="136"/>
      <c r="BF19" s="136"/>
      <c r="BG19" s="136"/>
      <c r="BH19" s="136"/>
      <c r="BI19" s="136"/>
      <c r="BJ19" s="136"/>
      <c r="BK19" s="136"/>
      <c r="BL19" s="136"/>
      <c r="BM19" s="137"/>
      <c r="BN19" s="168"/>
      <c r="BO19" s="135"/>
      <c r="BP19" s="136"/>
      <c r="BQ19" s="136"/>
      <c r="BR19" s="136"/>
      <c r="BS19" s="136"/>
      <c r="BT19" s="136"/>
      <c r="BU19" s="136"/>
      <c r="BV19" s="136"/>
      <c r="BW19" s="136"/>
      <c r="BX19" s="136"/>
      <c r="BY19" s="137"/>
      <c r="BZ19" s="168"/>
      <c r="CA19" s="135"/>
      <c r="CB19" s="136"/>
      <c r="CC19" s="136"/>
      <c r="CD19" s="136"/>
      <c r="CE19" s="136"/>
      <c r="CF19" s="136"/>
      <c r="CG19" s="136"/>
      <c r="CH19" s="136"/>
      <c r="CI19" s="136"/>
      <c r="CJ19" s="136"/>
      <c r="CK19" s="137"/>
      <c r="CL19" s="168"/>
      <c r="CM19" s="135"/>
      <c r="CN19" s="136"/>
      <c r="CO19" s="136"/>
      <c r="CP19" s="136"/>
      <c r="CQ19" s="136"/>
      <c r="CR19" s="136"/>
      <c r="CS19" s="136"/>
      <c r="CT19" s="136"/>
      <c r="CU19" s="136"/>
      <c r="CV19" s="136"/>
      <c r="CW19" s="137"/>
      <c r="CX19" s="168"/>
      <c r="CY19" s="135"/>
      <c r="CZ19" s="136"/>
      <c r="DA19" s="136"/>
      <c r="DB19" s="136"/>
      <c r="DC19" s="136"/>
      <c r="DD19" s="136"/>
      <c r="DE19" s="136"/>
      <c r="DF19" s="136"/>
      <c r="DG19" s="136"/>
      <c r="DH19" s="136"/>
      <c r="DI19" s="137"/>
      <c r="DJ19" s="170"/>
      <c r="DK19" s="135"/>
      <c r="DL19" s="137"/>
      <c r="DM19" s="135"/>
      <c r="DN19" s="137"/>
      <c r="DO19" s="149"/>
      <c r="DP19" s="191"/>
      <c r="DQ19" s="191" t="s">
        <v>339</v>
      </c>
      <c r="DR19" s="191" t="str">
        <f>$A$2</f>
        <v>D</v>
      </c>
      <c r="DS19" s="191" t="str">
        <f>Stammdaten!$BZ$7</f>
        <v>Teiler</v>
      </c>
      <c r="DT19" s="161" t="str">
        <f>Stammdaten!$BZ$5</f>
        <v>Disziplin</v>
      </c>
      <c r="DU19" s="186" t="str">
        <f>Stammdaten!$CA$24</f>
        <v>Bewertung</v>
      </c>
      <c r="DV19" s="186" t="str">
        <f>Stammdaten!$CA$15</f>
        <v>Resultatspalte</v>
      </c>
      <c r="DW19" s="197" t="str">
        <f>Stammdaten!$V$2</f>
        <v>Resultat</v>
      </c>
      <c r="DX19" s="186" t="str">
        <f>Stammdaten!$BZ$15</f>
        <v>Erreichtes Resultat</v>
      </c>
      <c r="DY19" s="197" t="str">
        <f>Stammdaten!$V$2</f>
        <v>Resultat</v>
      </c>
      <c r="DZ19" s="146" t="str">
        <f>Stammdaten!$CA$23</f>
        <v>Maximalwert</v>
      </c>
      <c r="EA19" s="147"/>
      <c r="EB19" s="148"/>
      <c r="EC19" s="182" t="str">
        <f>Stammdaten!$CB$10</f>
        <v>Diplomausgabe</v>
      </c>
      <c r="ED19" s="157"/>
      <c r="EE19" s="158"/>
      <c r="EF19" s="135"/>
      <c r="EG19" s="137"/>
      <c r="EH19" s="135"/>
      <c r="EI19" s="137"/>
      <c r="EJ19" s="149"/>
      <c r="EK19" s="191"/>
      <c r="EL19" s="191" t="s">
        <v>339</v>
      </c>
      <c r="EM19" s="191" t="str">
        <f>$A$2</f>
        <v>D</v>
      </c>
      <c r="EN19" s="191" t="str">
        <f>Stammdaten!$BZ$7</f>
        <v>Teiler</v>
      </c>
      <c r="EO19" s="161" t="str">
        <f>Stammdaten!$BZ$5</f>
        <v>Disziplin</v>
      </c>
      <c r="EP19" s="186" t="str">
        <f>Stammdaten!$CA$24</f>
        <v>Bewertung</v>
      </c>
      <c r="EQ19" s="186" t="str">
        <f>Stammdaten!$CA$15</f>
        <v>Resultatspalte</v>
      </c>
      <c r="ER19" s="197" t="str">
        <f>Stammdaten!$V$2</f>
        <v>Resultat</v>
      </c>
      <c r="ES19" s="186" t="str">
        <f>Stammdaten!$BZ$15</f>
        <v>Erreichtes Resultat</v>
      </c>
      <c r="ET19" s="197" t="str">
        <f>Stammdaten!$V$2</f>
        <v>Resultat</v>
      </c>
      <c r="EU19" s="146" t="str">
        <f>Stammdaten!$CA$23</f>
        <v>Maximalwert</v>
      </c>
      <c r="EV19" s="147"/>
      <c r="EW19" s="148"/>
      <c r="EX19" s="182" t="str">
        <f>Stammdaten!$CB$10</f>
        <v>Diplomausgabe</v>
      </c>
      <c r="EY19" s="157"/>
      <c r="EZ19" s="158"/>
      <c r="FA19" s="135"/>
      <c r="FB19" s="137"/>
      <c r="FC19" s="135"/>
      <c r="FD19" s="137"/>
      <c r="FE19" s="149"/>
      <c r="FF19" s="191"/>
      <c r="FG19" s="191" t="s">
        <v>339</v>
      </c>
      <c r="FH19" s="191" t="str">
        <f>$A$2</f>
        <v>D</v>
      </c>
      <c r="FI19" s="191" t="str">
        <f>Stammdaten!$BZ$7</f>
        <v>Teiler</v>
      </c>
      <c r="FJ19" s="161" t="str">
        <f>Stammdaten!$BZ$5</f>
        <v>Disziplin</v>
      </c>
      <c r="FK19" s="186" t="str">
        <f>Stammdaten!$CA$24</f>
        <v>Bewertung</v>
      </c>
      <c r="FL19" s="186" t="str">
        <f>Stammdaten!$CA$15</f>
        <v>Resultatspalte</v>
      </c>
      <c r="FM19" s="197" t="str">
        <f>Stammdaten!$V$2</f>
        <v>Resultat</v>
      </c>
      <c r="FN19" s="186" t="str">
        <f>Stammdaten!$BZ$15</f>
        <v>Erreichtes Resultat</v>
      </c>
      <c r="FO19" s="197" t="str">
        <f>Stammdaten!$V$2</f>
        <v>Resultat</v>
      </c>
      <c r="FP19" s="146" t="str">
        <f>Stammdaten!$CA$23</f>
        <v>Maximalwert</v>
      </c>
      <c r="FQ19" s="147"/>
      <c r="FR19" s="148"/>
      <c r="FS19" s="182" t="str">
        <f>Stammdaten!$CB$10</f>
        <v>Diplomausgabe</v>
      </c>
      <c r="FT19" s="157"/>
      <c r="FU19" s="158"/>
      <c r="FV19" s="135"/>
      <c r="FW19" s="136"/>
      <c r="FX19" s="137"/>
      <c r="FY19" s="135"/>
      <c r="FZ19" s="136"/>
      <c r="GA19" s="137"/>
      <c r="GB19" s="149"/>
      <c r="GC19" s="191"/>
      <c r="GD19" s="191" t="s">
        <v>339</v>
      </c>
      <c r="GE19" s="191" t="str">
        <f>$A$2</f>
        <v>D</v>
      </c>
      <c r="GF19" s="191" t="str">
        <f>Stammdaten!$BZ$7</f>
        <v>Teiler</v>
      </c>
      <c r="GG19" s="161" t="str">
        <f>Stammdaten!$BZ$5</f>
        <v>Disziplin</v>
      </c>
      <c r="GH19" s="186" t="str">
        <f>Stammdaten!$CA$24</f>
        <v>Bewertung</v>
      </c>
      <c r="GI19" s="186" t="str">
        <f>Stammdaten!$CA$15</f>
        <v>Resultatspalte</v>
      </c>
      <c r="GJ19" s="197" t="str">
        <f>Stammdaten!$V$2</f>
        <v>Resultat</v>
      </c>
      <c r="GK19" s="186" t="str">
        <f>Stammdaten!$BZ$15</f>
        <v>Erreichtes Resultat</v>
      </c>
      <c r="GL19" s="197" t="str">
        <f>Stammdaten!$V$2</f>
        <v>Resultat</v>
      </c>
      <c r="GM19" s="146" t="str">
        <f>Stammdaten!$CA$23</f>
        <v>Maximalwert</v>
      </c>
      <c r="GN19" s="147"/>
      <c r="GO19" s="148"/>
      <c r="GP19" s="182" t="str">
        <f>Stammdaten!$CB$10</f>
        <v>Diplomausgabe</v>
      </c>
      <c r="GQ19" s="157"/>
      <c r="GR19" s="158"/>
      <c r="GS19" s="139"/>
      <c r="GT19" s="140"/>
      <c r="GU19" s="140"/>
      <c r="GV19" s="141"/>
      <c r="GW19" s="144"/>
      <c r="GX19" s="191" t="s">
        <v>339</v>
      </c>
      <c r="GY19" s="191" t="str">
        <f>$A$2</f>
        <v>D</v>
      </c>
      <c r="GZ19" s="191" t="str">
        <f>Stammdaten!$BZ$7</f>
        <v>Teiler</v>
      </c>
      <c r="HA19" s="144"/>
      <c r="HB19" s="145" t="str">
        <f>Stammdaten!$CB$21</f>
        <v>Med.-Pos.</v>
      </c>
      <c r="HC19" s="171"/>
      <c r="HD19" s="172"/>
      <c r="HE19" s="172"/>
      <c r="HF19" s="172"/>
      <c r="HG19" s="173"/>
      <c r="HH19" s="171"/>
      <c r="HI19" s="172"/>
      <c r="HJ19" s="172"/>
      <c r="HK19" s="173"/>
      <c r="HL19" s="149"/>
      <c r="HM19" s="145"/>
      <c r="HN19" s="207" t="str" cm="1">
        <f t="array" ref="HN19">INDEX(StdBS[StdNummer],$G$1)</f>
        <v>BS.1</v>
      </c>
      <c r="HO19" s="196"/>
      <c r="HP19" s="135"/>
      <c r="HQ19" s="136"/>
      <c r="HR19" s="136"/>
      <c r="HS19" s="136"/>
      <c r="HT19" s="136"/>
      <c r="HU19" s="136"/>
      <c r="HV19" s="136"/>
      <c r="HW19" s="137"/>
      <c r="HX19" s="168"/>
      <c r="HY19" s="135"/>
      <c r="HZ19" s="136"/>
      <c r="IA19" s="136"/>
      <c r="IB19" s="136"/>
      <c r="IC19" s="136"/>
      <c r="ID19" s="136"/>
      <c r="IE19" s="136"/>
      <c r="IF19" s="137"/>
      <c r="IG19" s="168"/>
      <c r="IH19" s="135"/>
      <c r="II19" s="136"/>
      <c r="IJ19" s="136"/>
      <c r="IK19" s="136"/>
      <c r="IL19" s="136"/>
      <c r="IM19" s="136"/>
      <c r="IN19" s="136"/>
      <c r="IO19" s="137"/>
      <c r="IP19" s="168"/>
      <c r="IQ19" s="135"/>
      <c r="IR19" s="136"/>
      <c r="IS19" s="136"/>
      <c r="IT19" s="136"/>
      <c r="IU19" s="136"/>
      <c r="IV19" s="136"/>
      <c r="IW19" s="136"/>
      <c r="IX19" s="137"/>
      <c r="IY19" s="168"/>
      <c r="IZ19" s="135"/>
      <c r="JA19" s="136"/>
      <c r="JB19" s="136"/>
      <c r="JC19" s="136"/>
      <c r="JD19" s="136"/>
      <c r="JE19" s="136"/>
      <c r="JF19" s="136"/>
      <c r="JG19" s="137"/>
      <c r="JH19" s="168"/>
      <c r="JI19" s="135"/>
      <c r="JJ19" s="136"/>
      <c r="JK19" s="136"/>
      <c r="JL19" s="136"/>
      <c r="JM19" s="136"/>
      <c r="JN19" s="136"/>
      <c r="JO19" s="136"/>
      <c r="JP19" s="137"/>
      <c r="JQ19" s="155"/>
      <c r="JR19" s="135"/>
      <c r="JS19" s="136"/>
      <c r="JT19" s="136"/>
      <c r="JU19" s="136"/>
      <c r="JV19" s="136"/>
      <c r="JW19" s="137"/>
      <c r="JX19" s="135"/>
      <c r="JY19" s="136"/>
      <c r="JZ19" s="136"/>
      <c r="KA19" s="135"/>
      <c r="KB19" s="136"/>
      <c r="KC19" s="136"/>
      <c r="KD19" s="136"/>
      <c r="KE19" s="136"/>
      <c r="KF19" s="136"/>
      <c r="KG19" s="136"/>
      <c r="KH19" s="136"/>
      <c r="KI19" s="136"/>
      <c r="KJ19" s="136"/>
      <c r="KK19" s="136"/>
      <c r="KL19" s="137"/>
      <c r="KM19" s="135"/>
      <c r="KN19" s="136"/>
      <c r="KO19" s="137"/>
      <c r="KP19" s="135"/>
      <c r="KQ19" s="136"/>
      <c r="KR19" s="136"/>
      <c r="KS19" s="136"/>
      <c r="KT19" s="136"/>
      <c r="KU19" s="137"/>
      <c r="KV19" s="135"/>
      <c r="KW19" s="136"/>
      <c r="KX19" s="136"/>
      <c r="KY19" s="136"/>
      <c r="KZ19" s="136"/>
      <c r="LA19" s="137"/>
      <c r="LB19" s="135"/>
      <c r="LC19" s="136"/>
      <c r="LD19" s="136"/>
      <c r="LE19" s="136"/>
      <c r="LF19" s="136"/>
      <c r="LG19" s="137"/>
      <c r="LH19" s="154" t="str">
        <f>Stammdaten!$BZ$5</f>
        <v>Disziplin</v>
      </c>
      <c r="LI19" s="186" t="str">
        <f>Stammdaten!$CA$24</f>
        <v>Bewertung</v>
      </c>
      <c r="LJ19" s="186" t="str">
        <f>Stammdaten!$CA$15</f>
        <v>Resultatspalte</v>
      </c>
      <c r="LK19" s="197" t="str">
        <f>Stammdaten!$V$2</f>
        <v>Resultat</v>
      </c>
      <c r="LL19" s="186" t="str">
        <f>Stammdaten!$BZ$15</f>
        <v>Erreichtes Resultat</v>
      </c>
      <c r="LM19" s="197" t="str">
        <f>Stammdaten!$V$2</f>
        <v>Resultat</v>
      </c>
      <c r="LN19" s="146" t="str">
        <f>Stammdaten!$CA$23</f>
        <v>Maximalwert</v>
      </c>
      <c r="LO19" s="147"/>
      <c r="LP19" s="148"/>
      <c r="LQ19" s="182" t="str">
        <f>Stammdaten!$CB$10</f>
        <v>Diplomausgabe</v>
      </c>
      <c r="LR19" s="157"/>
      <c r="LS19" s="158"/>
      <c r="LT19" s="154" t="str">
        <f>Stammdaten!$BZ$5</f>
        <v>Disziplin</v>
      </c>
      <c r="LU19" s="186" t="str">
        <f>Stammdaten!$CA$24</f>
        <v>Bewertung</v>
      </c>
      <c r="LV19" s="186" t="str">
        <f>Stammdaten!$CA$15</f>
        <v>Resultatspalte</v>
      </c>
      <c r="LW19" s="197" t="str">
        <f>Stammdaten!$V$2</f>
        <v>Resultat</v>
      </c>
      <c r="LX19" s="186" t="str">
        <f>Stammdaten!$BZ$15</f>
        <v>Erreichtes Resultat</v>
      </c>
      <c r="LY19" s="197" t="str">
        <f>Stammdaten!$V$2</f>
        <v>Resultat</v>
      </c>
      <c r="LZ19" s="146" t="str">
        <f>Stammdaten!$CA$23</f>
        <v>Maximalwert</v>
      </c>
      <c r="MA19" s="147"/>
      <c r="MB19" s="148"/>
      <c r="MC19" s="182" t="str">
        <f>Stammdaten!$CB$10</f>
        <v>Diplomausgabe</v>
      </c>
      <c r="MD19" s="157"/>
      <c r="ME19" s="158"/>
      <c r="MF19" s="154" t="str">
        <f>Stammdaten!$BZ$5</f>
        <v>Disziplin</v>
      </c>
      <c r="MG19" s="186" t="str">
        <f>Stammdaten!$CA$24</f>
        <v>Bewertung</v>
      </c>
      <c r="MH19" s="186" t="str">
        <f>Stammdaten!$CA$15</f>
        <v>Resultatspalte</v>
      </c>
      <c r="MI19" s="197" t="str">
        <f>Stammdaten!$V$2</f>
        <v>Resultat</v>
      </c>
      <c r="MJ19" s="186" t="str">
        <f>Stammdaten!$BZ$15</f>
        <v>Erreichtes Resultat</v>
      </c>
      <c r="MK19" s="197" t="str">
        <f>Stammdaten!$V$2</f>
        <v>Resultat</v>
      </c>
      <c r="ML19" s="146" t="str">
        <f>Stammdaten!$CA$23</f>
        <v>Maximalwert</v>
      </c>
      <c r="MM19" s="147"/>
      <c r="MN19" s="148"/>
      <c r="MO19" s="182" t="str">
        <f>Stammdaten!$CB$10</f>
        <v>Diplomausgabe</v>
      </c>
      <c r="MP19" s="157"/>
      <c r="MQ19" s="157"/>
      <c r="MR19" s="208" t="s">
        <v>332</v>
      </c>
      <c r="MS19" s="191" t="s">
        <v>339</v>
      </c>
      <c r="MT19" s="191">
        <v>0</v>
      </c>
      <c r="MU19" s="191" t="str">
        <f>$A$2</f>
        <v>D</v>
      </c>
      <c r="MV19" s="199" t="str">
        <f>Stammdaten!$BZ$7</f>
        <v>Teiler</v>
      </c>
      <c r="MW19" s="149"/>
      <c r="MX19" s="127"/>
      <c r="MY19" s="171"/>
      <c r="MZ19" s="172"/>
      <c r="NA19" s="172"/>
      <c r="NB19" s="172"/>
      <c r="NC19" s="172"/>
      <c r="ND19" s="172"/>
      <c r="NE19" s="173"/>
      <c r="NF19" s="168"/>
      <c r="NG19" s="135"/>
      <c r="NH19" s="136"/>
      <c r="NI19" s="136"/>
      <c r="NJ19" s="136"/>
      <c r="NK19" s="136"/>
      <c r="NL19" s="136"/>
      <c r="NM19" s="136"/>
      <c r="NN19" s="136"/>
      <c r="NO19" s="136"/>
      <c r="NP19" s="136"/>
      <c r="NQ19" s="136"/>
      <c r="NR19" s="137"/>
      <c r="NS19" s="145"/>
      <c r="NT19" s="135"/>
      <c r="NU19" s="137"/>
      <c r="NV19" s="135"/>
      <c r="NW19" s="137"/>
      <c r="NX19" s="161" t="str">
        <f>Stammdaten!$BZ$5</f>
        <v>Disziplin</v>
      </c>
      <c r="NY19" s="186" t="str">
        <f>Stammdaten!$CA$24</f>
        <v>Bewertung</v>
      </c>
      <c r="NZ19" s="186" t="str">
        <f>Stammdaten!$CA$15</f>
        <v>Resultatspalte</v>
      </c>
      <c r="OA19" s="197" t="str">
        <f>Stammdaten!$V$2</f>
        <v>Resultat</v>
      </c>
      <c r="OB19" s="186" t="str">
        <f>Stammdaten!$BZ$15</f>
        <v>Erreichtes Resultat</v>
      </c>
      <c r="OC19" s="197" t="str">
        <f>Stammdaten!$V$2</f>
        <v>Resultat</v>
      </c>
      <c r="OD19" s="146" t="str">
        <f>Stammdaten!$CA$23</f>
        <v>Maximalwert</v>
      </c>
      <c r="OE19" s="147"/>
      <c r="OF19" s="148"/>
      <c r="OG19" s="182" t="str">
        <f>Stammdaten!$CB$10</f>
        <v>Diplomausgabe</v>
      </c>
      <c r="OH19" s="157"/>
      <c r="OI19" s="158"/>
      <c r="OJ19" s="140"/>
      <c r="OK19" s="141"/>
      <c r="OL19" s="144"/>
      <c r="OM19" s="191" t="s">
        <v>339</v>
      </c>
      <c r="ON19" s="191" t="str">
        <f>$A$2</f>
        <v>D</v>
      </c>
      <c r="OO19" s="191" t="str">
        <f>Stammdaten!$BZ$7</f>
        <v>Teiler</v>
      </c>
      <c r="OP19" s="144"/>
      <c r="OQ19" s="145" t="str">
        <f>Stammdaten!$CB$21</f>
        <v>Med.-Pos.</v>
      </c>
      <c r="OR19" s="171"/>
      <c r="OS19" s="172"/>
      <c r="OT19" s="173"/>
      <c r="OU19" s="171"/>
      <c r="OV19" s="172"/>
      <c r="OW19" s="172"/>
      <c r="OX19" s="173"/>
      <c r="OY19" s="149"/>
      <c r="OZ19" s="145"/>
      <c r="PA19" s="207" t="str" cm="1">
        <f t="array" ref="PA19">INDEX(StdBS[StdNummer],$HP$1)</f>
        <v>BS.2</v>
      </c>
      <c r="PB19" s="196"/>
      <c r="PC19" s="135"/>
      <c r="PD19" s="136"/>
      <c r="PE19" s="136"/>
      <c r="PF19" s="136"/>
      <c r="PG19" s="136"/>
      <c r="PH19" s="136"/>
      <c r="PI19" s="136"/>
      <c r="PJ19" s="136"/>
      <c r="PK19" s="136"/>
      <c r="PL19" s="136"/>
      <c r="PM19" s="137"/>
      <c r="PN19" s="168"/>
      <c r="PO19" s="135"/>
      <c r="PP19" s="136"/>
      <c r="PQ19" s="136"/>
      <c r="PR19" s="136"/>
      <c r="PS19" s="136"/>
      <c r="PT19" s="136"/>
      <c r="PU19" s="136"/>
      <c r="PV19" s="136"/>
      <c r="PW19" s="136"/>
      <c r="PX19" s="136"/>
      <c r="PY19" s="136"/>
      <c r="PZ19" s="137"/>
      <c r="QA19" s="168"/>
      <c r="QB19" s="135"/>
      <c r="QC19" s="136"/>
      <c r="QD19" s="136"/>
      <c r="QE19" s="136"/>
      <c r="QF19" s="136"/>
      <c r="QG19" s="136"/>
      <c r="QH19" s="136"/>
      <c r="QI19" s="136"/>
      <c r="QJ19" s="136"/>
      <c r="QK19" s="136"/>
      <c r="QL19" s="137"/>
      <c r="QM19" s="164"/>
      <c r="QN19" s="135"/>
      <c r="QO19" s="136"/>
      <c r="QP19" s="137"/>
      <c r="QQ19" s="135"/>
      <c r="QR19" s="136"/>
      <c r="QS19" s="137"/>
      <c r="QT19" s="149"/>
      <c r="QU19" s="191" t="s">
        <v>339</v>
      </c>
      <c r="QV19" s="191" t="str">
        <f>$A$2</f>
        <v>D</v>
      </c>
      <c r="QW19" s="191" t="str">
        <f>Stammdaten!$BZ$7</f>
        <v>Teiler</v>
      </c>
      <c r="QX19" s="161" t="str">
        <f>Stammdaten!$BZ$5</f>
        <v>Disziplin</v>
      </c>
      <c r="QY19" s="186" t="str">
        <f>Stammdaten!$CA$24</f>
        <v>Bewertung</v>
      </c>
      <c r="QZ19" s="186" t="str">
        <f>Stammdaten!$CA$15</f>
        <v>Resultatspalte</v>
      </c>
      <c r="RA19" s="197" t="str">
        <f>Stammdaten!$V$2</f>
        <v>Resultat</v>
      </c>
      <c r="RB19" s="186" t="str">
        <f>Stammdaten!$BZ$15</f>
        <v>Erreichtes Resultat</v>
      </c>
      <c r="RC19" s="197" t="str">
        <f>Stammdaten!$V$2</f>
        <v>Resultat</v>
      </c>
      <c r="RD19" s="146" t="str">
        <f>Stammdaten!$CA$23</f>
        <v>Maximalwert</v>
      </c>
      <c r="RE19" s="147"/>
      <c r="RF19" s="148"/>
      <c r="RG19" s="182" t="str">
        <f>Stammdaten!$CB$10</f>
        <v>Diplomausgabe</v>
      </c>
      <c r="RH19" s="157"/>
      <c r="RI19" s="158"/>
      <c r="RJ19" s="170" t="str">
        <f>Stammdaten!$CB$21</f>
        <v>Med.-Pos.</v>
      </c>
      <c r="RK19" s="155"/>
      <c r="RL19" s="198" t="str" cm="1">
        <f t="array" ref="RL19">INDEX(StdBS[StdNummer],$PC$1)</f>
        <v>BS.3</v>
      </c>
      <c r="RM19" s="166"/>
      <c r="RN19" s="135"/>
      <c r="RO19" s="136"/>
      <c r="RP19" s="136"/>
      <c r="RQ19" s="136"/>
      <c r="RR19" s="136"/>
      <c r="RS19" s="136"/>
      <c r="RT19" s="136"/>
      <c r="RU19" s="136"/>
      <c r="RV19" s="136"/>
      <c r="RW19" s="136"/>
      <c r="RX19" s="137"/>
      <c r="RY19" s="168"/>
      <c r="RZ19" s="135"/>
      <c r="SA19" s="136"/>
      <c r="SB19" s="136"/>
      <c r="SC19" s="136"/>
      <c r="SD19" s="136"/>
      <c r="SE19" s="136"/>
      <c r="SF19" s="136"/>
      <c r="SG19" s="136"/>
      <c r="SH19" s="136"/>
      <c r="SI19" s="136"/>
      <c r="SJ19" s="137"/>
      <c r="SK19" s="168"/>
      <c r="SL19" s="135"/>
      <c r="SM19" s="136"/>
      <c r="SN19" s="136"/>
      <c r="SO19" s="136"/>
      <c r="SP19" s="136"/>
      <c r="SQ19" s="136"/>
      <c r="SR19" s="136"/>
      <c r="SS19" s="136"/>
      <c r="ST19" s="136"/>
      <c r="SU19" s="136"/>
      <c r="SV19" s="137"/>
      <c r="SW19" s="168"/>
      <c r="SX19" s="135"/>
      <c r="SY19" s="136"/>
      <c r="SZ19" s="136"/>
      <c r="TA19" s="136"/>
      <c r="TB19" s="136"/>
      <c r="TC19" s="136"/>
      <c r="TD19" s="136"/>
      <c r="TE19" s="136"/>
      <c r="TF19" s="136"/>
      <c r="TG19" s="136"/>
      <c r="TH19" s="137"/>
      <c r="TI19" s="168"/>
      <c r="TJ19" s="135"/>
      <c r="TK19" s="136"/>
      <c r="TL19" s="136"/>
      <c r="TM19" s="136"/>
      <c r="TN19" s="136"/>
      <c r="TO19" s="136"/>
      <c r="TP19" s="136"/>
      <c r="TQ19" s="136"/>
      <c r="TR19" s="136"/>
      <c r="TS19" s="136"/>
      <c r="TT19" s="136"/>
      <c r="TU19" s="137"/>
      <c r="TV19" s="155"/>
      <c r="TW19" s="135"/>
      <c r="TX19" s="136"/>
      <c r="TY19" s="136"/>
      <c r="TZ19" s="136"/>
      <c r="UA19" s="137"/>
      <c r="UB19" s="135"/>
      <c r="UC19" s="136"/>
      <c r="UD19" s="137"/>
      <c r="UE19" s="135"/>
      <c r="UF19" s="136"/>
      <c r="UG19" s="136"/>
      <c r="UH19" s="136"/>
      <c r="UI19" s="136"/>
      <c r="UJ19" s="136"/>
      <c r="UK19" s="136"/>
      <c r="UL19" s="136"/>
      <c r="UM19" s="136"/>
      <c r="UN19" s="136"/>
      <c r="UO19" s="136"/>
      <c r="UP19" s="137"/>
      <c r="UQ19" s="135"/>
      <c r="UR19" s="136"/>
      <c r="US19" s="137"/>
      <c r="UT19" s="135"/>
      <c r="UU19" s="136"/>
      <c r="UV19" s="136"/>
      <c r="UW19" s="136"/>
      <c r="UX19" s="137"/>
      <c r="UY19" s="135"/>
      <c r="UZ19" s="136"/>
      <c r="VA19" s="136"/>
      <c r="VB19" s="136"/>
      <c r="VC19" s="137"/>
      <c r="VD19" s="135"/>
      <c r="VE19" s="136"/>
      <c r="VF19" s="136"/>
      <c r="VG19" s="136"/>
      <c r="VH19" s="136"/>
      <c r="VI19" s="137"/>
      <c r="VJ19" s="154" t="str">
        <f>Stammdaten!$BZ$5</f>
        <v>Disziplin</v>
      </c>
      <c r="VK19" s="186" t="str">
        <f>Stammdaten!$CA$24</f>
        <v>Bewertung</v>
      </c>
      <c r="VL19" s="186" t="str">
        <f>Stammdaten!$CA$15</f>
        <v>Resultatspalte</v>
      </c>
      <c r="VM19" s="197" t="str">
        <f>Stammdaten!$V$2</f>
        <v>Resultat</v>
      </c>
      <c r="VN19" s="186" t="str">
        <f>Stammdaten!$BZ$15</f>
        <v>Erreichtes Resultat</v>
      </c>
      <c r="VO19" s="197" t="str">
        <f>Stammdaten!$V$2</f>
        <v>Resultat</v>
      </c>
      <c r="VP19" s="146" t="str">
        <f>Stammdaten!$CA$23</f>
        <v>Maximalwert</v>
      </c>
      <c r="VQ19" s="147"/>
      <c r="VR19" s="148"/>
      <c r="VS19" s="182" t="str">
        <f>Stammdaten!$CB$10</f>
        <v>Diplomausgabe</v>
      </c>
      <c r="VT19" s="157"/>
      <c r="VU19" s="158"/>
      <c r="VV19" s="154" t="str">
        <f>Stammdaten!$BZ$5</f>
        <v>Disziplin</v>
      </c>
      <c r="VW19" s="186" t="str">
        <f>Stammdaten!$CA$24</f>
        <v>Bewertung</v>
      </c>
      <c r="VX19" s="186" t="str">
        <f>Stammdaten!$CA$15</f>
        <v>Resultatspalte</v>
      </c>
      <c r="VY19" s="197" t="str">
        <f>Stammdaten!$V$2</f>
        <v>Resultat</v>
      </c>
      <c r="VZ19" s="186" t="str">
        <f>Stammdaten!$BZ$15</f>
        <v>Erreichtes Resultat</v>
      </c>
      <c r="WA19" s="197" t="str">
        <f>Stammdaten!$V$2</f>
        <v>Resultat</v>
      </c>
      <c r="WB19" s="146" t="str">
        <f>Stammdaten!$CA$23</f>
        <v>Maximalwert</v>
      </c>
      <c r="WC19" s="147"/>
      <c r="WD19" s="148"/>
      <c r="WE19" s="182" t="str">
        <f>Stammdaten!$CB$10</f>
        <v>Diplomausgabe</v>
      </c>
      <c r="WF19" s="157"/>
      <c r="WG19" s="158"/>
      <c r="WH19" s="154" t="str">
        <f>Stammdaten!$BZ$5</f>
        <v>Disziplin</v>
      </c>
      <c r="WI19" s="186" t="str">
        <f>Stammdaten!$CA$24</f>
        <v>Bewertung</v>
      </c>
      <c r="WJ19" s="186" t="str">
        <f>Stammdaten!$CA$15</f>
        <v>Resultatspalte</v>
      </c>
      <c r="WK19" s="197" t="str">
        <f>Stammdaten!$V$2</f>
        <v>Resultat</v>
      </c>
      <c r="WL19" s="186" t="str">
        <f>Stammdaten!$BZ$15</f>
        <v>Erreichtes Resultat</v>
      </c>
      <c r="WM19" s="197" t="str">
        <f>Stammdaten!$V$2</f>
        <v>Resultat</v>
      </c>
      <c r="WN19" s="146" t="str">
        <f>Stammdaten!$CA$23</f>
        <v>Maximalwert</v>
      </c>
      <c r="WO19" s="147"/>
      <c r="WP19" s="148"/>
      <c r="WQ19" s="182" t="str">
        <f>Stammdaten!$CB$10</f>
        <v>Diplomausgabe</v>
      </c>
      <c r="WR19" s="157"/>
      <c r="WS19" s="158"/>
      <c r="WT19" s="135"/>
      <c r="WU19" s="136"/>
      <c r="WV19" s="136"/>
      <c r="WW19" s="136"/>
      <c r="WX19" s="137"/>
      <c r="WY19" s="135"/>
      <c r="WZ19" s="136"/>
      <c r="XA19" s="136"/>
      <c r="XB19" s="136"/>
      <c r="XC19" s="137"/>
      <c r="XD19" s="149"/>
      <c r="XE19" s="149"/>
      <c r="XF19" s="149"/>
      <c r="XG19" s="208" t="s">
        <v>332</v>
      </c>
      <c r="XH19" s="191" t="s">
        <v>339</v>
      </c>
      <c r="XI19" s="191" t="str">
        <f>$A$2</f>
        <v>D</v>
      </c>
      <c r="XJ19" s="199" t="str">
        <f>Stammdaten!$BZ$7</f>
        <v>Teiler</v>
      </c>
      <c r="XK19" s="144"/>
      <c r="XL19" s="170" t="str">
        <f>Stammdaten!$CB$21</f>
        <v>Med.-Pos.</v>
      </c>
      <c r="XM19" s="171"/>
      <c r="XN19" s="172"/>
      <c r="XO19" s="172"/>
      <c r="XP19" s="173"/>
      <c r="XQ19" s="171"/>
      <c r="XR19" s="172"/>
      <c r="XS19" s="172"/>
      <c r="XT19" s="173"/>
      <c r="XU19" s="174"/>
      <c r="XV19" s="145"/>
      <c r="XW19" s="207" t="str" cm="1">
        <f t="array" ref="XW19">INDEX(StdBS[StdNummer],$RN$1)</f>
        <v>BS.4</v>
      </c>
      <c r="XX19" s="164"/>
      <c r="XY19" s="140"/>
      <c r="XZ19" s="140"/>
      <c r="YA19" s="140"/>
      <c r="YB19" s="141"/>
      <c r="YC19" s="144"/>
      <c r="YD19" s="191" t="s">
        <v>339</v>
      </c>
      <c r="YE19" s="191" t="str">
        <f>$A$2</f>
        <v>D</v>
      </c>
      <c r="YF19" s="191" t="str">
        <f>Stammdaten!$BZ$7</f>
        <v>Teiler</v>
      </c>
      <c r="YG19" s="144"/>
      <c r="YH19" s="171"/>
      <c r="YI19" s="172"/>
      <c r="YJ19" s="172"/>
      <c r="YK19" s="172"/>
      <c r="YL19" s="173"/>
      <c r="YM19" s="209" t="str">
        <f>Stammdaten!$BM$6</f>
        <v>BS.1</v>
      </c>
      <c r="YN19" s="209" t="str">
        <f>Stammdaten!$BM$7</f>
        <v>BS.2</v>
      </c>
      <c r="YO19" s="209" t="str">
        <f>Stammdaten!$BM$8</f>
        <v>BS.3</v>
      </c>
      <c r="YP19" s="209" t="str">
        <f>Stammdaten!$BM$9</f>
        <v>BS.4</v>
      </c>
      <c r="YQ19" s="171"/>
      <c r="YR19" s="172"/>
      <c r="YS19" s="172"/>
      <c r="YT19" s="173"/>
      <c r="YU19" s="175"/>
      <c r="YV19" s="176"/>
      <c r="YW19" s="175"/>
      <c r="YX19" s="176"/>
      <c r="YY19" s="175"/>
      <c r="YZ19" s="176"/>
      <c r="ZA19" s="175"/>
      <c r="ZB19" s="176"/>
      <c r="ZC19" s="164"/>
      <c r="ZD19" s="149"/>
      <c r="ZE19" s="155"/>
      <c r="ZF19" s="198" t="str">
        <f>Stammdaten!$BM$6&amp;" bis "&amp;Stammdaten!$BM$9</f>
        <v>BS.1 bis BS.4</v>
      </c>
      <c r="ZG19" s="177"/>
      <c r="ZH19" s="203"/>
      <c r="ZI19" s="204"/>
      <c r="ZJ19" s="204"/>
      <c r="ZK19" s="205"/>
      <c r="ZL19" s="181"/>
      <c r="ZM19" s="135"/>
      <c r="ZN19" s="136"/>
      <c r="ZO19" s="136"/>
      <c r="ZP19" s="136"/>
      <c r="ZQ19" s="136"/>
      <c r="ZR19" s="136"/>
      <c r="ZS19" s="136"/>
      <c r="ZT19" s="136"/>
      <c r="ZU19" s="136"/>
      <c r="ZV19" s="136"/>
      <c r="ZW19" s="136"/>
      <c r="ZX19" s="136"/>
      <c r="ZY19" s="136"/>
      <c r="ZZ19" s="136"/>
      <c r="AAA19" s="136"/>
      <c r="AAB19" s="136"/>
      <c r="AAC19" s="136"/>
      <c r="AAD19" s="137"/>
      <c r="AAE19" s="170"/>
      <c r="AAF19" s="135" t="str" cm="1">
        <f t="array" ref="AAF19">INDEX(StdDisziplinen[StdDisziplin],AAF$3)</f>
        <v>12-Min.-Lauf (Halle)</v>
      </c>
      <c r="AAG19" s="136"/>
      <c r="AAH19" s="136"/>
      <c r="AAI19" s="136"/>
      <c r="AAJ19" s="137"/>
      <c r="AAK19" s="168"/>
      <c r="AAL19" s="135" t="str" cm="1">
        <f t="array" ref="AAL19">INDEX(StdDisziplinen[StdDisziplin],AAL$3)</f>
        <v>12-Min.-Lauf (im Freien)</v>
      </c>
      <c r="AAM19" s="136"/>
      <c r="AAN19" s="136"/>
      <c r="AAO19" s="136"/>
      <c r="AAP19" s="137"/>
      <c r="AAQ19" s="168"/>
      <c r="AAR19" s="135"/>
      <c r="AAS19" s="136"/>
      <c r="AAT19" s="136"/>
      <c r="AAU19" s="136"/>
      <c r="AAV19" s="136"/>
      <c r="AAW19" s="136"/>
      <c r="AAX19" s="136"/>
      <c r="AAY19" s="136"/>
      <c r="AAZ19" s="136"/>
      <c r="ABA19" s="136"/>
      <c r="ABB19" s="137"/>
      <c r="ABC19" s="168"/>
      <c r="ABD19" s="135"/>
      <c r="ABE19" s="136"/>
      <c r="ABF19" s="136"/>
      <c r="ABG19" s="136"/>
      <c r="ABH19" s="136"/>
      <c r="ABI19" s="136"/>
      <c r="ABJ19" s="136"/>
      <c r="ABK19" s="136"/>
      <c r="ABL19" s="136"/>
      <c r="ABM19" s="136"/>
      <c r="ABN19" s="137"/>
      <c r="ABO19" s="168"/>
      <c r="ABP19" s="135" t="str" cm="1">
        <f t="array" ref="ABP19">INDEX(StdDisziplinen[StdDisziplin],ABP$3)</f>
        <v>60-m-Lauf</v>
      </c>
      <c r="ABQ19" s="136"/>
      <c r="ABR19" s="136"/>
      <c r="ABS19" s="136"/>
      <c r="ABT19" s="137"/>
      <c r="ABU19" s="168"/>
      <c r="ABV19" s="135" t="str" cm="1">
        <f t="array" ref="ABV19">INDEX(StdDisziplinen[StdDisziplin],ABV$3)</f>
        <v>80-m-Lauf</v>
      </c>
      <c r="ABW19" s="136"/>
      <c r="ABX19" s="136"/>
      <c r="ABY19" s="136"/>
      <c r="ABZ19" s="137"/>
      <c r="ACA19" s="169"/>
      <c r="ACB19" s="135"/>
      <c r="ACC19" s="136"/>
      <c r="ACD19" s="136"/>
      <c r="ACE19" s="136"/>
      <c r="ACF19" s="136"/>
      <c r="ACG19" s="136"/>
      <c r="ACH19" s="136"/>
      <c r="ACI19" s="136"/>
      <c r="ACJ19" s="136"/>
      <c r="ACK19" s="136"/>
      <c r="ACL19" s="136"/>
      <c r="ACM19" s="137"/>
      <c r="ACN19" s="102"/>
    </row>
    <row r="20" spans="1:768" ht="14.45" customHeight="1" thickBot="1">
      <c r="A20" s="102"/>
      <c r="B20" s="132" t="s">
        <v>28</v>
      </c>
      <c r="C20" s="133"/>
      <c r="D20" s="183"/>
      <c r="E20" s="210" t="s">
        <v>94</v>
      </c>
      <c r="F20" s="211"/>
      <c r="G20" s="212" t="s">
        <v>129</v>
      </c>
      <c r="H20" s="212"/>
      <c r="I20" s="212"/>
      <c r="J20" s="213"/>
      <c r="K20" s="213"/>
      <c r="L20" s="213"/>
      <c r="M20" s="213"/>
      <c r="N20" s="213"/>
      <c r="O20" s="213"/>
      <c r="P20" s="213"/>
      <c r="Q20" s="213"/>
      <c r="R20" s="214"/>
      <c r="S20" s="212" t="str">
        <f>$G$20</f>
        <v>Effektiv erzieltes Resultat eintragen:</v>
      </c>
      <c r="T20" s="212"/>
      <c r="U20" s="212"/>
      <c r="V20" s="213"/>
      <c r="W20" s="213"/>
      <c r="X20" s="213"/>
      <c r="Y20" s="213"/>
      <c r="Z20" s="213"/>
      <c r="AA20" s="213"/>
      <c r="AB20" s="213"/>
      <c r="AC20" s="213"/>
      <c r="AD20" s="214"/>
      <c r="AE20" s="212" t="str">
        <f>$G$20</f>
        <v>Effektiv erzieltes Resultat eintragen:</v>
      </c>
      <c r="AF20" s="212"/>
      <c r="AG20" s="212"/>
      <c r="AH20" s="213"/>
      <c r="AI20" s="213"/>
      <c r="AJ20" s="213"/>
      <c r="AK20" s="213"/>
      <c r="AL20" s="213"/>
      <c r="AM20" s="213"/>
      <c r="AN20" s="213"/>
      <c r="AO20" s="213"/>
      <c r="AP20" s="214"/>
      <c r="AQ20" s="212" t="str">
        <f>$G$20</f>
        <v>Effektiv erzieltes Resultat eintragen:</v>
      </c>
      <c r="AR20" s="212"/>
      <c r="AS20" s="212"/>
      <c r="AT20" s="213"/>
      <c r="AU20" s="213"/>
      <c r="AV20" s="213"/>
      <c r="AW20" s="213"/>
      <c r="AX20" s="213"/>
      <c r="AY20" s="213"/>
      <c r="AZ20" s="213"/>
      <c r="BA20" s="213"/>
      <c r="BB20" s="214"/>
      <c r="BC20" s="212" t="str">
        <f>$G$20</f>
        <v>Effektiv erzieltes Resultat eintragen:</v>
      </c>
      <c r="BD20" s="212"/>
      <c r="BE20" s="212"/>
      <c r="BF20" s="213"/>
      <c r="BG20" s="213"/>
      <c r="BH20" s="213"/>
      <c r="BI20" s="213"/>
      <c r="BJ20" s="213"/>
      <c r="BK20" s="213"/>
      <c r="BL20" s="213"/>
      <c r="BM20" s="213"/>
      <c r="BN20" s="214"/>
      <c r="BO20" s="212" t="str">
        <f>$G$20</f>
        <v>Effektiv erzieltes Resultat eintragen:</v>
      </c>
      <c r="BP20" s="212"/>
      <c r="BQ20" s="212"/>
      <c r="BR20" s="213"/>
      <c r="BS20" s="213"/>
      <c r="BT20" s="213"/>
      <c r="BU20" s="213"/>
      <c r="BV20" s="213"/>
      <c r="BW20" s="213"/>
      <c r="BX20" s="213"/>
      <c r="BY20" s="213"/>
      <c r="BZ20" s="214"/>
      <c r="CA20" s="212" t="str">
        <f>$G$20</f>
        <v>Effektiv erzieltes Resultat eintragen:</v>
      </c>
      <c r="CB20" s="212"/>
      <c r="CC20" s="212"/>
      <c r="CD20" s="213"/>
      <c r="CE20" s="213"/>
      <c r="CF20" s="213"/>
      <c r="CG20" s="213"/>
      <c r="CH20" s="213"/>
      <c r="CI20" s="213"/>
      <c r="CJ20" s="213"/>
      <c r="CK20" s="213"/>
      <c r="CL20" s="214"/>
      <c r="CM20" s="212" t="str">
        <f>$G$20</f>
        <v>Effektiv erzieltes Resultat eintragen:</v>
      </c>
      <c r="CN20" s="212"/>
      <c r="CO20" s="212"/>
      <c r="CP20" s="213"/>
      <c r="CQ20" s="213"/>
      <c r="CR20" s="213"/>
      <c r="CS20" s="213"/>
      <c r="CT20" s="213"/>
      <c r="CU20" s="213"/>
      <c r="CV20" s="213"/>
      <c r="CW20" s="213"/>
      <c r="CX20" s="214"/>
      <c r="CY20" s="212" t="str">
        <f>$G$20</f>
        <v>Effektiv erzieltes Resultat eintragen:</v>
      </c>
      <c r="CZ20" s="212"/>
      <c r="DA20" s="212"/>
      <c r="DB20" s="213"/>
      <c r="DC20" s="213"/>
      <c r="DD20" s="213"/>
      <c r="DE20" s="213"/>
      <c r="DF20" s="213"/>
      <c r="DG20" s="213"/>
      <c r="DH20" s="213"/>
      <c r="DI20" s="213"/>
      <c r="DJ20" s="215"/>
      <c r="DK20" s="216" t="str" cm="1">
        <f t="array" aca="1" ref="DK20" ca="1">INDEX(INDIRECT($B$4),DK$4)</f>
        <v>60-m-Lauf</v>
      </c>
      <c r="DL20" s="216" t="str" cm="1">
        <f t="array" aca="1" ref="DL20" ca="1">INDEX(INDIRECT($B$4),DL$4)</f>
        <v>80-m-Lauf</v>
      </c>
      <c r="DM20" s="216" t="str" cm="1">
        <f t="array" aca="1" ref="DM20" ca="1">INDEX(INDIRECT($B$4),DM$4)</f>
        <v>60-m-Lauf</v>
      </c>
      <c r="DN20" s="216" t="str" cm="1">
        <f t="array" aca="1" ref="DN20" ca="1">INDEX(INDIRECT($B$4),DN$4)</f>
        <v>80-m-Lauf</v>
      </c>
      <c r="DO20" s="217"/>
      <c r="DP20" s="218"/>
      <c r="DQ20" s="218"/>
      <c r="DR20" s="218"/>
      <c r="DS20" s="218"/>
      <c r="DT20" s="219"/>
      <c r="DU20" s="217"/>
      <c r="DV20" s="217"/>
      <c r="DW20" s="220" t="str">
        <f>Stammdaten!$BZ$28</f>
        <v>Format</v>
      </c>
      <c r="DX20" s="217"/>
      <c r="DY20" s="220" t="str">
        <f>Stammdaten!$BZ$10</f>
        <v>Ausgabe</v>
      </c>
      <c r="DZ20" s="200"/>
      <c r="EA20" s="201"/>
      <c r="EB20" s="202"/>
      <c r="EC20" s="115" t="str">
        <f>Stammdaten!$CA$26</f>
        <v>Spalte 1</v>
      </c>
      <c r="ED20" s="115" t="str">
        <f>Stammdaten!$CB$26</f>
        <v>Spalte 2</v>
      </c>
      <c r="EE20" s="115" t="str">
        <f>Stammdaten!$CC$26</f>
        <v>Spalte 3</v>
      </c>
      <c r="EF20" s="221" t="str" cm="1">
        <f t="array" aca="1" ref="EF20" ca="1">INDEX(INDIRECT($B$4),EF$4)</f>
        <v>12-Min.-Lauf (Halle)</v>
      </c>
      <c r="EG20" s="221" t="str" cm="1">
        <f t="array" aca="1" ref="EG20" ca="1">INDEX(INDIRECT($B$4),EG$4)</f>
        <v>12-Min.-Lauf (im Freien)</v>
      </c>
      <c r="EH20" s="221" t="str" cm="1">
        <f t="array" aca="1" ref="EH20" ca="1">INDEX(INDIRECT($B$4),EH$4)</f>
        <v>12-Min.-Lauf (Halle)</v>
      </c>
      <c r="EI20" s="221" t="str" cm="1">
        <f t="array" aca="1" ref="EI20" ca="1">INDEX(INDIRECT($B$4),EI$4)</f>
        <v>12-Min.-Lauf (im Freien)</v>
      </c>
      <c r="EJ20" s="217"/>
      <c r="EK20" s="218"/>
      <c r="EL20" s="218"/>
      <c r="EM20" s="218"/>
      <c r="EN20" s="218"/>
      <c r="EO20" s="219"/>
      <c r="EP20" s="217"/>
      <c r="EQ20" s="217"/>
      <c r="ER20" s="220" t="str">
        <f>Stammdaten!$BZ$28</f>
        <v>Format</v>
      </c>
      <c r="ES20" s="217"/>
      <c r="ET20" s="220" t="str">
        <f>Stammdaten!$BZ$10</f>
        <v>Ausgabe</v>
      </c>
      <c r="EU20" s="200"/>
      <c r="EV20" s="201"/>
      <c r="EW20" s="202"/>
      <c r="EX20" s="115" t="str">
        <f>Stammdaten!$CA$26</f>
        <v>Spalte 1</v>
      </c>
      <c r="EY20" s="115" t="str">
        <f>Stammdaten!$CB$26</f>
        <v>Spalte 2</v>
      </c>
      <c r="EZ20" s="115" t="str">
        <f>Stammdaten!$CC$26</f>
        <v>Spalte 3</v>
      </c>
      <c r="FA20" s="216" t="str" cm="1">
        <f t="array" aca="1" ref="FA20" ca="1">INDEX(INDIRECT($B$4),FA$4)</f>
        <v>Hochsprung</v>
      </c>
      <c r="FB20" s="216" t="str" cm="1">
        <f t="array" aca="1" ref="FB20" ca="1">INDEX(INDIRECT($B$4),FB$4)</f>
        <v>Weitsprung</v>
      </c>
      <c r="FC20" s="216" t="str" cm="1">
        <f t="array" aca="1" ref="FC20" ca="1">INDEX(INDIRECT($B$4),FC$4)</f>
        <v>Hochsprung</v>
      </c>
      <c r="FD20" s="216" t="str" cm="1">
        <f t="array" aca="1" ref="FD20" ca="1">INDEX(INDIRECT($B$4),FD$4)</f>
        <v>Weitsprung</v>
      </c>
      <c r="FE20" s="217"/>
      <c r="FF20" s="218"/>
      <c r="FG20" s="218"/>
      <c r="FH20" s="218"/>
      <c r="FI20" s="218"/>
      <c r="FJ20" s="219"/>
      <c r="FK20" s="217"/>
      <c r="FL20" s="217"/>
      <c r="FM20" s="220" t="str">
        <f>Stammdaten!$BZ$28</f>
        <v>Format</v>
      </c>
      <c r="FN20" s="217"/>
      <c r="FO20" s="220" t="str">
        <f>Stammdaten!$BZ$10</f>
        <v>Ausgabe</v>
      </c>
      <c r="FP20" s="200"/>
      <c r="FQ20" s="201"/>
      <c r="FR20" s="202"/>
      <c r="FS20" s="115" t="str">
        <f>Stammdaten!$CA$26</f>
        <v>Spalte 1</v>
      </c>
      <c r="FT20" s="115" t="str">
        <f>Stammdaten!$CB$26</f>
        <v>Spalte 2</v>
      </c>
      <c r="FU20" s="115" t="str">
        <f>Stammdaten!$CC$26</f>
        <v>Spalte 3</v>
      </c>
      <c r="FV20" s="216" t="str" cm="1">
        <f t="array" aca="1" ref="FV20" ca="1">INDEX(INDIRECT($B$4),FV$4)</f>
        <v>Ballwurf</v>
      </c>
      <c r="FW20" s="216" t="str" cm="1">
        <f t="array" aca="1" ref="FW20" ca="1">INDEX(INDIRECT($B$4),FW$4)</f>
        <v>Kugelstossen</v>
      </c>
      <c r="FX20" s="216" t="str" cm="1">
        <f t="array" aca="1" ref="FX20" ca="1">INDEX(INDIRECT($B$4),FX$4)</f>
        <v>Speerwurf</v>
      </c>
      <c r="FY20" s="216" t="str" cm="1">
        <f t="array" aca="1" ref="FY20" ca="1">INDEX(INDIRECT($B$4),FY$4)</f>
        <v>Ballwurf</v>
      </c>
      <c r="FZ20" s="216" t="str" cm="1">
        <f t="array" aca="1" ref="FZ20" ca="1">INDEX(INDIRECT($B$4),FZ$4)</f>
        <v>Kugelstossen</v>
      </c>
      <c r="GA20" s="216" t="str" cm="1">
        <f t="array" aca="1" ref="GA20" ca="1">INDEX(INDIRECT($B$4),GA$4)</f>
        <v>Speerwurf</v>
      </c>
      <c r="GB20" s="217"/>
      <c r="GC20" s="218"/>
      <c r="GD20" s="218"/>
      <c r="GE20" s="218"/>
      <c r="GF20" s="218"/>
      <c r="GG20" s="219"/>
      <c r="GH20" s="217"/>
      <c r="GI20" s="217"/>
      <c r="GJ20" s="220" t="str">
        <f>Stammdaten!$BZ$28</f>
        <v>Format</v>
      </c>
      <c r="GK20" s="217"/>
      <c r="GL20" s="220" t="str">
        <f>Stammdaten!$BZ$10</f>
        <v>Ausgabe</v>
      </c>
      <c r="GM20" s="200"/>
      <c r="GN20" s="201"/>
      <c r="GO20" s="202"/>
      <c r="GP20" s="115" t="str">
        <f>Stammdaten!$CA$26</f>
        <v>Spalte 1</v>
      </c>
      <c r="GQ20" s="115" t="str">
        <f>Stammdaten!$CB$26</f>
        <v>Spalte 2</v>
      </c>
      <c r="GR20" s="115" t="str">
        <f>Stammdaten!$CC$26</f>
        <v>Spalte 3</v>
      </c>
      <c r="GS20" s="135"/>
      <c r="GT20" s="136"/>
      <c r="GU20" s="136"/>
      <c r="GV20" s="137"/>
      <c r="GW20" s="219"/>
      <c r="GX20" s="218"/>
      <c r="GY20" s="218"/>
      <c r="GZ20" s="218"/>
      <c r="HA20" s="219"/>
      <c r="HB20" s="222"/>
      <c r="HC20" s="200"/>
      <c r="HD20" s="201"/>
      <c r="HE20" s="201"/>
      <c r="HF20" s="201"/>
      <c r="HG20" s="202"/>
      <c r="HH20" s="200"/>
      <c r="HI20" s="201"/>
      <c r="HJ20" s="201"/>
      <c r="HK20" s="202"/>
      <c r="HL20" s="217"/>
      <c r="HM20" s="223"/>
      <c r="HN20" s="224"/>
      <c r="HO20" s="214"/>
      <c r="HP20" s="212" t="str">
        <f>$G$20</f>
        <v>Effektiv erzieltes Resultat eintragen:</v>
      </c>
      <c r="HQ20" s="212"/>
      <c r="HR20" s="225"/>
      <c r="HS20" s="225"/>
      <c r="HT20" s="226"/>
      <c r="HU20" s="226"/>
      <c r="HV20" s="226"/>
      <c r="HW20" s="226"/>
      <c r="HX20" s="214"/>
      <c r="HY20" s="212" t="str">
        <f>$G$20</f>
        <v>Effektiv erzieltes Resultat eintragen:</v>
      </c>
      <c r="HZ20" s="212"/>
      <c r="IA20" s="225"/>
      <c r="IB20" s="225"/>
      <c r="IC20" s="226"/>
      <c r="ID20" s="226"/>
      <c r="IE20" s="226"/>
      <c r="IF20" s="226"/>
      <c r="IG20" s="214"/>
      <c r="IH20" s="212" t="str">
        <f>$G$20</f>
        <v>Effektiv erzieltes Resultat eintragen:</v>
      </c>
      <c r="II20" s="212"/>
      <c r="IJ20" s="225"/>
      <c r="IK20" s="225"/>
      <c r="IL20" s="226"/>
      <c r="IM20" s="226"/>
      <c r="IN20" s="226"/>
      <c r="IO20" s="226"/>
      <c r="IP20" s="214"/>
      <c r="IQ20" s="212" t="str">
        <f>$G$20</f>
        <v>Effektiv erzieltes Resultat eintragen:</v>
      </c>
      <c r="IR20" s="212"/>
      <c r="IS20" s="225"/>
      <c r="IT20" s="225"/>
      <c r="IU20" s="226"/>
      <c r="IV20" s="226"/>
      <c r="IW20" s="226"/>
      <c r="IX20" s="226"/>
      <c r="IY20" s="214"/>
      <c r="IZ20" s="212" t="str">
        <f>$G$20</f>
        <v>Effektiv erzieltes Resultat eintragen:</v>
      </c>
      <c r="JA20" s="212"/>
      <c r="JB20" s="225"/>
      <c r="JC20" s="225"/>
      <c r="JD20" s="226"/>
      <c r="JE20" s="226"/>
      <c r="JF20" s="226"/>
      <c r="JG20" s="226"/>
      <c r="JH20" s="214"/>
      <c r="JI20" s="212" t="str">
        <f>$G$20</f>
        <v>Effektiv erzieltes Resultat eintragen:</v>
      </c>
      <c r="JJ20" s="212"/>
      <c r="JK20" s="225"/>
      <c r="JL20" s="225"/>
      <c r="JM20" s="226"/>
      <c r="JN20" s="226"/>
      <c r="JO20" s="226"/>
      <c r="JP20" s="226"/>
      <c r="JQ20" s="215"/>
      <c r="KP20" s="215"/>
      <c r="KQ20" s="215"/>
      <c r="KR20" s="215"/>
      <c r="KS20" s="215"/>
      <c r="KT20" s="215"/>
      <c r="KU20" s="215"/>
      <c r="KV20" s="215"/>
      <c r="KW20" s="215"/>
      <c r="KX20" s="215"/>
      <c r="KY20" s="215"/>
      <c r="KZ20" s="215"/>
      <c r="LA20" s="215"/>
      <c r="LB20" s="188" t="str">
        <f>Stammdaten!$CA$3</f>
        <v>Dispensationen</v>
      </c>
      <c r="LC20" s="189"/>
      <c r="LD20" s="190"/>
      <c r="LE20" s="188" t="str">
        <f>Stammdaten!$CC$25</f>
        <v>Nullwerte</v>
      </c>
      <c r="LF20" s="189"/>
      <c r="LG20" s="190"/>
      <c r="LH20" s="227">
        <v>1</v>
      </c>
      <c r="LI20" s="217"/>
      <c r="LJ20" s="217"/>
      <c r="LK20" s="220" t="str">
        <f>Stammdaten!$BZ$28</f>
        <v>Format</v>
      </c>
      <c r="LL20" s="217"/>
      <c r="LM20" s="220" t="str">
        <f>Stammdaten!$BZ$10</f>
        <v>Ausgabe</v>
      </c>
      <c r="LN20" s="200"/>
      <c r="LO20" s="201"/>
      <c r="LP20" s="202"/>
      <c r="LQ20" s="115" t="str">
        <f>Stammdaten!$CA$26</f>
        <v>Spalte 1</v>
      </c>
      <c r="LR20" s="115" t="str">
        <f>Stammdaten!$CB$26</f>
        <v>Spalte 2</v>
      </c>
      <c r="LS20" s="115" t="str">
        <f>Stammdaten!$CC$26</f>
        <v>Spalte 3</v>
      </c>
      <c r="LT20" s="227">
        <v>2</v>
      </c>
      <c r="LU20" s="217"/>
      <c r="LV20" s="217"/>
      <c r="LW20" s="220" t="str">
        <f>Stammdaten!$BZ$28</f>
        <v>Format</v>
      </c>
      <c r="LX20" s="217"/>
      <c r="LY20" s="220" t="str">
        <f>Stammdaten!$BZ$10</f>
        <v>Ausgabe</v>
      </c>
      <c r="LZ20" s="200"/>
      <c r="MA20" s="201"/>
      <c r="MB20" s="202"/>
      <c r="MC20" s="115" t="str">
        <f>Stammdaten!$CA$26</f>
        <v>Spalte 1</v>
      </c>
      <c r="MD20" s="115" t="str">
        <f>Stammdaten!$CB$26</f>
        <v>Spalte 2</v>
      </c>
      <c r="ME20" s="115" t="str">
        <f>Stammdaten!$CC$26</f>
        <v>Spalte 3</v>
      </c>
      <c r="MF20" s="227">
        <v>3</v>
      </c>
      <c r="MG20" s="217"/>
      <c r="MH20" s="217"/>
      <c r="MI20" s="220" t="str">
        <f>Stammdaten!$BZ$28</f>
        <v>Format</v>
      </c>
      <c r="MJ20" s="217"/>
      <c r="MK20" s="220" t="str">
        <f>Stammdaten!$BZ$10</f>
        <v>Ausgabe</v>
      </c>
      <c r="ML20" s="200"/>
      <c r="MM20" s="201"/>
      <c r="MN20" s="202"/>
      <c r="MO20" s="115" t="str">
        <f>Stammdaten!$CA$26</f>
        <v>Spalte 1</v>
      </c>
      <c r="MP20" s="115" t="str">
        <f>Stammdaten!$CB$26</f>
        <v>Spalte 2</v>
      </c>
      <c r="MQ20" s="228" t="str">
        <f>Stammdaten!$CC$26</f>
        <v>Spalte 3</v>
      </c>
      <c r="MR20" s="229"/>
      <c r="MS20" s="218"/>
      <c r="MT20" s="218"/>
      <c r="MU20" s="218"/>
      <c r="MV20" s="220"/>
      <c r="MW20" s="217"/>
      <c r="MX20" s="127"/>
      <c r="MY20" s="200"/>
      <c r="MZ20" s="201"/>
      <c r="NA20" s="201"/>
      <c r="NB20" s="201"/>
      <c r="NC20" s="201"/>
      <c r="ND20" s="201"/>
      <c r="NE20" s="202"/>
      <c r="NF20" s="214"/>
      <c r="NG20" s="212" t="str">
        <f>$G$20</f>
        <v>Effektiv erzieltes Resultat eintragen:</v>
      </c>
      <c r="NH20" s="212"/>
      <c r="NI20" s="225"/>
      <c r="NJ20" s="225"/>
      <c r="NK20" s="213"/>
      <c r="NL20" s="213"/>
      <c r="NM20" s="213"/>
      <c r="NN20" s="213"/>
      <c r="NO20" s="213"/>
      <c r="NP20" s="213"/>
      <c r="NQ20" s="213"/>
      <c r="NR20" s="213"/>
      <c r="NS20" s="155"/>
      <c r="NT20" s="216" t="str" cm="1">
        <f t="array" aca="1" ref="NT20" ca="1">INDEX(INDIRECT($B$4),NT$4)</f>
        <v>Geräteturnen</v>
      </c>
      <c r="NU20" s="216" t="str" cm="1">
        <f t="array" aca="1" ref="NU20" ca="1">INDEX(INDIRECT($B$4),NU$4)</f>
        <v>Parkour</v>
      </c>
      <c r="NV20" s="230" t="str" cm="1">
        <f t="array" aca="1" ref="NV20" ca="1">INDEX(INDIRECT($B$4),NV$4)</f>
        <v>Geräteturnen</v>
      </c>
      <c r="NW20" s="230" t="str" cm="1">
        <f t="array" aca="1" ref="NW20" ca="1">INDEX(INDIRECT($B$4),NW$4)</f>
        <v>Parkour</v>
      </c>
      <c r="NX20" s="219"/>
      <c r="NY20" s="217"/>
      <c r="NZ20" s="217"/>
      <c r="OA20" s="220" t="str">
        <f>Stammdaten!$BZ$28</f>
        <v>Format</v>
      </c>
      <c r="OB20" s="217"/>
      <c r="OC20" s="220" t="str">
        <f>Stammdaten!$BZ$10</f>
        <v>Ausgabe</v>
      </c>
      <c r="OD20" s="200"/>
      <c r="OE20" s="201"/>
      <c r="OF20" s="202"/>
      <c r="OG20" s="115" t="str">
        <f>Stammdaten!$CA$26</f>
        <v>Spalte 1</v>
      </c>
      <c r="OH20" s="115" t="str">
        <f>Stammdaten!$CB$26</f>
        <v>Spalte 2</v>
      </c>
      <c r="OI20" s="115" t="str">
        <f>Stammdaten!$CC$26</f>
        <v>Spalte 3</v>
      </c>
      <c r="OJ20" s="136"/>
      <c r="OK20" s="137"/>
      <c r="OL20" s="219"/>
      <c r="OM20" s="218"/>
      <c r="ON20" s="218"/>
      <c r="OO20" s="218"/>
      <c r="OP20" s="219"/>
      <c r="OQ20" s="222"/>
      <c r="OR20" s="200"/>
      <c r="OS20" s="201"/>
      <c r="OT20" s="202"/>
      <c r="OU20" s="200"/>
      <c r="OV20" s="201"/>
      <c r="OW20" s="201"/>
      <c r="OX20" s="202"/>
      <c r="OY20" s="217"/>
      <c r="OZ20" s="223"/>
      <c r="PA20" s="224"/>
      <c r="PB20" s="214"/>
      <c r="PC20" s="212" t="str">
        <f>$G$20</f>
        <v>Effektiv erzieltes Resultat eintragen:</v>
      </c>
      <c r="PD20" s="212"/>
      <c r="PE20" s="225"/>
      <c r="PF20" s="213"/>
      <c r="PG20" s="213"/>
      <c r="PH20" s="213"/>
      <c r="PI20" s="213"/>
      <c r="PJ20" s="213"/>
      <c r="PK20" s="213"/>
      <c r="PL20" s="213"/>
      <c r="PM20" s="213"/>
      <c r="PN20" s="214"/>
      <c r="PO20" s="212" t="str">
        <f>$G$20</f>
        <v>Effektiv erzieltes Resultat eintragen:</v>
      </c>
      <c r="PP20" s="212"/>
      <c r="PQ20" s="225"/>
      <c r="PR20" s="225"/>
      <c r="PS20" s="213"/>
      <c r="PT20" s="213"/>
      <c r="PU20" s="213"/>
      <c r="PV20" s="213"/>
      <c r="PW20" s="213"/>
      <c r="PX20" s="213"/>
      <c r="PY20" s="213"/>
      <c r="PZ20" s="213"/>
      <c r="QA20" s="214"/>
      <c r="QB20" s="212" t="str">
        <f>$G$20</f>
        <v>Effektiv erzieltes Resultat eintragen:</v>
      </c>
      <c r="QC20" s="212"/>
      <c r="QD20" s="225"/>
      <c r="QE20" s="213"/>
      <c r="QF20" s="213"/>
      <c r="QG20" s="213"/>
      <c r="QH20" s="213"/>
      <c r="QI20" s="213"/>
      <c r="QJ20" s="213"/>
      <c r="QK20" s="213"/>
      <c r="QL20" s="213"/>
      <c r="QM20" s="231"/>
      <c r="QN20" s="216" t="str" cm="1">
        <f t="array" aca="1" ref="QN20" ca="1">INDEX(INDIRECT($B$4),QN$4)</f>
        <v>Tanzen</v>
      </c>
      <c r="QO20" s="216" t="str" cm="1">
        <f t="array" aca="1" ref="QO20" ca="1">INDEX(INDIRECT($B$4),QO$4)</f>
        <v>Rope-Skipping</v>
      </c>
      <c r="QP20" s="216" t="str" cm="1">
        <f t="array" aca="1" ref="QP20" ca="1">INDEX(INDIRECT($B$4),QP$4)</f>
        <v>Aerobic</v>
      </c>
      <c r="QQ20" s="216" t="str" cm="1">
        <f t="array" aca="1" ref="QQ20" ca="1">INDEX(INDIRECT($B$4),QQ$4)</f>
        <v>Tanzen</v>
      </c>
      <c r="QR20" s="216" t="str" cm="1">
        <f t="array" aca="1" ref="QR20" ca="1">INDEX(INDIRECT($B$4),QR$4)</f>
        <v>Rope-Skipping</v>
      </c>
      <c r="QS20" s="216" t="str" cm="1">
        <f t="array" aca="1" ref="QS20" ca="1">INDEX(INDIRECT($B$4),QS$4)</f>
        <v>Aerobic</v>
      </c>
      <c r="QT20" s="217"/>
      <c r="QU20" s="218"/>
      <c r="QV20" s="218"/>
      <c r="QW20" s="218"/>
      <c r="QX20" s="219"/>
      <c r="QY20" s="217"/>
      <c r="QZ20" s="217"/>
      <c r="RA20" s="220" t="str">
        <f>Stammdaten!$BZ$28</f>
        <v>Format</v>
      </c>
      <c r="RB20" s="217"/>
      <c r="RC20" s="220" t="str">
        <f>Stammdaten!$BZ$10</f>
        <v>Ausgabe</v>
      </c>
      <c r="RD20" s="200"/>
      <c r="RE20" s="201"/>
      <c r="RF20" s="202"/>
      <c r="RG20" s="115" t="str">
        <f>Stammdaten!$CA$26</f>
        <v>Spalte 1</v>
      </c>
      <c r="RH20" s="115" t="str">
        <f>Stammdaten!$CB$26</f>
        <v>Spalte 2</v>
      </c>
      <c r="RI20" s="115" t="str">
        <f>Stammdaten!$CC$26</f>
        <v>Spalte 3</v>
      </c>
      <c r="RJ20" s="216"/>
      <c r="RK20" s="155"/>
      <c r="RL20" s="232"/>
      <c r="RM20" s="214"/>
      <c r="RN20" s="233" t="str">
        <f>$G$20</f>
        <v>Effektiv erzieltes Resultat eintragen:</v>
      </c>
      <c r="RO20" s="212"/>
      <c r="RP20" s="212"/>
      <c r="RQ20" s="213"/>
      <c r="RR20" s="213"/>
      <c r="RS20" s="213"/>
      <c r="RT20" s="213"/>
      <c r="RU20" s="213"/>
      <c r="RV20" s="213"/>
      <c r="RW20" s="213"/>
      <c r="RX20" s="213"/>
      <c r="RY20" s="214"/>
      <c r="RZ20" s="212" t="str">
        <f>$G$20</f>
        <v>Effektiv erzieltes Resultat eintragen:</v>
      </c>
      <c r="SA20" s="212"/>
      <c r="SB20" s="212"/>
      <c r="SC20" s="213"/>
      <c r="SD20" s="213"/>
      <c r="SE20" s="213"/>
      <c r="SF20" s="213"/>
      <c r="SG20" s="213"/>
      <c r="SH20" s="213"/>
      <c r="SI20" s="213"/>
      <c r="SJ20" s="213"/>
      <c r="SK20" s="214"/>
      <c r="SL20" s="212" t="str">
        <f>$G$20</f>
        <v>Effektiv erzieltes Resultat eintragen:</v>
      </c>
      <c r="SM20" s="212"/>
      <c r="SN20" s="212"/>
      <c r="SO20" s="213"/>
      <c r="SP20" s="213"/>
      <c r="SQ20" s="213"/>
      <c r="SR20" s="213"/>
      <c r="SS20" s="213"/>
      <c r="ST20" s="213"/>
      <c r="SU20" s="213"/>
      <c r="SV20" s="213"/>
      <c r="SW20" s="214"/>
      <c r="SX20" s="212" t="str">
        <f>$G$20</f>
        <v>Effektiv erzieltes Resultat eintragen:</v>
      </c>
      <c r="SY20" s="212"/>
      <c r="SZ20" s="212"/>
      <c r="TA20" s="213"/>
      <c r="TB20" s="213"/>
      <c r="TC20" s="213"/>
      <c r="TD20" s="213"/>
      <c r="TE20" s="213"/>
      <c r="TF20" s="213"/>
      <c r="TG20" s="213"/>
      <c r="TH20" s="213"/>
      <c r="TI20" s="214"/>
      <c r="TJ20" s="212" t="str">
        <f>$G$20</f>
        <v>Effektiv erzieltes Resultat eintragen:</v>
      </c>
      <c r="TK20" s="212"/>
      <c r="TL20" s="225"/>
      <c r="TM20" s="225"/>
      <c r="TN20" s="213"/>
      <c r="TO20" s="213"/>
      <c r="TP20" s="213"/>
      <c r="TQ20" s="213"/>
      <c r="TR20" s="213"/>
      <c r="TS20" s="213"/>
      <c r="TT20" s="213"/>
      <c r="TU20" s="213"/>
      <c r="TV20" s="215"/>
      <c r="UT20" s="215"/>
      <c r="UU20" s="215"/>
      <c r="UV20" s="215"/>
      <c r="UW20" s="215"/>
      <c r="UX20" s="215"/>
      <c r="UY20" s="215"/>
      <c r="UZ20" s="215"/>
      <c r="VA20" s="215"/>
      <c r="VB20" s="215"/>
      <c r="VC20" s="215"/>
      <c r="VD20" s="188" t="str">
        <f>Stammdaten!$CA$3</f>
        <v>Dispensationen</v>
      </c>
      <c r="VE20" s="189"/>
      <c r="VF20" s="190"/>
      <c r="VG20" s="188" t="str">
        <f>Stammdaten!$CC$25</f>
        <v>Nullwerte</v>
      </c>
      <c r="VH20" s="189"/>
      <c r="VI20" s="190"/>
      <c r="VJ20" s="227">
        <v>1</v>
      </c>
      <c r="VK20" s="217"/>
      <c r="VL20" s="217"/>
      <c r="VM20" s="220" t="str">
        <f>Stammdaten!$BZ$28</f>
        <v>Format</v>
      </c>
      <c r="VN20" s="217"/>
      <c r="VO20" s="220" t="str">
        <f>Stammdaten!$BZ$10</f>
        <v>Ausgabe</v>
      </c>
      <c r="VP20" s="200"/>
      <c r="VQ20" s="201"/>
      <c r="VR20" s="202"/>
      <c r="VS20" s="115" t="str">
        <f>Stammdaten!$CA$26</f>
        <v>Spalte 1</v>
      </c>
      <c r="VT20" s="115" t="str">
        <f>Stammdaten!$CB$26</f>
        <v>Spalte 2</v>
      </c>
      <c r="VU20" s="115" t="str">
        <f>Stammdaten!$CC$26</f>
        <v>Spalte 3</v>
      </c>
      <c r="VV20" s="227">
        <v>2</v>
      </c>
      <c r="VW20" s="217"/>
      <c r="VX20" s="217"/>
      <c r="VY20" s="220" t="str">
        <f>Stammdaten!$BZ$28</f>
        <v>Format</v>
      </c>
      <c r="VZ20" s="217"/>
      <c r="WA20" s="220" t="str">
        <f>Stammdaten!$BZ$10</f>
        <v>Ausgabe</v>
      </c>
      <c r="WB20" s="200"/>
      <c r="WC20" s="201"/>
      <c r="WD20" s="202"/>
      <c r="WE20" s="115" t="str">
        <f>Stammdaten!$CA$26</f>
        <v>Spalte 1</v>
      </c>
      <c r="WF20" s="115" t="str">
        <f>Stammdaten!$CB$26</f>
        <v>Spalte 2</v>
      </c>
      <c r="WG20" s="115" t="str">
        <f>Stammdaten!$CC$26</f>
        <v>Spalte 3</v>
      </c>
      <c r="WH20" s="227">
        <v>3</v>
      </c>
      <c r="WI20" s="217"/>
      <c r="WJ20" s="217"/>
      <c r="WK20" s="220" t="str">
        <f>Stammdaten!$BZ$28</f>
        <v>Format</v>
      </c>
      <c r="WL20" s="217"/>
      <c r="WM20" s="220" t="str">
        <f>Stammdaten!$BZ$10</f>
        <v>Ausgabe</v>
      </c>
      <c r="WN20" s="200"/>
      <c r="WO20" s="201"/>
      <c r="WP20" s="202"/>
      <c r="WQ20" s="115" t="str">
        <f>Stammdaten!$CA$26</f>
        <v>Spalte 1</v>
      </c>
      <c r="WR20" s="115" t="str">
        <f>Stammdaten!$CB$26</f>
        <v>Spalte 2</v>
      </c>
      <c r="WS20" s="115" t="str">
        <f>Stammdaten!$CC$26</f>
        <v>Spalte 3</v>
      </c>
      <c r="WT20" s="216" t="str" cm="1">
        <f t="array" aca="1" ref="WT20" ca="1">INDEX(INDIRECT($B$4),WT$4)</f>
        <v>Basketball</v>
      </c>
      <c r="WU20" s="216" t="str" cm="1">
        <f t="array" aca="1" ref="WU20" ca="1">INDEX(INDIRECT($B$4),WU$4)</f>
        <v>Fussball</v>
      </c>
      <c r="WV20" s="216" t="str" cm="1">
        <f t="array" aca="1" ref="WV20" ca="1">INDEX(INDIRECT($B$4),WV$4)</f>
        <v>Handball</v>
      </c>
      <c r="WW20" s="216" t="str" cm="1">
        <f t="array" aca="1" ref="WW20" ca="1">INDEX(INDIRECT($B$4),WW$4)</f>
        <v>Unihockey</v>
      </c>
      <c r="WX20" s="216" t="str" cm="1">
        <f t="array" aca="1" ref="WX20" ca="1">INDEX(INDIRECT($B$4),WX$4)</f>
        <v>Volleyball</v>
      </c>
      <c r="WY20" s="216" t="str" cm="1">
        <f t="array" aca="1" ref="WY20" ca="1">INDEX(INDIRECT($B$4),WY$4)</f>
        <v>Basketball</v>
      </c>
      <c r="WZ20" s="216" t="str" cm="1">
        <f t="array" aca="1" ref="WZ20" ca="1">INDEX(INDIRECT($B$4),WZ$4)</f>
        <v>Fussball</v>
      </c>
      <c r="XA20" s="216" t="str" cm="1">
        <f t="array" aca="1" ref="XA20" ca="1">INDEX(INDIRECT($B$4),XA$4)</f>
        <v>Handball</v>
      </c>
      <c r="XB20" s="216" t="str" cm="1">
        <f t="array" aca="1" ref="XB20" ca="1">INDEX(INDIRECT($B$4),XB$4)</f>
        <v>Unihockey</v>
      </c>
      <c r="XC20" s="216" t="str" cm="1">
        <f t="array" aca="1" ref="XC20" ca="1">INDEX(INDIRECT($B$4),XC$4)</f>
        <v>Volleyball</v>
      </c>
      <c r="XD20" s="217"/>
      <c r="XE20" s="217"/>
      <c r="XF20" s="217"/>
      <c r="XG20" s="229"/>
      <c r="XH20" s="218"/>
      <c r="XI20" s="218"/>
      <c r="XJ20" s="220"/>
      <c r="XK20" s="219"/>
      <c r="XL20" s="216"/>
      <c r="XM20" s="200"/>
      <c r="XN20" s="201"/>
      <c r="XO20" s="201"/>
      <c r="XP20" s="202"/>
      <c r="XQ20" s="200"/>
      <c r="XR20" s="201"/>
      <c r="XS20" s="201"/>
      <c r="XT20" s="202"/>
      <c r="XU20" s="234"/>
      <c r="XV20" s="223"/>
      <c r="XW20" s="224"/>
      <c r="XX20" s="231"/>
      <c r="XY20" s="136"/>
      <c r="XZ20" s="136"/>
      <c r="YA20" s="136"/>
      <c r="YB20" s="137"/>
      <c r="YC20" s="219"/>
      <c r="YD20" s="218"/>
      <c r="YE20" s="218"/>
      <c r="YF20" s="218"/>
      <c r="YG20" s="219"/>
      <c r="YH20" s="200"/>
      <c r="YI20" s="201"/>
      <c r="YJ20" s="201"/>
      <c r="YK20" s="201"/>
      <c r="YL20" s="202"/>
      <c r="YM20" s="235"/>
      <c r="YN20" s="235"/>
      <c r="YO20" s="235"/>
      <c r="YP20" s="235"/>
      <c r="YQ20" s="200"/>
      <c r="YR20" s="201"/>
      <c r="YS20" s="201"/>
      <c r="YT20" s="202"/>
      <c r="YU20" s="175"/>
      <c r="YV20" s="236"/>
      <c r="YW20" s="175"/>
      <c r="YX20" s="236"/>
      <c r="YY20" s="175"/>
      <c r="YZ20" s="236"/>
      <c r="ZA20" s="175"/>
      <c r="ZB20" s="236"/>
      <c r="ZC20" s="231"/>
      <c r="ZD20" s="217"/>
      <c r="ZE20" s="214"/>
      <c r="ZF20" s="232"/>
      <c r="ZG20" s="177"/>
      <c r="ZH20" s="237"/>
      <c r="ZI20" s="238"/>
      <c r="ZJ20" s="238"/>
      <c r="ZK20" s="239"/>
      <c r="ZL20" s="214"/>
      <c r="ZM20" s="212" t="str">
        <f>$G$20</f>
        <v>Effektiv erzieltes Resultat eintragen:</v>
      </c>
      <c r="ZN20" s="212"/>
      <c r="ZO20" s="212"/>
      <c r="ZP20" s="212"/>
      <c r="ZQ20" s="240"/>
      <c r="ZR20" s="241"/>
      <c r="ZS20" s="241"/>
      <c r="ZT20" s="241"/>
      <c r="ZU20" s="241"/>
      <c r="ZV20" s="241"/>
      <c r="ZW20" s="213"/>
      <c r="ZX20" s="240"/>
      <c r="ZY20" s="240"/>
      <c r="ZZ20" s="240"/>
      <c r="AAA20" s="240"/>
      <c r="AAB20" s="240"/>
      <c r="AAC20" s="240"/>
      <c r="AAD20" s="240"/>
      <c r="AAE20" s="214"/>
      <c r="AAF20" s="242" t="s">
        <v>448</v>
      </c>
      <c r="AAG20" s="243"/>
      <c r="AAH20" s="243"/>
      <c r="AAI20" s="243"/>
      <c r="AAJ20" s="243"/>
      <c r="AAK20" s="214"/>
      <c r="AAL20" s="242" t="str">
        <f>$AAF$20</f>
        <v>Resultat/Note werden von BS.1 übernommen</v>
      </c>
      <c r="AAM20" s="244"/>
      <c r="AAN20" s="244"/>
      <c r="AAO20" s="244"/>
      <c r="AAP20" s="244"/>
      <c r="AAQ20" s="214"/>
      <c r="AAR20" s="212" t="str">
        <f>$G$20</f>
        <v>Effektiv erzieltes Resultat eintragen:</v>
      </c>
      <c r="AAS20" s="212"/>
      <c r="AAT20" s="225"/>
      <c r="AAU20" s="225"/>
      <c r="AAV20" s="213"/>
      <c r="AAW20" s="213"/>
      <c r="AAX20" s="213"/>
      <c r="AAY20" s="213"/>
      <c r="AAZ20" s="213"/>
      <c r="ABA20" s="213"/>
      <c r="ABB20" s="213"/>
      <c r="ABC20" s="214"/>
      <c r="ABD20" s="212" t="str">
        <f>$G$20</f>
        <v>Effektiv erzieltes Resultat eintragen:</v>
      </c>
      <c r="ABE20" s="212"/>
      <c r="ABF20" s="225"/>
      <c r="ABG20" s="225"/>
      <c r="ABH20" s="213"/>
      <c r="ABI20" s="213"/>
      <c r="ABJ20" s="213"/>
      <c r="ABK20" s="213"/>
      <c r="ABL20" s="213"/>
      <c r="ABM20" s="213"/>
      <c r="ABN20" s="213"/>
      <c r="ABO20" s="214"/>
      <c r="ABP20" s="242" t="str">
        <f>$AAF$20</f>
        <v>Resultat/Note werden von BS.1 übernommen</v>
      </c>
      <c r="ABQ20" s="243"/>
      <c r="ABR20" s="243"/>
      <c r="ABS20" s="243"/>
      <c r="ABT20" s="243"/>
      <c r="ABU20" s="214"/>
      <c r="ABV20" s="242" t="str">
        <f>$AAF$20</f>
        <v>Resultat/Note werden von BS.1 übernommen</v>
      </c>
      <c r="ABW20" s="243"/>
      <c r="ABX20" s="243"/>
      <c r="ABY20" s="243"/>
      <c r="ABZ20" s="243"/>
      <c r="ACA20" s="214"/>
      <c r="ACB20" s="212" t="str">
        <f>$G$20</f>
        <v>Effektiv erzieltes Resultat eintragen:</v>
      </c>
      <c r="ACC20" s="212"/>
      <c r="ACD20" s="225"/>
      <c r="ACE20" s="225"/>
      <c r="ACF20" s="213"/>
      <c r="ACG20" s="213"/>
      <c r="ACH20" s="213"/>
      <c r="ACI20" s="213"/>
      <c r="ACJ20" s="213"/>
      <c r="ACK20" s="213"/>
      <c r="ACL20" s="213"/>
      <c r="ACM20" s="213"/>
      <c r="ACN20" s="102"/>
    </row>
    <row r="21" spans="1:768" s="95" customFormat="1" ht="14.45" customHeight="1">
      <c r="A21" s="245"/>
      <c r="B21" s="246" t="s">
        <v>93</v>
      </c>
      <c r="C21" s="247"/>
      <c r="E21" s="248" t="s">
        <v>101</v>
      </c>
      <c r="G21" s="249" t="str" cm="1">
        <f t="array" ref="G21">INDEX(StdDisziplinen[Resultatform],G$3)</f>
        <v>Sekunden, gerundet auf Hundertstelsekunden</v>
      </c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50"/>
      <c r="S21" s="249" t="str" cm="1">
        <f t="array" ref="S21">INDEX(StdDisziplinen[Resultatform],S$3)</f>
        <v>Sekunden, gerundet auf Hundertstelsekunden</v>
      </c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50"/>
      <c r="AE21" s="249" t="str" cm="1">
        <f t="array" ref="AE21">INDEX(StdDisziplinen[Resultatform],AE$3)</f>
        <v>Anzahl Runden, gerundet auf halbe Runden</v>
      </c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50"/>
      <c r="AQ21" s="249" t="str" cm="1">
        <f t="array" ref="AQ21">INDEX(StdDisziplinen[Resultatform],AQ$3)</f>
        <v>Meter, gerundet auf ganze Zahl</v>
      </c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50"/>
      <c r="BC21" s="249" t="str" cm="1">
        <f t="array" ref="BC21">INDEX(StdDisziplinen[Resultatform],BC$3)</f>
        <v>Zentimeter, gerundet auf ganze Zahl</v>
      </c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50"/>
      <c r="BO21" s="249" t="str" cm="1">
        <f t="array" ref="BO21">INDEX(StdDisziplinen[Resultatform],BO$3)</f>
        <v>Zentimeter, gerundet auf ganze Zahl</v>
      </c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50"/>
      <c r="CA21" s="249" t="str" cm="1">
        <f t="array" ref="CA21">INDEX(StdDisziplinen[Resultatform],CA$3)</f>
        <v>Meter, gerundet auf zwei Stellen</v>
      </c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50"/>
      <c r="CM21" s="249" t="str" cm="1">
        <f t="array" ref="CM21">INDEX(StdDisziplinen[Resultatform],CM$3)</f>
        <v>Meter, gerundet auf zwei Stellen</v>
      </c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50"/>
      <c r="CY21" s="249" t="str" cm="1">
        <f t="array" ref="CY21">INDEX(StdDisziplinen[Resultatform],CY$3)</f>
        <v>Meter, gerundet auf zwei Stellen</v>
      </c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51"/>
      <c r="DK21" s="250"/>
      <c r="DL21" s="250"/>
      <c r="DM21" s="250"/>
      <c r="DN21" s="250"/>
      <c r="DO21" s="250"/>
      <c r="DP21" s="250"/>
      <c r="DQ21" s="252"/>
      <c r="DR21" s="252"/>
      <c r="DS21" s="252"/>
      <c r="DT21" s="250"/>
      <c r="DU21" s="250"/>
      <c r="DV21" s="250"/>
      <c r="DW21" s="250"/>
      <c r="DX21" s="250"/>
      <c r="DY21" s="250"/>
      <c r="DZ21" s="250"/>
      <c r="EA21" s="250"/>
      <c r="EB21" s="250"/>
      <c r="EC21" s="250"/>
      <c r="ED21" s="250"/>
      <c r="EE21" s="91"/>
      <c r="EF21" s="250"/>
      <c r="EG21" s="250"/>
      <c r="EH21" s="250"/>
      <c r="EI21" s="250"/>
      <c r="EJ21" s="250"/>
      <c r="EK21" s="250"/>
      <c r="EL21" s="252"/>
      <c r="EM21" s="252"/>
      <c r="EN21" s="252"/>
      <c r="EO21" s="250"/>
      <c r="EP21" s="250"/>
      <c r="EQ21" s="250"/>
      <c r="ER21" s="250"/>
      <c r="ES21" s="250"/>
      <c r="ET21" s="250"/>
      <c r="EU21" s="250"/>
      <c r="EV21" s="250"/>
      <c r="EW21" s="250"/>
      <c r="EX21" s="250"/>
      <c r="EY21" s="250"/>
      <c r="EZ21" s="91"/>
      <c r="FA21" s="250"/>
      <c r="FB21" s="250"/>
      <c r="FC21" s="250"/>
      <c r="FD21" s="250"/>
      <c r="FE21" s="250"/>
      <c r="FF21" s="250"/>
      <c r="FG21" s="252"/>
      <c r="FH21" s="252"/>
      <c r="FI21" s="252"/>
      <c r="FJ21" s="250"/>
      <c r="FK21" s="250"/>
      <c r="FL21" s="250"/>
      <c r="FM21" s="250"/>
      <c r="FN21" s="250"/>
      <c r="FO21" s="250"/>
      <c r="FP21" s="250"/>
      <c r="FQ21" s="250"/>
      <c r="FR21" s="250"/>
      <c r="FS21" s="250"/>
      <c r="FT21" s="250"/>
      <c r="FU21" s="91"/>
      <c r="FV21" s="250"/>
      <c r="FW21" s="250"/>
      <c r="FX21" s="250"/>
      <c r="FY21" s="250"/>
      <c r="FZ21" s="250"/>
      <c r="GA21" s="250"/>
      <c r="GB21" s="250"/>
      <c r="GC21" s="250"/>
      <c r="GD21" s="252"/>
      <c r="GE21" s="252"/>
      <c r="GF21" s="252"/>
      <c r="GG21" s="250"/>
      <c r="GH21" s="250"/>
      <c r="GI21" s="250"/>
      <c r="GJ21" s="250"/>
      <c r="GK21" s="250"/>
      <c r="GL21" s="250"/>
      <c r="GM21" s="250"/>
      <c r="GN21" s="250"/>
      <c r="GO21" s="250"/>
      <c r="GP21" s="250"/>
      <c r="GQ21" s="250"/>
      <c r="GR21" s="91"/>
      <c r="GS21" s="250"/>
      <c r="GT21" s="250"/>
      <c r="GU21" s="250"/>
      <c r="GV21" s="250"/>
      <c r="GW21" s="250"/>
      <c r="GX21" s="252"/>
      <c r="GY21" s="252"/>
      <c r="GZ21" s="252"/>
      <c r="HA21" s="250"/>
      <c r="HB21" s="250"/>
      <c r="HC21" s="250"/>
      <c r="HD21" s="250"/>
      <c r="HE21" s="250"/>
      <c r="HF21" s="250"/>
      <c r="HG21" s="250"/>
      <c r="HH21" s="250"/>
      <c r="HI21" s="250"/>
      <c r="HJ21" s="250"/>
      <c r="HK21" s="250"/>
      <c r="HL21" s="253" t="str">
        <f ca="1">Stammdaten!$CB$14&amp;CHAR(10)&amp;Stammdaten!$CD$14&amp;CHAR(10)&amp;$GZ$25&amp;Stammdaten!$CB$5</f>
        <v>Beste Note
aus jeder der
4 Disziplinen</v>
      </c>
      <c r="HM21" s="250"/>
      <c r="HN21" s="252"/>
      <c r="HO21" s="250"/>
      <c r="HP21" s="249" t="str" cm="1">
        <f t="array" ref="HP21">INDEX(StdDisziplinen[Resultatform],HP$3)</f>
        <v>Punkte, gerundet auf ganze Zahl</v>
      </c>
      <c r="HQ21" s="249"/>
      <c r="HR21" s="249"/>
      <c r="HS21" s="249"/>
      <c r="HT21" s="249"/>
      <c r="HU21" s="249"/>
      <c r="HV21" s="249"/>
      <c r="HW21" s="249"/>
      <c r="HX21" s="250"/>
      <c r="HY21" s="249" t="str" cm="1">
        <f t="array" ref="HY21">INDEX(StdDisziplinen[Resultatform],HY$3)</f>
        <v>Punkte, gerundet auf ganze Zahl</v>
      </c>
      <c r="HZ21" s="249"/>
      <c r="IA21" s="249"/>
      <c r="IB21" s="249"/>
      <c r="IC21" s="249"/>
      <c r="ID21" s="249"/>
      <c r="IE21" s="249"/>
      <c r="IF21" s="249"/>
      <c r="IG21" s="250"/>
      <c r="IH21" s="249" t="str" cm="1">
        <f t="array" ref="IH21">INDEX(StdDisziplinen[Resultatform],IH$3)</f>
        <v>Punkte, gerundet auf ganze Zahl</v>
      </c>
      <c r="II21" s="249"/>
      <c r="IJ21" s="249"/>
      <c r="IK21" s="249"/>
      <c r="IL21" s="249"/>
      <c r="IM21" s="249"/>
      <c r="IN21" s="249"/>
      <c r="IO21" s="249"/>
      <c r="IP21" s="250"/>
      <c r="IQ21" s="249" t="str" cm="1">
        <f t="array" ref="IQ21">INDEX(StdDisziplinen[Resultatform],IQ$3)</f>
        <v>Punkte, gerundet auf ganze Zahl</v>
      </c>
      <c r="IR21" s="249"/>
      <c r="IS21" s="249"/>
      <c r="IT21" s="249"/>
      <c r="IU21" s="249"/>
      <c r="IV21" s="249"/>
      <c r="IW21" s="249"/>
      <c r="IX21" s="249"/>
      <c r="IY21" s="250"/>
      <c r="IZ21" s="249" t="str" cm="1">
        <f t="array" ref="IZ21">INDEX(StdDisziplinen[Resultatform],IZ$3)</f>
        <v>Punkte, gerundet auf ganze Zahl</v>
      </c>
      <c r="JA21" s="249"/>
      <c r="JB21" s="249"/>
      <c r="JC21" s="249"/>
      <c r="JD21" s="249"/>
      <c r="JE21" s="249"/>
      <c r="JF21" s="249"/>
      <c r="JG21" s="249"/>
      <c r="JH21" s="250"/>
      <c r="JI21" s="249" t="str" cm="1">
        <f t="array" ref="JI21">INDEX(StdDisziplinen[Resultatform],JI$3)</f>
        <v>Punkte, gerundet auf ganze Zahl</v>
      </c>
      <c r="JJ21" s="249"/>
      <c r="JK21" s="249"/>
      <c r="JL21" s="249"/>
      <c r="JM21" s="249"/>
      <c r="JN21" s="249"/>
      <c r="JO21" s="249"/>
      <c r="JP21" s="249"/>
      <c r="JQ21" s="251"/>
      <c r="JR21" s="251"/>
      <c r="JS21" s="251"/>
      <c r="JT21" s="251"/>
      <c r="JU21" s="251"/>
      <c r="JV21" s="251"/>
      <c r="JW21" s="251"/>
      <c r="JX21" s="251"/>
      <c r="JY21" s="251"/>
      <c r="JZ21" s="251"/>
      <c r="KA21" s="251"/>
      <c r="KB21" s="251"/>
      <c r="KC21" s="251"/>
      <c r="KD21" s="251"/>
      <c r="KE21" s="251"/>
      <c r="KF21" s="251"/>
      <c r="KG21" s="251"/>
      <c r="KH21" s="251"/>
      <c r="KI21" s="251"/>
      <c r="KJ21" s="251"/>
      <c r="KK21" s="251"/>
      <c r="KL21" s="251"/>
      <c r="KM21" s="251"/>
      <c r="KN21" s="251"/>
      <c r="KO21" s="251"/>
      <c r="KP21" s="251"/>
      <c r="KQ21" s="251"/>
      <c r="KR21" s="251"/>
      <c r="KS21" s="251"/>
      <c r="KT21" s="251"/>
      <c r="KU21" s="251"/>
      <c r="KV21" s="251"/>
      <c r="KW21" s="251"/>
      <c r="KX21" s="251"/>
      <c r="KY21" s="251"/>
      <c r="KZ21" s="251"/>
      <c r="LA21" s="251"/>
      <c r="LB21" s="91"/>
      <c r="LC21" s="91"/>
      <c r="LD21" s="91"/>
      <c r="LE21" s="91"/>
      <c r="LF21" s="91"/>
      <c r="LG21" s="91"/>
      <c r="LH21" s="91"/>
      <c r="LI21" s="250"/>
      <c r="LJ21" s="250"/>
      <c r="LK21" s="250"/>
      <c r="LL21" s="250"/>
      <c r="LM21" s="250"/>
      <c r="LN21" s="250"/>
      <c r="LO21" s="250"/>
      <c r="LP21" s="250"/>
      <c r="LQ21" s="250"/>
      <c r="LR21" s="250"/>
      <c r="LS21" s="91"/>
      <c r="LT21" s="91"/>
      <c r="LU21" s="250"/>
      <c r="LV21" s="250"/>
      <c r="LW21" s="250"/>
      <c r="LX21" s="250"/>
      <c r="LY21" s="250"/>
      <c r="LZ21" s="250"/>
      <c r="MA21" s="250"/>
      <c r="MB21" s="250"/>
      <c r="MC21" s="250"/>
      <c r="MD21" s="250"/>
      <c r="ME21" s="91"/>
      <c r="MF21" s="91"/>
      <c r="MG21" s="250"/>
      <c r="MH21" s="250"/>
      <c r="MI21" s="250"/>
      <c r="MJ21" s="250"/>
      <c r="MK21" s="250"/>
      <c r="ML21" s="250"/>
      <c r="MM21" s="250"/>
      <c r="MN21" s="250"/>
      <c r="MO21" s="250"/>
      <c r="MP21" s="250"/>
      <c r="MQ21" s="91"/>
      <c r="MR21" s="250"/>
      <c r="MS21" s="252"/>
      <c r="MT21" s="252"/>
      <c r="MU21" s="252"/>
      <c r="MV21" s="252"/>
      <c r="MW21" s="253" t="str">
        <f ca="1">"Summe der "&amp;CHAR(10)&amp;$MV$25&amp;Stammdaten!$CB$15&amp;CHAR(10)&amp;Stammdaten!$CD$13&amp;CHAR(10)&amp;Stammdaten!$BP$7&amp;Stammdaten!$CA$20</f>
        <v>Summe der 
3 besten Resultate
aus max.
6 Geräten</v>
      </c>
      <c r="MX21" s="250"/>
      <c r="MY21" s="250"/>
      <c r="MZ21" s="254"/>
      <c r="NA21" s="254"/>
      <c r="NB21" s="254"/>
      <c r="NC21" s="254"/>
      <c r="ND21" s="254"/>
      <c r="NE21" s="254"/>
      <c r="NF21" s="250"/>
      <c r="NG21" s="255" t="str" cm="1">
        <f t="array" ref="NG21">INDEX(StdDisziplinen[Resultatform],NG$3)</f>
        <v>Punkte, gerundet auf ganze Zahl</v>
      </c>
      <c r="NH21" s="255"/>
      <c r="NI21" s="255"/>
      <c r="NJ21" s="255"/>
      <c r="NK21" s="255"/>
      <c r="NL21" s="255"/>
      <c r="NM21" s="255"/>
      <c r="NN21" s="255"/>
      <c r="NO21" s="255"/>
      <c r="NP21" s="255"/>
      <c r="NQ21" s="255"/>
      <c r="NR21" s="255"/>
      <c r="NS21" s="250"/>
      <c r="NT21" s="250"/>
      <c r="NU21" s="250"/>
      <c r="NV21" s="250"/>
      <c r="NW21" s="250"/>
      <c r="NX21" s="250"/>
      <c r="NY21" s="250"/>
      <c r="NZ21" s="250"/>
      <c r="OA21" s="250"/>
      <c r="OB21" s="250"/>
      <c r="OC21" s="250"/>
      <c r="OD21" s="250"/>
      <c r="OE21" s="250"/>
      <c r="OF21" s="250"/>
      <c r="OG21" s="250"/>
      <c r="OH21" s="250"/>
      <c r="OI21" s="91"/>
      <c r="OJ21" s="250"/>
      <c r="OK21" s="250"/>
      <c r="OL21" s="250"/>
      <c r="OM21" s="252"/>
      <c r="ON21" s="252"/>
      <c r="OO21" s="252"/>
      <c r="OP21" s="250"/>
      <c r="OQ21" s="250"/>
      <c r="OR21" s="91"/>
      <c r="OS21" s="250"/>
      <c r="OT21" s="250"/>
      <c r="OU21" s="250"/>
      <c r="OV21" s="250"/>
      <c r="OW21" s="250"/>
      <c r="OX21" s="250"/>
      <c r="OY21" s="256" t="str">
        <f>Stammdaten!$CB$20</f>
        <v>Note Geräteturnen
 und Note Parkour</v>
      </c>
      <c r="OZ21" s="250"/>
      <c r="PA21" s="252"/>
      <c r="PB21" s="250"/>
      <c r="PC21" s="249" t="str" cm="1">
        <f t="array" ref="PC21">INDEX(StdDisziplinen[Resultatform],PC$3)</f>
        <v>Punkte, aufgerundet auf ganze oder halbe Punkte</v>
      </c>
      <c r="PD21" s="249"/>
      <c r="PE21" s="249"/>
      <c r="PF21" s="249"/>
      <c r="PG21" s="249"/>
      <c r="PH21" s="249"/>
      <c r="PI21" s="249"/>
      <c r="PJ21" s="249"/>
      <c r="PK21" s="249"/>
      <c r="PL21" s="249"/>
      <c r="PM21" s="249"/>
      <c r="PN21" s="250"/>
      <c r="PO21" s="249" t="str" cm="1">
        <f t="array" ref="PO21">INDEX(StdDisziplinen[Resultatform],PO$3)</f>
        <v>Punkte, gerundet auf ganze Punkte</v>
      </c>
      <c r="PP21" s="249"/>
      <c r="PQ21" s="249"/>
      <c r="PR21" s="249"/>
      <c r="PS21" s="249"/>
      <c r="PT21" s="249"/>
      <c r="PU21" s="249"/>
      <c r="PV21" s="249"/>
      <c r="PW21" s="249"/>
      <c r="PX21" s="249"/>
      <c r="PY21" s="249"/>
      <c r="PZ21" s="249"/>
      <c r="QA21" s="250"/>
      <c r="QB21" s="249" t="str" cm="1">
        <f t="array" ref="QB21">INDEX(StdDisziplinen[Resultatform],QB$3)</f>
        <v>Punkte, aufgerundet auf ganze oder halbe Punkte</v>
      </c>
      <c r="QC21" s="249"/>
      <c r="QD21" s="249"/>
      <c r="QE21" s="249"/>
      <c r="QF21" s="249"/>
      <c r="QG21" s="249"/>
      <c r="QH21" s="249"/>
      <c r="QI21" s="249"/>
      <c r="QJ21" s="249"/>
      <c r="QK21" s="249"/>
      <c r="QL21" s="249"/>
      <c r="QM21" s="250"/>
      <c r="QN21" s="250"/>
      <c r="QO21" s="250"/>
      <c r="QP21" s="250"/>
      <c r="QQ21" s="250"/>
      <c r="QR21" s="250"/>
      <c r="QS21" s="250"/>
      <c r="QT21" s="250"/>
      <c r="QU21" s="252"/>
      <c r="QV21" s="252"/>
      <c r="QW21" s="252"/>
      <c r="QX21" s="250"/>
      <c r="QY21" s="250"/>
      <c r="QZ21" s="250"/>
      <c r="RA21" s="250"/>
      <c r="RB21" s="250"/>
      <c r="RC21" s="250"/>
      <c r="RD21" s="250"/>
      <c r="RE21" s="250"/>
      <c r="RF21" s="250"/>
      <c r="RG21" s="250"/>
      <c r="RH21" s="250"/>
      <c r="RI21" s="91"/>
      <c r="RJ21" s="250"/>
      <c r="RK21" s="251"/>
      <c r="RL21" s="257" t="str">
        <f>Stammdaten!$CB$14&amp;CHAR(10)&amp;Stammdaten!$CD$13&amp;CHAR(10)&amp;Stammdaten!$BP$8&amp;Stammdaten!$CB$5</f>
        <v>Beste Note
aus max.
3 Disziplinen</v>
      </c>
      <c r="RM21" s="250"/>
      <c r="RN21" s="249" t="str" cm="1">
        <f t="array" ref="RN21">INDEX(StdDisziplinen[Resultatform],RN$3)</f>
        <v>Sekunden, gerundet auf Zehntelsekunden</v>
      </c>
      <c r="RO21" s="249"/>
      <c r="RP21" s="249"/>
      <c r="RQ21" s="249"/>
      <c r="RR21" s="249"/>
      <c r="RS21" s="249"/>
      <c r="RT21" s="249"/>
      <c r="RU21" s="249"/>
      <c r="RV21" s="249"/>
      <c r="RW21" s="249"/>
      <c r="RX21" s="249"/>
      <c r="RY21" s="250"/>
      <c r="RZ21" s="249" t="str" cm="1">
        <f t="array" ref="RZ21">INDEX(StdDisziplinen[Resultatform],RZ$3)</f>
        <v>Sekunden, gerundet auf Zehntelsekunden</v>
      </c>
      <c r="SA21" s="249"/>
      <c r="SB21" s="249"/>
      <c r="SC21" s="249"/>
      <c r="SD21" s="249"/>
      <c r="SE21" s="249"/>
      <c r="SF21" s="249"/>
      <c r="SG21" s="249"/>
      <c r="SH21" s="249"/>
      <c r="SI21" s="249"/>
      <c r="SJ21" s="249"/>
      <c r="SK21" s="250"/>
      <c r="SL21" s="249" t="str" cm="1">
        <f t="array" ref="SL21">INDEX(StdDisziplinen[Resultatform],SL$3)</f>
        <v>Sekunden, gerundet auf Zehntelsekunden</v>
      </c>
      <c r="SM21" s="249"/>
      <c r="SN21" s="249"/>
      <c r="SO21" s="249"/>
      <c r="SP21" s="249"/>
      <c r="SQ21" s="249"/>
      <c r="SR21" s="249"/>
      <c r="SS21" s="249"/>
      <c r="ST21" s="249"/>
      <c r="SU21" s="249"/>
      <c r="SV21" s="249"/>
      <c r="SW21" s="250"/>
      <c r="SX21" s="249" t="str" cm="1">
        <f t="array" ref="SX21">INDEX(StdDisziplinen[Resultatform],SX$3)</f>
        <v>Sekunden, gerundet auf Zehntelsekunden</v>
      </c>
      <c r="SY21" s="249"/>
      <c r="SZ21" s="249"/>
      <c r="TA21" s="249"/>
      <c r="TB21" s="249"/>
      <c r="TC21" s="249"/>
      <c r="TD21" s="249"/>
      <c r="TE21" s="249"/>
      <c r="TF21" s="249"/>
      <c r="TG21" s="249"/>
      <c r="TH21" s="249"/>
      <c r="TI21" s="250"/>
      <c r="TJ21" s="255" t="str" cm="1">
        <f t="array" ref="TJ21">INDEX(StdDisziplinen[Resultatform],TJ$3)</f>
        <v>Punkte, abgerundet auf ganze Zahl</v>
      </c>
      <c r="TK21" s="255"/>
      <c r="TL21" s="255"/>
      <c r="TM21" s="255"/>
      <c r="TN21" s="255"/>
      <c r="TO21" s="255"/>
      <c r="TP21" s="255"/>
      <c r="TQ21" s="255"/>
      <c r="TR21" s="255"/>
      <c r="TS21" s="255"/>
      <c r="TT21" s="255"/>
      <c r="TU21" s="255"/>
      <c r="TV21" s="251"/>
      <c r="TW21" s="251"/>
      <c r="TX21" s="251"/>
      <c r="TY21" s="251"/>
      <c r="TZ21" s="251"/>
      <c r="UA21" s="251"/>
      <c r="UB21" s="251"/>
      <c r="UC21" s="251"/>
      <c r="UD21" s="251"/>
      <c r="UE21" s="251"/>
      <c r="UF21" s="251"/>
      <c r="UG21" s="251"/>
      <c r="UH21" s="251"/>
      <c r="UI21" s="251"/>
      <c r="UJ21" s="251"/>
      <c r="UK21" s="251"/>
      <c r="UL21" s="251"/>
      <c r="UM21" s="251"/>
      <c r="UN21" s="251"/>
      <c r="UO21" s="251"/>
      <c r="UP21" s="251"/>
      <c r="UQ21" s="251"/>
      <c r="UR21" s="251"/>
      <c r="US21" s="251"/>
      <c r="UT21" s="251"/>
      <c r="UU21" s="251"/>
      <c r="UV21" s="251"/>
      <c r="UW21" s="251"/>
      <c r="UX21" s="251"/>
      <c r="UY21" s="251"/>
      <c r="UZ21" s="251"/>
      <c r="VA21" s="251"/>
      <c r="VB21" s="251"/>
      <c r="VC21" s="251"/>
      <c r="VD21" s="91"/>
      <c r="VE21" s="91"/>
      <c r="VF21" s="91"/>
      <c r="VG21" s="91"/>
      <c r="VH21" s="91"/>
      <c r="VI21" s="91"/>
      <c r="VJ21" s="91"/>
      <c r="VK21" s="250"/>
      <c r="VL21" s="250"/>
      <c r="VM21" s="250"/>
      <c r="VN21" s="250"/>
      <c r="VO21" s="250"/>
      <c r="VP21" s="250"/>
      <c r="VQ21" s="250"/>
      <c r="VR21" s="250"/>
      <c r="VS21" s="250"/>
      <c r="VT21" s="250"/>
      <c r="VU21" s="91"/>
      <c r="VV21" s="91"/>
      <c r="VW21" s="250"/>
      <c r="VX21" s="250"/>
      <c r="VY21" s="250"/>
      <c r="VZ21" s="250"/>
      <c r="WA21" s="250"/>
      <c r="WB21" s="250"/>
      <c r="WC21" s="250"/>
      <c r="WD21" s="250"/>
      <c r="WE21" s="250"/>
      <c r="WF21" s="250"/>
      <c r="WG21" s="91"/>
      <c r="WH21" s="91"/>
      <c r="WI21" s="250"/>
      <c r="WJ21" s="250"/>
      <c r="WK21" s="250"/>
      <c r="WL21" s="250"/>
      <c r="WM21" s="250"/>
      <c r="WN21" s="250"/>
      <c r="WO21" s="250"/>
      <c r="WP21" s="250"/>
      <c r="WQ21" s="250"/>
      <c r="WR21" s="250"/>
      <c r="WS21" s="91"/>
      <c r="WT21" s="250"/>
      <c r="WU21" s="250"/>
      <c r="WV21" s="250"/>
      <c r="WW21" s="250"/>
      <c r="WX21" s="250"/>
      <c r="WY21" s="250"/>
      <c r="WZ21" s="250"/>
      <c r="XA21" s="250"/>
      <c r="XB21" s="250"/>
      <c r="XC21" s="250"/>
      <c r="XD21" s="250"/>
      <c r="XE21" s="250"/>
      <c r="XF21" s="250"/>
      <c r="XG21" s="250"/>
      <c r="XH21" s="252"/>
      <c r="XI21" s="252"/>
      <c r="XJ21" s="252"/>
      <c r="XK21" s="97"/>
      <c r="XL21" s="250"/>
      <c r="XM21" s="97"/>
      <c r="XN21" s="97"/>
      <c r="XO21" s="97"/>
      <c r="XP21" s="250"/>
      <c r="XQ21" s="250"/>
      <c r="XR21" s="250"/>
      <c r="XS21" s="250"/>
      <c r="XT21" s="250"/>
      <c r="XU21" s="256" t="str">
        <f ca="1">XJ$25&amp;Stammdaten!CC14&amp;CHAR(10)&amp;Stammdaten!$CD$13&amp;CHAR(10)&amp;Stammdaten!$BP$9&amp;Stammdaten!$CA$12</f>
        <v>3 beste Noten
aus max.
5 Spielsportarten</v>
      </c>
      <c r="XV21" s="250"/>
      <c r="XW21" s="252"/>
      <c r="XX21" s="250"/>
      <c r="XY21" s="250"/>
      <c r="XZ21" s="250"/>
      <c r="YA21" s="250"/>
      <c r="YB21" s="250"/>
      <c r="YC21" s="250"/>
      <c r="YD21" s="252"/>
      <c r="YE21" s="252"/>
      <c r="YF21" s="252"/>
      <c r="YG21" s="250"/>
      <c r="YH21" s="250"/>
      <c r="YI21" s="250"/>
      <c r="YJ21" s="250"/>
      <c r="YK21" s="250"/>
      <c r="YL21" s="250"/>
      <c r="YM21" s="250"/>
      <c r="YN21" s="250"/>
      <c r="YO21" s="250"/>
      <c r="YP21" s="250"/>
      <c r="YQ21" s="250"/>
      <c r="YR21" s="250"/>
      <c r="YS21" s="250"/>
      <c r="YT21" s="250"/>
      <c r="YU21" s="250"/>
      <c r="YV21" s="250"/>
      <c r="YW21" s="250"/>
      <c r="YX21" s="250"/>
      <c r="YY21" s="250"/>
      <c r="YZ21" s="250"/>
      <c r="ZA21" s="250"/>
      <c r="ZB21" s="250"/>
      <c r="ZC21" s="250"/>
      <c r="ZD21" s="250"/>
      <c r="ZE21" s="250"/>
      <c r="ZF21" s="258" t="str">
        <f>"Ø "&amp;Stammdaten!$CC$13</f>
        <v>Ø aus Ergebnissen 
BS.1, BS.2, 
BS.3, BS.4</v>
      </c>
      <c r="ZG21" s="259"/>
      <c r="ZH21" s="260"/>
      <c r="ZI21" s="261"/>
      <c r="ZK21" s="262"/>
      <c r="ZL21" s="167"/>
      <c r="ZM21" s="255" t="str" cm="1">
        <f t="array" ref="ZM21">INDEX(StdDisziplinen[Resultatform],ZM$3)</f>
        <v>Minuten und Sekunden, jeweils ganze Zahl</v>
      </c>
      <c r="ZN21" s="255"/>
      <c r="ZO21" s="255"/>
      <c r="ZP21" s="255"/>
      <c r="ZQ21" s="255"/>
      <c r="ZR21" s="255"/>
      <c r="ZS21" s="255"/>
      <c r="ZT21" s="255"/>
      <c r="ZU21" s="255"/>
      <c r="ZV21" s="255"/>
      <c r="ZW21" s="255"/>
      <c r="ZX21" s="255"/>
      <c r="ZY21" s="255"/>
      <c r="ZZ21" s="255"/>
      <c r="AAA21" s="255"/>
      <c r="AAB21" s="255"/>
      <c r="AAC21" s="255"/>
      <c r="AAD21" s="255"/>
      <c r="AAE21" s="250"/>
      <c r="AAF21" s="263" t="s">
        <v>449</v>
      </c>
      <c r="AAG21" s="243"/>
      <c r="AAH21" s="243"/>
      <c r="AAI21" s="243"/>
      <c r="AAJ21" s="243"/>
      <c r="AAK21" s="250"/>
      <c r="AAL21" s="263" t="str">
        <f>$AAF$21</f>
        <v>Effektiv erzieltes Resultat bei BS.1 eintragen</v>
      </c>
      <c r="AAM21" s="263"/>
      <c r="AAN21" s="263"/>
      <c r="AAO21" s="263"/>
      <c r="AAP21" s="263"/>
      <c r="AAQ21" s="250"/>
      <c r="AAR21" s="249" t="str" cm="1">
        <f t="array" ref="AAR21">INDEX(StdDisziplinen[Resultatform],AAR$3)</f>
        <v>Zentimeter, abgerundet auf ganze Zahl</v>
      </c>
      <c r="AAS21" s="249"/>
      <c r="AAT21" s="249"/>
      <c r="AAU21" s="249"/>
      <c r="AAV21" s="249"/>
      <c r="AAW21" s="249"/>
      <c r="AAX21" s="249"/>
      <c r="AAY21" s="249"/>
      <c r="AAZ21" s="249"/>
      <c r="ABA21" s="249"/>
      <c r="ABB21" s="249"/>
      <c r="ABC21" s="250"/>
      <c r="ABD21" s="249" t="str" cm="1">
        <f t="array" ref="ABD21">INDEX(StdDisziplinen[Resultatform],ABD$3)</f>
        <v>Sekunden, abgerundet auf ganze Zahl</v>
      </c>
      <c r="ABE21" s="249"/>
      <c r="ABF21" s="249"/>
      <c r="ABG21" s="249"/>
      <c r="ABH21" s="249"/>
      <c r="ABI21" s="249"/>
      <c r="ABJ21" s="249"/>
      <c r="ABK21" s="249"/>
      <c r="ABL21" s="249"/>
      <c r="ABM21" s="249"/>
      <c r="ABN21" s="249"/>
      <c r="ABO21" s="250"/>
      <c r="ABP21" s="263" t="str">
        <f>$AAF$21</f>
        <v>Effektiv erzieltes Resultat bei BS.1 eintragen</v>
      </c>
      <c r="ABQ21" s="243"/>
      <c r="ABR21" s="243"/>
      <c r="ABS21" s="243"/>
      <c r="ABT21" s="243"/>
      <c r="ABU21" s="250"/>
      <c r="ABV21" s="263" t="str">
        <f>$AAF$21</f>
        <v>Effektiv erzieltes Resultat bei BS.1 eintragen</v>
      </c>
      <c r="ABW21" s="243"/>
      <c r="ABX21" s="243"/>
      <c r="ABY21" s="243"/>
      <c r="ABZ21" s="243"/>
      <c r="ACA21" s="250"/>
      <c r="ACB21" s="249" t="str" cm="1">
        <f t="array" ref="ACB21">INDEX(StdDisziplinen[Resultatform],ACB$3)</f>
        <v>Punkte, gerundet auf ganze Punkte</v>
      </c>
      <c r="ACC21" s="249"/>
      <c r="ACD21" s="249"/>
      <c r="ACE21" s="249"/>
      <c r="ACF21" s="249"/>
      <c r="ACG21" s="249"/>
      <c r="ACH21" s="249"/>
      <c r="ACI21" s="249"/>
      <c r="ACJ21" s="249"/>
      <c r="ACK21" s="249"/>
      <c r="ACL21" s="249"/>
      <c r="ACM21" s="249"/>
      <c r="ACN21" s="245"/>
    </row>
    <row r="22" spans="1:768" s="95" customFormat="1" ht="6" customHeight="1">
      <c r="A22" s="245"/>
      <c r="B22" s="246"/>
      <c r="C22" s="264"/>
      <c r="E22" s="248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50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50"/>
      <c r="AE22" s="265"/>
      <c r="AF22" s="265"/>
      <c r="AG22" s="265"/>
      <c r="AH22" s="265"/>
      <c r="AI22" s="265"/>
      <c r="AJ22" s="265"/>
      <c r="AK22" s="265"/>
      <c r="AL22" s="265"/>
      <c r="AM22" s="265"/>
      <c r="AN22" s="265"/>
      <c r="AO22" s="265"/>
      <c r="AP22" s="250"/>
      <c r="AQ22" s="265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250"/>
      <c r="BC22" s="265"/>
      <c r="BD22" s="265"/>
      <c r="BE22" s="265"/>
      <c r="BF22" s="265"/>
      <c r="BG22" s="265"/>
      <c r="BH22" s="265"/>
      <c r="BI22" s="265"/>
      <c r="BJ22" s="265"/>
      <c r="BK22" s="265"/>
      <c r="BL22" s="265"/>
      <c r="BM22" s="265"/>
      <c r="BN22" s="250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50"/>
      <c r="CA22" s="265"/>
      <c r="CB22" s="265"/>
      <c r="CC22" s="265"/>
      <c r="CD22" s="265"/>
      <c r="CE22" s="265"/>
      <c r="CF22" s="265"/>
      <c r="CG22" s="265"/>
      <c r="CH22" s="265"/>
      <c r="CI22" s="265"/>
      <c r="CJ22" s="265"/>
      <c r="CK22" s="265"/>
      <c r="CL22" s="250"/>
      <c r="CM22" s="265"/>
      <c r="CN22" s="265"/>
      <c r="CO22" s="265"/>
      <c r="CP22" s="265"/>
      <c r="CQ22" s="265"/>
      <c r="CR22" s="265"/>
      <c r="CS22" s="265"/>
      <c r="CT22" s="265"/>
      <c r="CU22" s="265"/>
      <c r="CV22" s="265"/>
      <c r="CW22" s="265"/>
      <c r="CX22" s="250"/>
      <c r="CY22" s="265"/>
      <c r="CZ22" s="265"/>
      <c r="DA22" s="265"/>
      <c r="DB22" s="265"/>
      <c r="DC22" s="265"/>
      <c r="DD22" s="265"/>
      <c r="DE22" s="265"/>
      <c r="DF22" s="265"/>
      <c r="DG22" s="265"/>
      <c r="DH22" s="265"/>
      <c r="DI22" s="265"/>
      <c r="DJ22" s="251"/>
      <c r="DK22" s="250"/>
      <c r="DL22" s="250"/>
      <c r="DM22" s="250"/>
      <c r="DN22" s="250"/>
      <c r="DO22" s="250"/>
      <c r="DP22" s="250"/>
      <c r="DQ22" s="252"/>
      <c r="DR22" s="252"/>
      <c r="DS22" s="252"/>
      <c r="DT22" s="250"/>
      <c r="DU22" s="250"/>
      <c r="DV22" s="250"/>
      <c r="DW22" s="250"/>
      <c r="DX22" s="250"/>
      <c r="DY22" s="250"/>
      <c r="DZ22" s="250"/>
      <c r="EA22" s="250"/>
      <c r="EB22" s="250"/>
      <c r="EC22" s="250"/>
      <c r="ED22" s="250"/>
      <c r="EE22" s="91"/>
      <c r="EF22" s="250"/>
      <c r="EG22" s="250"/>
      <c r="EH22" s="250"/>
      <c r="EI22" s="250"/>
      <c r="EJ22" s="250"/>
      <c r="EK22" s="250"/>
      <c r="EL22" s="252"/>
      <c r="EM22" s="252"/>
      <c r="EN22" s="252"/>
      <c r="EO22" s="250"/>
      <c r="EP22" s="250"/>
      <c r="EQ22" s="250"/>
      <c r="ER22" s="250"/>
      <c r="ES22" s="250"/>
      <c r="ET22" s="250"/>
      <c r="EU22" s="250"/>
      <c r="EV22" s="250"/>
      <c r="EW22" s="250"/>
      <c r="EX22" s="250"/>
      <c r="EY22" s="250"/>
      <c r="EZ22" s="91"/>
      <c r="FA22" s="250"/>
      <c r="FB22" s="250"/>
      <c r="FC22" s="250"/>
      <c r="FD22" s="250"/>
      <c r="FE22" s="250"/>
      <c r="FF22" s="250"/>
      <c r="FG22" s="252"/>
      <c r="FH22" s="252"/>
      <c r="FI22" s="252"/>
      <c r="FJ22" s="250"/>
      <c r="FK22" s="250"/>
      <c r="FL22" s="250"/>
      <c r="FM22" s="250"/>
      <c r="FN22" s="250"/>
      <c r="FO22" s="250"/>
      <c r="FP22" s="250"/>
      <c r="FQ22" s="250"/>
      <c r="FR22" s="250"/>
      <c r="FS22" s="250"/>
      <c r="FT22" s="250"/>
      <c r="FU22" s="91"/>
      <c r="FV22" s="250"/>
      <c r="FW22" s="250"/>
      <c r="FX22" s="250"/>
      <c r="FY22" s="250"/>
      <c r="FZ22" s="250"/>
      <c r="GA22" s="250"/>
      <c r="GB22" s="250"/>
      <c r="GC22" s="250"/>
      <c r="GD22" s="252"/>
      <c r="GE22" s="252"/>
      <c r="GF22" s="252"/>
      <c r="GG22" s="250"/>
      <c r="GH22" s="250"/>
      <c r="GI22" s="250"/>
      <c r="GJ22" s="250"/>
      <c r="GK22" s="250"/>
      <c r="GL22" s="250"/>
      <c r="GM22" s="250"/>
      <c r="GN22" s="250"/>
      <c r="GO22" s="250"/>
      <c r="GP22" s="250"/>
      <c r="GQ22" s="250"/>
      <c r="GR22" s="91"/>
      <c r="GS22" s="250"/>
      <c r="GT22" s="250"/>
      <c r="GU22" s="250"/>
      <c r="GV22" s="250"/>
      <c r="GW22" s="250"/>
      <c r="GX22" s="252"/>
      <c r="GY22" s="252"/>
      <c r="GZ22" s="252"/>
      <c r="HA22" s="250"/>
      <c r="HB22" s="250"/>
      <c r="HC22" s="250"/>
      <c r="HD22" s="250"/>
      <c r="HE22" s="250"/>
      <c r="HF22" s="250"/>
      <c r="HG22" s="250"/>
      <c r="HH22" s="250"/>
      <c r="HI22" s="250"/>
      <c r="HJ22" s="250"/>
      <c r="HK22" s="250"/>
      <c r="HL22" s="266"/>
      <c r="HM22" s="250"/>
      <c r="HN22" s="252"/>
      <c r="HO22" s="250"/>
      <c r="HP22" s="265"/>
      <c r="HQ22" s="265"/>
      <c r="HR22" s="267"/>
      <c r="HS22" s="267"/>
      <c r="HT22" s="267"/>
      <c r="HU22" s="267"/>
      <c r="HV22" s="267"/>
      <c r="HW22" s="267"/>
      <c r="HX22" s="250"/>
      <c r="HY22" s="265"/>
      <c r="HZ22" s="265"/>
      <c r="IA22" s="267"/>
      <c r="IB22" s="267"/>
      <c r="IC22" s="267"/>
      <c r="ID22" s="267"/>
      <c r="IE22" s="267"/>
      <c r="IF22" s="267"/>
      <c r="IG22" s="250"/>
      <c r="IH22" s="265"/>
      <c r="II22" s="265"/>
      <c r="IJ22" s="267"/>
      <c r="IK22" s="267"/>
      <c r="IL22" s="267"/>
      <c r="IM22" s="267"/>
      <c r="IN22" s="267"/>
      <c r="IO22" s="267"/>
      <c r="IP22" s="250"/>
      <c r="IQ22" s="265"/>
      <c r="IR22" s="265"/>
      <c r="IS22" s="267"/>
      <c r="IT22" s="267"/>
      <c r="IU22" s="267"/>
      <c r="IV22" s="267"/>
      <c r="IW22" s="267"/>
      <c r="IX22" s="267"/>
      <c r="IY22" s="250"/>
      <c r="IZ22" s="265"/>
      <c r="JA22" s="265"/>
      <c r="JB22" s="267"/>
      <c r="JC22" s="267"/>
      <c r="JD22" s="267"/>
      <c r="JE22" s="267"/>
      <c r="JF22" s="267"/>
      <c r="JG22" s="267"/>
      <c r="JH22" s="250"/>
      <c r="JI22" s="265"/>
      <c r="JJ22" s="265"/>
      <c r="JK22" s="267"/>
      <c r="JL22" s="267"/>
      <c r="JM22" s="267"/>
      <c r="JN22" s="267"/>
      <c r="JO22" s="267"/>
      <c r="JP22" s="267"/>
      <c r="JQ22" s="251"/>
      <c r="JR22" s="251"/>
      <c r="JS22" s="251"/>
      <c r="JT22" s="251"/>
      <c r="JU22" s="251"/>
      <c r="JV22" s="251"/>
      <c r="JW22" s="251"/>
      <c r="JX22" s="251"/>
      <c r="JY22" s="251"/>
      <c r="JZ22" s="251"/>
      <c r="KA22" s="251"/>
      <c r="KB22" s="251"/>
      <c r="KC22" s="251"/>
      <c r="KD22" s="251"/>
      <c r="KE22" s="251"/>
      <c r="KF22" s="251"/>
      <c r="KG22" s="251"/>
      <c r="KH22" s="251"/>
      <c r="KI22" s="251"/>
      <c r="KJ22" s="251"/>
      <c r="KK22" s="251"/>
      <c r="KL22" s="251"/>
      <c r="KM22" s="251"/>
      <c r="KN22" s="251"/>
      <c r="KO22" s="251"/>
      <c r="KP22" s="251"/>
      <c r="KQ22" s="251"/>
      <c r="KR22" s="251"/>
      <c r="KS22" s="251"/>
      <c r="KT22" s="251"/>
      <c r="KU22" s="251"/>
      <c r="KV22" s="251"/>
      <c r="KW22" s="251"/>
      <c r="KX22" s="251"/>
      <c r="KY22" s="251"/>
      <c r="KZ22" s="251"/>
      <c r="LA22" s="251"/>
      <c r="LB22" s="91"/>
      <c r="LC22" s="91"/>
      <c r="LD22" s="91"/>
      <c r="LE22" s="91"/>
      <c r="LF22" s="91"/>
      <c r="LG22" s="91"/>
      <c r="LH22" s="91"/>
      <c r="LI22" s="250"/>
      <c r="LJ22" s="250"/>
      <c r="LK22" s="250"/>
      <c r="LL22" s="250"/>
      <c r="LM22" s="250"/>
      <c r="LN22" s="250"/>
      <c r="LO22" s="250"/>
      <c r="LP22" s="250"/>
      <c r="LQ22" s="250"/>
      <c r="LR22" s="250"/>
      <c r="LS22" s="91"/>
      <c r="LT22" s="91"/>
      <c r="LU22" s="250"/>
      <c r="LV22" s="250"/>
      <c r="LW22" s="250"/>
      <c r="LX22" s="250"/>
      <c r="LY22" s="250"/>
      <c r="LZ22" s="250"/>
      <c r="MA22" s="250"/>
      <c r="MB22" s="250"/>
      <c r="MC22" s="250"/>
      <c r="MD22" s="250"/>
      <c r="ME22" s="91"/>
      <c r="MF22" s="91"/>
      <c r="MG22" s="250"/>
      <c r="MH22" s="250"/>
      <c r="MI22" s="250"/>
      <c r="MJ22" s="250"/>
      <c r="MK22" s="250"/>
      <c r="ML22" s="250"/>
      <c r="MM22" s="250"/>
      <c r="MN22" s="250"/>
      <c r="MO22" s="250"/>
      <c r="MP22" s="250"/>
      <c r="MQ22" s="91"/>
      <c r="MR22" s="250"/>
      <c r="MS22" s="252"/>
      <c r="MT22" s="252"/>
      <c r="MU22" s="252"/>
      <c r="MV22" s="252"/>
      <c r="MW22" s="266"/>
      <c r="MX22" s="250"/>
      <c r="MY22" s="250"/>
      <c r="MZ22" s="254"/>
      <c r="NA22" s="254"/>
      <c r="NB22" s="254"/>
      <c r="NC22" s="254"/>
      <c r="ND22" s="254"/>
      <c r="NE22" s="254"/>
      <c r="NF22" s="250"/>
      <c r="NG22" s="267"/>
      <c r="NH22" s="267"/>
      <c r="NI22" s="267"/>
      <c r="NJ22" s="267"/>
      <c r="NK22" s="267"/>
      <c r="NL22" s="267"/>
      <c r="NM22" s="267"/>
      <c r="NN22" s="267"/>
      <c r="NO22" s="267"/>
      <c r="NP22" s="267"/>
      <c r="NQ22" s="267"/>
      <c r="NR22" s="267"/>
      <c r="NS22" s="250"/>
      <c r="NT22" s="250"/>
      <c r="NU22" s="250"/>
      <c r="NV22" s="250"/>
      <c r="NW22" s="250"/>
      <c r="NX22" s="250"/>
      <c r="NY22" s="250"/>
      <c r="NZ22" s="250"/>
      <c r="OA22" s="250"/>
      <c r="OB22" s="250"/>
      <c r="OC22" s="250"/>
      <c r="OD22" s="250"/>
      <c r="OE22" s="250"/>
      <c r="OF22" s="250"/>
      <c r="OG22" s="250"/>
      <c r="OH22" s="250"/>
      <c r="OI22" s="91"/>
      <c r="OJ22" s="250"/>
      <c r="OK22" s="250"/>
      <c r="OL22" s="250"/>
      <c r="OM22" s="252"/>
      <c r="ON22" s="252"/>
      <c r="OO22" s="252"/>
      <c r="OP22" s="250"/>
      <c r="OQ22" s="250"/>
      <c r="OR22" s="91"/>
      <c r="OS22" s="250"/>
      <c r="OT22" s="250"/>
      <c r="OU22" s="250"/>
      <c r="OV22" s="250"/>
      <c r="OW22" s="250"/>
      <c r="OX22" s="250"/>
      <c r="OY22" s="258"/>
      <c r="OZ22" s="250"/>
      <c r="PA22" s="252"/>
      <c r="PB22" s="250"/>
      <c r="PC22" s="265"/>
      <c r="PD22" s="265"/>
      <c r="PE22" s="267"/>
      <c r="PF22" s="265"/>
      <c r="PG22" s="265"/>
      <c r="PH22" s="265"/>
      <c r="PI22" s="265"/>
      <c r="PJ22" s="265"/>
      <c r="PK22" s="265"/>
      <c r="PL22" s="265"/>
      <c r="PM22" s="265"/>
      <c r="PN22" s="250"/>
      <c r="PO22" s="265"/>
      <c r="PP22" s="265"/>
      <c r="PQ22" s="267"/>
      <c r="PR22" s="267"/>
      <c r="PS22" s="265"/>
      <c r="PT22" s="265"/>
      <c r="PU22" s="265"/>
      <c r="PV22" s="265"/>
      <c r="PW22" s="265"/>
      <c r="PX22" s="265"/>
      <c r="PY22" s="265"/>
      <c r="PZ22" s="265"/>
      <c r="QA22" s="250"/>
      <c r="QB22" s="265"/>
      <c r="QC22" s="265"/>
      <c r="QD22" s="267"/>
      <c r="QE22" s="265"/>
      <c r="QF22" s="265"/>
      <c r="QG22" s="265"/>
      <c r="QH22" s="265"/>
      <c r="QI22" s="265"/>
      <c r="QJ22" s="265"/>
      <c r="QK22" s="265"/>
      <c r="QL22" s="265"/>
      <c r="QM22" s="250"/>
      <c r="QN22" s="250"/>
      <c r="QO22" s="250"/>
      <c r="QP22" s="250"/>
      <c r="QQ22" s="250"/>
      <c r="QR22" s="250"/>
      <c r="QS22" s="250"/>
      <c r="QT22" s="250"/>
      <c r="QU22" s="252"/>
      <c r="QV22" s="252"/>
      <c r="QW22" s="252"/>
      <c r="QX22" s="250"/>
      <c r="QY22" s="250"/>
      <c r="QZ22" s="250"/>
      <c r="RA22" s="250"/>
      <c r="RB22" s="250"/>
      <c r="RC22" s="250"/>
      <c r="RD22" s="250"/>
      <c r="RE22" s="250"/>
      <c r="RF22" s="250"/>
      <c r="RG22" s="250"/>
      <c r="RH22" s="250"/>
      <c r="RI22" s="91"/>
      <c r="RJ22" s="250"/>
      <c r="RK22" s="251"/>
      <c r="RL22" s="258"/>
      <c r="RM22" s="250"/>
      <c r="RN22" s="265"/>
      <c r="RO22" s="265"/>
      <c r="RP22" s="265"/>
      <c r="RQ22" s="265"/>
      <c r="RR22" s="265"/>
      <c r="RS22" s="265"/>
      <c r="RT22" s="265"/>
      <c r="RU22" s="265"/>
      <c r="RV22" s="265"/>
      <c r="RW22" s="265"/>
      <c r="RX22" s="265"/>
      <c r="RY22" s="250"/>
      <c r="RZ22" s="265"/>
      <c r="SA22" s="265"/>
      <c r="SB22" s="265"/>
      <c r="SC22" s="265"/>
      <c r="SD22" s="265"/>
      <c r="SE22" s="265"/>
      <c r="SF22" s="265"/>
      <c r="SG22" s="265"/>
      <c r="SH22" s="265"/>
      <c r="SI22" s="265"/>
      <c r="SJ22" s="265"/>
      <c r="SK22" s="250"/>
      <c r="SL22" s="265"/>
      <c r="SM22" s="265"/>
      <c r="SN22" s="265"/>
      <c r="SO22" s="265"/>
      <c r="SP22" s="265"/>
      <c r="SQ22" s="265"/>
      <c r="SR22" s="265"/>
      <c r="SS22" s="265"/>
      <c r="ST22" s="265"/>
      <c r="SU22" s="265"/>
      <c r="SV22" s="265"/>
      <c r="SW22" s="250"/>
      <c r="SX22" s="265"/>
      <c r="SY22" s="265"/>
      <c r="SZ22" s="265"/>
      <c r="TA22" s="265"/>
      <c r="TB22" s="265"/>
      <c r="TC22" s="265"/>
      <c r="TD22" s="265"/>
      <c r="TE22" s="265"/>
      <c r="TF22" s="265"/>
      <c r="TG22" s="265"/>
      <c r="TH22" s="265"/>
      <c r="TI22" s="250"/>
      <c r="TJ22" s="267"/>
      <c r="TK22" s="267"/>
      <c r="TL22" s="267"/>
      <c r="TM22" s="267"/>
      <c r="TN22" s="267"/>
      <c r="TO22" s="267"/>
      <c r="TP22" s="267"/>
      <c r="TQ22" s="267"/>
      <c r="TR22" s="267"/>
      <c r="TS22" s="267"/>
      <c r="TT22" s="267"/>
      <c r="TU22" s="267"/>
      <c r="TV22" s="251"/>
      <c r="TW22" s="251"/>
      <c r="TX22" s="251"/>
      <c r="TY22" s="251"/>
      <c r="TZ22" s="251"/>
      <c r="UA22" s="251"/>
      <c r="UB22" s="251"/>
      <c r="UC22" s="251"/>
      <c r="UD22" s="251"/>
      <c r="UE22" s="251"/>
      <c r="UF22" s="251"/>
      <c r="UG22" s="251"/>
      <c r="UH22" s="251"/>
      <c r="UI22" s="251"/>
      <c r="UJ22" s="251"/>
      <c r="UK22" s="251"/>
      <c r="UL22" s="251"/>
      <c r="UM22" s="251"/>
      <c r="UN22" s="251"/>
      <c r="UO22" s="251"/>
      <c r="UP22" s="251"/>
      <c r="UQ22" s="251"/>
      <c r="UR22" s="251"/>
      <c r="US22" s="251"/>
      <c r="UT22" s="251"/>
      <c r="UU22" s="251"/>
      <c r="UV22" s="251"/>
      <c r="UW22" s="251"/>
      <c r="UX22" s="251"/>
      <c r="UY22" s="251"/>
      <c r="UZ22" s="251"/>
      <c r="VA22" s="251"/>
      <c r="VB22" s="251"/>
      <c r="VC22" s="251"/>
      <c r="VD22" s="91"/>
      <c r="VE22" s="91"/>
      <c r="VF22" s="91"/>
      <c r="VG22" s="91"/>
      <c r="VH22" s="91"/>
      <c r="VI22" s="91"/>
      <c r="VJ22" s="91"/>
      <c r="VK22" s="250"/>
      <c r="VL22" s="250"/>
      <c r="VM22" s="250"/>
      <c r="VN22" s="250"/>
      <c r="VO22" s="250"/>
      <c r="VP22" s="250"/>
      <c r="VQ22" s="250"/>
      <c r="VR22" s="250"/>
      <c r="VS22" s="250"/>
      <c r="VT22" s="250"/>
      <c r="VU22" s="91"/>
      <c r="VV22" s="91"/>
      <c r="VW22" s="250"/>
      <c r="VX22" s="250"/>
      <c r="VY22" s="250"/>
      <c r="VZ22" s="250"/>
      <c r="WA22" s="250"/>
      <c r="WB22" s="250"/>
      <c r="WC22" s="250"/>
      <c r="WD22" s="250"/>
      <c r="WE22" s="250"/>
      <c r="WF22" s="250"/>
      <c r="WG22" s="91"/>
      <c r="WH22" s="91"/>
      <c r="WI22" s="250"/>
      <c r="WJ22" s="250"/>
      <c r="WK22" s="250"/>
      <c r="WL22" s="250"/>
      <c r="WM22" s="250"/>
      <c r="WN22" s="250"/>
      <c r="WO22" s="250"/>
      <c r="WP22" s="250"/>
      <c r="WQ22" s="250"/>
      <c r="WR22" s="250"/>
      <c r="WS22" s="91"/>
      <c r="WT22" s="250"/>
      <c r="WU22" s="250"/>
      <c r="WV22" s="250"/>
      <c r="WW22" s="250"/>
      <c r="WX22" s="250"/>
      <c r="WY22" s="250"/>
      <c r="WZ22" s="250"/>
      <c r="XA22" s="250"/>
      <c r="XB22" s="250"/>
      <c r="XC22" s="250"/>
      <c r="XD22" s="250"/>
      <c r="XE22" s="250"/>
      <c r="XF22" s="250"/>
      <c r="XG22" s="250"/>
      <c r="XH22" s="252"/>
      <c r="XI22" s="252"/>
      <c r="XJ22" s="252"/>
      <c r="XK22" s="97"/>
      <c r="XL22" s="250"/>
      <c r="XM22" s="97"/>
      <c r="XN22" s="97"/>
      <c r="XO22" s="97"/>
      <c r="XP22" s="250"/>
      <c r="XQ22" s="250"/>
      <c r="XR22" s="250"/>
      <c r="XS22" s="250"/>
      <c r="XT22" s="250"/>
      <c r="XU22" s="258"/>
      <c r="XV22" s="250"/>
      <c r="XW22" s="252"/>
      <c r="XX22" s="250"/>
      <c r="XY22" s="250"/>
      <c r="XZ22" s="250"/>
      <c r="YA22" s="250"/>
      <c r="YB22" s="250"/>
      <c r="YC22" s="250"/>
      <c r="YD22" s="252"/>
      <c r="YE22" s="252"/>
      <c r="YF22" s="252"/>
      <c r="YG22" s="250"/>
      <c r="YH22" s="250"/>
      <c r="YI22" s="250"/>
      <c r="YJ22" s="250"/>
      <c r="YK22" s="250"/>
      <c r="YL22" s="250"/>
      <c r="YM22" s="250"/>
      <c r="YN22" s="250"/>
      <c r="YO22" s="250"/>
      <c r="YP22" s="250"/>
      <c r="YQ22" s="250"/>
      <c r="YR22" s="250"/>
      <c r="YS22" s="250"/>
      <c r="YT22" s="250"/>
      <c r="YU22" s="250"/>
      <c r="YV22" s="250"/>
      <c r="YW22" s="250"/>
      <c r="YX22" s="250"/>
      <c r="YY22" s="250"/>
      <c r="YZ22" s="250"/>
      <c r="ZA22" s="250"/>
      <c r="ZB22" s="250"/>
      <c r="ZC22" s="250"/>
      <c r="ZD22" s="250"/>
      <c r="ZE22" s="250"/>
      <c r="ZF22" s="258"/>
      <c r="ZG22" s="259"/>
      <c r="ZH22" s="260"/>
      <c r="ZI22" s="261"/>
      <c r="ZK22" s="268"/>
      <c r="ZL22" s="167"/>
      <c r="ZM22" s="269"/>
      <c r="ZN22" s="269"/>
      <c r="ZO22" s="269"/>
      <c r="ZP22" s="269"/>
      <c r="ZQ22" s="269"/>
      <c r="ZR22" s="269"/>
      <c r="ZS22" s="269"/>
      <c r="ZT22" s="269"/>
      <c r="ZU22" s="269"/>
      <c r="ZV22" s="269"/>
      <c r="ZW22" s="269"/>
      <c r="ZX22" s="269"/>
      <c r="ZY22" s="269"/>
      <c r="ZZ22" s="269"/>
      <c r="AAA22" s="269"/>
      <c r="AAB22" s="269"/>
      <c r="AAC22" s="269"/>
      <c r="AAD22" s="269"/>
      <c r="AAE22" s="250"/>
      <c r="AAF22" s="263"/>
      <c r="AAG22" s="243"/>
      <c r="AAH22" s="243"/>
      <c r="AAI22" s="243"/>
      <c r="AAJ22" s="243"/>
      <c r="AAK22" s="250"/>
      <c r="AAL22" s="263"/>
      <c r="AAM22" s="263"/>
      <c r="AAN22" s="263"/>
      <c r="AAO22" s="263"/>
      <c r="AAP22" s="263"/>
      <c r="AAQ22" s="250"/>
      <c r="AAR22" s="265"/>
      <c r="AAS22" s="265"/>
      <c r="AAT22" s="267"/>
      <c r="AAU22" s="267"/>
      <c r="AAV22" s="265"/>
      <c r="AAW22" s="265"/>
      <c r="AAX22" s="265"/>
      <c r="AAY22" s="265"/>
      <c r="AAZ22" s="265"/>
      <c r="ABA22" s="265"/>
      <c r="ABB22" s="265"/>
      <c r="ABC22" s="250"/>
      <c r="ABD22" s="265"/>
      <c r="ABE22" s="265"/>
      <c r="ABF22" s="267"/>
      <c r="ABG22" s="267"/>
      <c r="ABH22" s="265"/>
      <c r="ABI22" s="265"/>
      <c r="ABJ22" s="265"/>
      <c r="ABK22" s="265"/>
      <c r="ABL22" s="265"/>
      <c r="ABM22" s="265"/>
      <c r="ABN22" s="265"/>
      <c r="ABO22" s="250"/>
      <c r="ABP22" s="263"/>
      <c r="ABQ22" s="243"/>
      <c r="ABR22" s="243"/>
      <c r="ABS22" s="243"/>
      <c r="ABT22" s="243"/>
      <c r="ABU22" s="250"/>
      <c r="ABV22" s="263"/>
      <c r="ABW22" s="243"/>
      <c r="ABX22" s="243"/>
      <c r="ABY22" s="243"/>
      <c r="ABZ22" s="243"/>
      <c r="ACA22" s="250"/>
      <c r="ACB22" s="265"/>
      <c r="ACC22" s="265"/>
      <c r="ACD22" s="267"/>
      <c r="ACE22" s="267"/>
      <c r="ACF22" s="265"/>
      <c r="ACG22" s="265"/>
      <c r="ACH22" s="265"/>
      <c r="ACI22" s="265"/>
      <c r="ACJ22" s="265"/>
      <c r="ACK22" s="265"/>
      <c r="ACL22" s="265"/>
      <c r="ACM22" s="265"/>
      <c r="ACN22" s="245"/>
    </row>
    <row r="23" spans="1:768" s="95" customFormat="1" ht="14.45" customHeight="1">
      <c r="A23" s="245"/>
      <c r="B23" s="270" t="s">
        <v>462</v>
      </c>
      <c r="C23" s="271" t="s">
        <v>379</v>
      </c>
      <c r="D23" s="272"/>
      <c r="E23" s="271" t="s">
        <v>380</v>
      </c>
      <c r="F23" s="273"/>
      <c r="G23" s="265" t="str" cm="1">
        <f t="array" aca="1" ref="G23" ca="1">INDEX(INDIRECT($C$3),G$3)</f>
        <v/>
      </c>
      <c r="H23" s="265"/>
      <c r="I23" s="265"/>
      <c r="J23" s="265"/>
      <c r="K23" s="265"/>
      <c r="L23" s="265"/>
      <c r="M23" s="265"/>
      <c r="N23" s="265"/>
      <c r="O23" s="265"/>
      <c r="P23" s="265"/>
      <c r="Q23" s="274" t="str" cm="1">
        <f t="array" aca="1" ref="Q23" ca="1">IFERROR(INDEX(INDIRECT(Q$4),G$3),"")</f>
        <v/>
      </c>
      <c r="R23" s="250"/>
      <c r="S23" s="265" t="str" cm="1">
        <f t="array" aca="1" ref="S23" ca="1">INDEX(INDIRECT($C$3),S$3)</f>
        <v/>
      </c>
      <c r="T23" s="265"/>
      <c r="U23" s="265"/>
      <c r="V23" s="265"/>
      <c r="W23" s="265"/>
      <c r="X23" s="265"/>
      <c r="Y23" s="265"/>
      <c r="Z23" s="265"/>
      <c r="AA23" s="265"/>
      <c r="AB23" s="265"/>
      <c r="AC23" s="274" t="str" cm="1">
        <f t="array" aca="1" ref="AC23" ca="1">IFERROR(INDEX(INDIRECT(AC$5),S$3),"")</f>
        <v/>
      </c>
      <c r="AD23" s="250"/>
      <c r="AE23" s="265" t="str" cm="1">
        <f t="array" aca="1" ref="AE23" ca="1">INDEX(INDIRECT($C$3),AE$3)</f>
        <v/>
      </c>
      <c r="AF23" s="265"/>
      <c r="AG23" s="265"/>
      <c r="AH23" s="265"/>
      <c r="AI23" s="265"/>
      <c r="AJ23" s="265"/>
      <c r="AK23" s="265"/>
      <c r="AL23" s="265"/>
      <c r="AM23" s="265"/>
      <c r="AN23" s="265"/>
      <c r="AO23" s="274" t="str" cm="1">
        <f t="array" aca="1" ref="AO23" ca="1">IFERROR(INDEX(INDIRECT(AO$5),AE$3),"")</f>
        <v/>
      </c>
      <c r="AP23" s="250"/>
      <c r="AQ23" s="265" t="str" cm="1">
        <f t="array" aca="1" ref="AQ23" ca="1">INDEX(INDIRECT($C$3),AQ$3)</f>
        <v/>
      </c>
      <c r="AR23" s="265"/>
      <c r="AS23" s="265"/>
      <c r="AT23" s="265"/>
      <c r="AU23" s="265"/>
      <c r="AV23" s="265"/>
      <c r="AW23" s="265"/>
      <c r="AX23" s="265"/>
      <c r="AY23" s="265"/>
      <c r="AZ23" s="265"/>
      <c r="BA23" s="274" t="str" cm="1">
        <f t="array" aca="1" ref="BA23" ca="1">IFERROR(INDEX(INDIRECT(BA$5),AQ$3),"")</f>
        <v/>
      </c>
      <c r="BB23" s="250"/>
      <c r="BC23" s="265" t="str" cm="1">
        <f t="array" aca="1" ref="BC23" ca="1">INDEX(INDIRECT($C$3),BC$3)</f>
        <v/>
      </c>
      <c r="BD23" s="265"/>
      <c r="BE23" s="265"/>
      <c r="BF23" s="265"/>
      <c r="BG23" s="265"/>
      <c r="BH23" s="265"/>
      <c r="BI23" s="265"/>
      <c r="BJ23" s="265"/>
      <c r="BK23" s="265"/>
      <c r="BL23" s="265"/>
      <c r="BM23" s="274" t="str" cm="1">
        <f t="array" aca="1" ref="BM23" ca="1">IFERROR(INDEX(INDIRECT(BM$5),BC$3),"")</f>
        <v/>
      </c>
      <c r="BN23" s="250"/>
      <c r="BO23" s="265" t="str" cm="1">
        <f t="array" aca="1" ref="BO23" ca="1">INDEX(INDIRECT($C$3),BO$3)</f>
        <v/>
      </c>
      <c r="BP23" s="265"/>
      <c r="BQ23" s="265"/>
      <c r="BR23" s="265"/>
      <c r="BS23" s="265"/>
      <c r="BT23" s="265"/>
      <c r="BU23" s="265"/>
      <c r="BV23" s="265"/>
      <c r="BW23" s="265"/>
      <c r="BX23" s="265"/>
      <c r="BY23" s="274" t="str" cm="1">
        <f t="array" aca="1" ref="BY23" ca="1">IFERROR(INDEX(INDIRECT(BY$5),BO$3),"")</f>
        <v/>
      </c>
      <c r="BZ23" s="250"/>
      <c r="CA23" s="265" t="str" cm="1">
        <f t="array" aca="1" ref="CA23" ca="1">INDEX(INDIRECT($C$3),CA$3)</f>
        <v/>
      </c>
      <c r="CB23" s="265"/>
      <c r="CC23" s="265"/>
      <c r="CD23" s="265"/>
      <c r="CE23" s="265"/>
      <c r="CF23" s="265"/>
      <c r="CG23" s="265"/>
      <c r="CH23" s="265"/>
      <c r="CI23" s="265"/>
      <c r="CJ23" s="265"/>
      <c r="CK23" s="274" t="str" cm="1">
        <f t="array" aca="1" ref="CK23" ca="1">IFERROR(INDEX(INDIRECT(CK$5),CA$3),"")</f>
        <v/>
      </c>
      <c r="CL23" s="250"/>
      <c r="CM23" s="265" t="str" cm="1">
        <f t="array" aca="1" ref="CM23" ca="1">INDEX(INDIRECT($C$3),CM$3)</f>
        <v/>
      </c>
      <c r="CN23" s="265"/>
      <c r="CO23" s="265"/>
      <c r="CP23" s="265"/>
      <c r="CQ23" s="265"/>
      <c r="CR23" s="265"/>
      <c r="CS23" s="265"/>
      <c r="CT23" s="265"/>
      <c r="CU23" s="265"/>
      <c r="CV23" s="265"/>
      <c r="CW23" s="274" t="str" cm="1">
        <f t="array" aca="1" ref="CW23" ca="1">IFERROR(INDEX(INDIRECT(CW$5),CM$3),"")</f>
        <v/>
      </c>
      <c r="CX23" s="250"/>
      <c r="CY23" s="265" t="str" cm="1">
        <f t="array" aca="1" ref="CY23" ca="1">INDEX(INDIRECT($C$3),CY$3)</f>
        <v/>
      </c>
      <c r="CZ23" s="265"/>
      <c r="DA23" s="265"/>
      <c r="DB23" s="265"/>
      <c r="DC23" s="265"/>
      <c r="DD23" s="265"/>
      <c r="DE23" s="265"/>
      <c r="DF23" s="265"/>
      <c r="DG23" s="265"/>
      <c r="DH23" s="265"/>
      <c r="DI23" s="274" t="str" cm="1">
        <f t="array" aca="1" ref="DI23" ca="1">IFERROR(INDEX(INDIRECT(DI$5),CY$3),"")</f>
        <v/>
      </c>
      <c r="DJ23" s="251"/>
      <c r="DK23" s="250"/>
      <c r="DL23" s="250"/>
      <c r="DM23" s="250"/>
      <c r="DN23" s="250"/>
      <c r="DO23" s="250"/>
      <c r="DP23" s="250"/>
      <c r="DQ23" s="91"/>
      <c r="DR23" s="252"/>
      <c r="DS23" s="252"/>
      <c r="DT23" s="250"/>
      <c r="DU23" s="250"/>
      <c r="DV23" s="250"/>
      <c r="DW23" s="250"/>
      <c r="DX23" s="250"/>
      <c r="DY23" s="250"/>
      <c r="DZ23" s="250"/>
      <c r="EA23" s="250"/>
      <c r="EB23" s="250"/>
      <c r="EC23" s="250"/>
      <c r="ED23" s="250"/>
      <c r="EE23" s="91"/>
      <c r="EF23" s="250"/>
      <c r="EG23" s="250"/>
      <c r="EH23" s="250"/>
      <c r="EI23" s="250"/>
      <c r="EJ23" s="250"/>
      <c r="EK23" s="250"/>
      <c r="EL23" s="252"/>
      <c r="EM23" s="252"/>
      <c r="EN23" s="252"/>
      <c r="EO23" s="250"/>
      <c r="EP23" s="250"/>
      <c r="EQ23" s="250"/>
      <c r="ER23" s="250"/>
      <c r="ES23" s="250"/>
      <c r="ET23" s="250"/>
      <c r="EU23" s="250"/>
      <c r="EV23" s="250"/>
      <c r="EW23" s="250"/>
      <c r="EX23" s="250"/>
      <c r="EY23" s="250"/>
      <c r="EZ23" s="91"/>
      <c r="FA23" s="250"/>
      <c r="FB23" s="250"/>
      <c r="FC23" s="250"/>
      <c r="FD23" s="250"/>
      <c r="FE23" s="250"/>
      <c r="FF23" s="250"/>
      <c r="FG23" s="252"/>
      <c r="FH23" s="252"/>
      <c r="FI23" s="252"/>
      <c r="FJ23" s="250"/>
      <c r="FK23" s="250"/>
      <c r="FL23" s="250"/>
      <c r="FM23" s="250"/>
      <c r="FN23" s="250"/>
      <c r="FO23" s="250"/>
      <c r="FP23" s="250"/>
      <c r="FQ23" s="250"/>
      <c r="FR23" s="250"/>
      <c r="FS23" s="250"/>
      <c r="FT23" s="250"/>
      <c r="FU23" s="91"/>
      <c r="FV23" s="250"/>
      <c r="FW23" s="250"/>
      <c r="FX23" s="250"/>
      <c r="FY23" s="250"/>
      <c r="FZ23" s="250"/>
      <c r="GA23" s="250"/>
      <c r="GB23" s="250"/>
      <c r="GC23" s="250"/>
      <c r="GD23" s="252"/>
      <c r="GE23" s="252"/>
      <c r="GF23" s="252"/>
      <c r="GG23" s="250"/>
      <c r="GH23" s="250"/>
      <c r="GI23" s="250"/>
      <c r="GJ23" s="250"/>
      <c r="GK23" s="250"/>
      <c r="GL23" s="250"/>
      <c r="GM23" s="250"/>
      <c r="GN23" s="250"/>
      <c r="GO23" s="250"/>
      <c r="GP23" s="250"/>
      <c r="GQ23" s="250"/>
      <c r="GR23" s="91"/>
      <c r="GS23" s="250"/>
      <c r="GT23" s="250"/>
      <c r="GU23" s="250"/>
      <c r="GV23" s="250"/>
      <c r="GW23" s="250"/>
      <c r="GX23" s="252"/>
      <c r="GY23" s="252"/>
      <c r="GZ23" s="252"/>
      <c r="HA23" s="250"/>
      <c r="HB23" s="250"/>
      <c r="HC23" s="250"/>
      <c r="HD23" s="250"/>
      <c r="HE23" s="250"/>
      <c r="HF23" s="250"/>
      <c r="HG23" s="250"/>
      <c r="HH23" s="250"/>
      <c r="HI23" s="250"/>
      <c r="HJ23" s="250"/>
      <c r="HK23" s="250"/>
      <c r="HL23" s="266"/>
      <c r="HM23" s="250"/>
      <c r="HN23" s="252"/>
      <c r="HO23" s="250"/>
      <c r="HP23" s="265" t="str" cm="1">
        <f t="array" aca="1" ref="HP23" ca="1">INDEX(INDIRECT($C$3),HP$3)</f>
        <v xml:space="preserve">Maximalwert: </v>
      </c>
      <c r="HQ23" s="265"/>
      <c r="HR23" s="267"/>
      <c r="HS23" s="267"/>
      <c r="HT23" s="267"/>
      <c r="HU23" s="267"/>
      <c r="HV23" s="267"/>
      <c r="HW23" s="275" cm="1">
        <f t="array" aca="1" ref="HW23" ca="1">IFERROR(INDEX(INDIRECT(HW$5),HP$3),"")</f>
        <v>20</v>
      </c>
      <c r="HX23" s="250"/>
      <c r="HY23" s="265" t="str" cm="1">
        <f t="array" aca="1" ref="HY23" ca="1">INDEX(INDIRECT($C$3),HY$3)</f>
        <v xml:space="preserve">Maximalwert: </v>
      </c>
      <c r="HZ23" s="265"/>
      <c r="IA23" s="267"/>
      <c r="IB23" s="267"/>
      <c r="IC23" s="267"/>
      <c r="ID23" s="267"/>
      <c r="IE23" s="267"/>
      <c r="IF23" s="275" cm="1">
        <f t="array" aca="1" ref="IF23" ca="1">IFERROR(INDEX(INDIRECT(IF$5),HY$3),"")</f>
        <v>20</v>
      </c>
      <c r="IG23" s="250"/>
      <c r="IH23" s="265" t="str" cm="1">
        <f t="array" aca="1" ref="IH23" ca="1">INDEX(INDIRECT($C$3),IH$3)</f>
        <v xml:space="preserve">Maximalwert: </v>
      </c>
      <c r="II23" s="265"/>
      <c r="IJ23" s="267"/>
      <c r="IK23" s="267"/>
      <c r="IL23" s="267"/>
      <c r="IM23" s="267"/>
      <c r="IN23" s="267"/>
      <c r="IO23" s="275" cm="1">
        <f t="array" aca="1" ref="IO23" ca="1">IFERROR(INDEX(INDIRECT(IO$5),IH$3),"")</f>
        <v>20</v>
      </c>
      <c r="IP23" s="250"/>
      <c r="IQ23" s="265" t="str" cm="1">
        <f t="array" aca="1" ref="IQ23" ca="1">INDEX(INDIRECT($C$3),IQ$3)</f>
        <v xml:space="preserve">Maximalwert: </v>
      </c>
      <c r="IR23" s="265"/>
      <c r="IS23" s="267"/>
      <c r="IT23" s="267"/>
      <c r="IU23" s="267"/>
      <c r="IV23" s="267"/>
      <c r="IW23" s="267"/>
      <c r="IX23" s="275" cm="1">
        <f t="array" aca="1" ref="IX23" ca="1">IFERROR(INDEX(INDIRECT(IX$5),IQ$3),"")</f>
        <v>20</v>
      </c>
      <c r="IY23" s="250"/>
      <c r="IZ23" s="265" t="str" cm="1">
        <f t="array" aca="1" ref="IZ23" ca="1">INDEX(INDIRECT($C$3),IZ$3)</f>
        <v xml:space="preserve">Maximalwert: </v>
      </c>
      <c r="JA23" s="265"/>
      <c r="JB23" s="267"/>
      <c r="JC23" s="267"/>
      <c r="JD23" s="267"/>
      <c r="JE23" s="267"/>
      <c r="JF23" s="267"/>
      <c r="JG23" s="275" cm="1">
        <f t="array" aca="1" ref="JG23" ca="1">IFERROR(INDEX(INDIRECT(JG$5),IZ$3),"")</f>
        <v>20</v>
      </c>
      <c r="JH23" s="250"/>
      <c r="JI23" s="265" t="str" cm="1">
        <f t="array" aca="1" ref="JI23" ca="1">INDEX(INDIRECT($C$3),JI$3)</f>
        <v xml:space="preserve">Maximalwert: </v>
      </c>
      <c r="JJ23" s="265"/>
      <c r="JK23" s="267"/>
      <c r="JL23" s="267"/>
      <c r="JM23" s="267"/>
      <c r="JN23" s="267"/>
      <c r="JO23" s="267"/>
      <c r="JP23" s="275" cm="1">
        <f t="array" aca="1" ref="JP23" ca="1">IFERROR(INDEX(INDIRECT(JP$5),JI$3),"")</f>
        <v>20</v>
      </c>
      <c r="JQ23" s="251"/>
      <c r="JR23" s="276">
        <f>COLUMN()</f>
        <v>278</v>
      </c>
      <c r="JS23" s="276">
        <f>COLUMN()</f>
        <v>279</v>
      </c>
      <c r="JT23" s="276">
        <f>COLUMN()</f>
        <v>280</v>
      </c>
      <c r="JU23" s="276">
        <f>COLUMN()</f>
        <v>281</v>
      </c>
      <c r="JV23" s="276">
        <f>COLUMN()</f>
        <v>282</v>
      </c>
      <c r="JW23" s="276">
        <f>COLUMN()</f>
        <v>283</v>
      </c>
      <c r="JX23" s="276">
        <v>1</v>
      </c>
      <c r="JY23" s="276">
        <v>2</v>
      </c>
      <c r="JZ23" s="276">
        <v>3</v>
      </c>
      <c r="KA23" s="277" t="s">
        <v>341</v>
      </c>
      <c r="KB23" s="277"/>
      <c r="KC23" s="277"/>
      <c r="KD23" s="277"/>
      <c r="KE23" s="277" t="s">
        <v>342</v>
      </c>
      <c r="KF23" s="277"/>
      <c r="KG23" s="277"/>
      <c r="KH23" s="277"/>
      <c r="KI23" s="277" t="s">
        <v>343</v>
      </c>
      <c r="KJ23" s="251"/>
      <c r="KK23" s="251"/>
      <c r="KL23" s="251"/>
      <c r="KM23" s="251"/>
      <c r="KN23" s="251"/>
      <c r="KO23" s="251"/>
      <c r="KP23" s="251"/>
      <c r="KQ23" s="251"/>
      <c r="KR23" s="251"/>
      <c r="KS23" s="251"/>
      <c r="KT23" s="251"/>
      <c r="KU23" s="251"/>
      <c r="KV23" s="251"/>
      <c r="KW23" s="251"/>
      <c r="KX23" s="251"/>
      <c r="KY23" s="251"/>
      <c r="KZ23" s="251"/>
      <c r="LA23" s="251"/>
      <c r="LB23" s="91"/>
      <c r="LC23" s="91"/>
      <c r="LD23" s="91"/>
      <c r="LE23" s="91"/>
      <c r="LF23" s="91"/>
      <c r="LG23" s="91"/>
      <c r="LH23" s="91"/>
      <c r="LI23" s="250"/>
      <c r="LJ23" s="250"/>
      <c r="LK23" s="250"/>
      <c r="LL23" s="250"/>
      <c r="LM23" s="250"/>
      <c r="LN23" s="250"/>
      <c r="LO23" s="250"/>
      <c r="LP23" s="250"/>
      <c r="LQ23" s="250"/>
      <c r="LR23" s="250"/>
      <c r="LS23" s="91"/>
      <c r="LT23" s="91"/>
      <c r="LU23" s="250"/>
      <c r="LV23" s="250"/>
      <c r="LW23" s="250"/>
      <c r="LX23" s="250"/>
      <c r="LY23" s="250"/>
      <c r="LZ23" s="250"/>
      <c r="MA23" s="250"/>
      <c r="MB23" s="250"/>
      <c r="MC23" s="250"/>
      <c r="MD23" s="250"/>
      <c r="ME23" s="91"/>
      <c r="MF23" s="91"/>
      <c r="MG23" s="250"/>
      <c r="MH23" s="250"/>
      <c r="MI23" s="250"/>
      <c r="MJ23" s="250"/>
      <c r="MK23" s="250"/>
      <c r="ML23" s="250"/>
      <c r="MM23" s="250"/>
      <c r="MN23" s="250"/>
      <c r="MO23" s="250"/>
      <c r="MP23" s="250"/>
      <c r="MQ23" s="91"/>
      <c r="MR23" s="250"/>
      <c r="MS23" s="252"/>
      <c r="MT23" s="252"/>
      <c r="MU23" s="252"/>
      <c r="MV23" s="252"/>
      <c r="MW23" s="266"/>
      <c r="MX23" s="250"/>
      <c r="MY23" s="250"/>
      <c r="MZ23" s="254"/>
      <c r="NA23" s="254"/>
      <c r="NB23" s="254"/>
      <c r="NC23" s="254"/>
      <c r="ND23" s="254"/>
      <c r="NE23" s="254"/>
      <c r="NF23" s="250"/>
      <c r="NG23" s="267" t="str" cm="1">
        <f t="array" aca="1" ref="NG23" ca="1">INDEX(INDIRECT($C$3),NG$3)</f>
        <v xml:space="preserve">Maximalwert: </v>
      </c>
      <c r="NH23" s="267"/>
      <c r="NI23" s="267"/>
      <c r="NJ23" s="267"/>
      <c r="NK23" s="267"/>
      <c r="NL23" s="267"/>
      <c r="NM23" s="267"/>
      <c r="NN23" s="267"/>
      <c r="NO23" s="267"/>
      <c r="NP23" s="267"/>
      <c r="NQ23" s="267"/>
      <c r="NR23" s="275" cm="1">
        <f t="array" aca="1" ref="NR23" ca="1">IFERROR(INDEX(INDIRECT(NR$5),NG$3),"")</f>
        <v>26</v>
      </c>
      <c r="NS23" s="250"/>
      <c r="NT23" s="250"/>
      <c r="NU23" s="250"/>
      <c r="NV23" s="250"/>
      <c r="NW23" s="250"/>
      <c r="NX23" s="250"/>
      <c r="NY23" s="250"/>
      <c r="NZ23" s="250"/>
      <c r="OA23" s="250"/>
      <c r="OB23" s="250"/>
      <c r="OC23" s="250"/>
      <c r="OD23" s="250"/>
      <c r="OE23" s="250"/>
      <c r="OF23" s="250"/>
      <c r="OG23" s="250"/>
      <c r="OH23" s="250"/>
      <c r="OI23" s="91"/>
      <c r="OJ23" s="250"/>
      <c r="OK23" s="250"/>
      <c r="OL23" s="250"/>
      <c r="OM23" s="252"/>
      <c r="ON23" s="252"/>
      <c r="OO23" s="252"/>
      <c r="OP23" s="250"/>
      <c r="OQ23" s="250"/>
      <c r="OR23" s="91"/>
      <c r="OS23" s="250"/>
      <c r="OT23" s="250"/>
      <c r="OU23" s="250"/>
      <c r="OV23" s="250"/>
      <c r="OW23" s="250"/>
      <c r="OX23" s="250"/>
      <c r="OY23" s="258"/>
      <c r="OZ23" s="250"/>
      <c r="PA23" s="252"/>
      <c r="PB23" s="250"/>
      <c r="PC23" s="265" t="str" cm="1">
        <f t="array" aca="1" ref="PC23" ca="1">INDEX(INDIRECT($C$3),PC$3)</f>
        <v xml:space="preserve">Maximalwert: </v>
      </c>
      <c r="PD23" s="265"/>
      <c r="PE23" s="267"/>
      <c r="PF23" s="265"/>
      <c r="PG23" s="265"/>
      <c r="PH23" s="265"/>
      <c r="PI23" s="265"/>
      <c r="PJ23" s="265"/>
      <c r="PK23" s="265"/>
      <c r="PL23" s="265"/>
      <c r="PM23" s="274" cm="1">
        <f t="array" aca="1" ref="PM23" ca="1">IFERROR(INDEX(INDIRECT(PM$5),PC$3),"")</f>
        <v>12</v>
      </c>
      <c r="PN23" s="250"/>
      <c r="PO23" s="265" t="str" cm="1">
        <f t="array" aca="1" ref="PO23" ca="1">INDEX(INDIRECT($C$3),PO$3)</f>
        <v xml:space="preserve">Maximalwert: </v>
      </c>
      <c r="PP23" s="265"/>
      <c r="PQ23" s="267"/>
      <c r="PR23" s="267"/>
      <c r="PS23" s="265"/>
      <c r="PT23" s="265"/>
      <c r="PU23" s="265"/>
      <c r="PV23" s="265"/>
      <c r="PW23" s="265"/>
      <c r="PX23" s="265"/>
      <c r="PY23" s="265"/>
      <c r="PZ23" s="274" cm="1">
        <f t="array" aca="1" ref="PZ23" ca="1">IFERROR(INDEX(INDIRECT(PZ$5),PO$3),"")</f>
        <v>16</v>
      </c>
      <c r="QA23" s="250"/>
      <c r="QB23" s="265" t="str" cm="1">
        <f t="array" aca="1" ref="QB23" ca="1">INDEX(INDIRECT($C$3),QB$3)</f>
        <v xml:space="preserve">Maximalwert: </v>
      </c>
      <c r="QC23" s="265"/>
      <c r="QD23" s="267"/>
      <c r="QE23" s="265"/>
      <c r="QF23" s="265"/>
      <c r="QG23" s="265"/>
      <c r="QH23" s="265"/>
      <c r="QI23" s="265"/>
      <c r="QJ23" s="265"/>
      <c r="QK23" s="265"/>
      <c r="QL23" s="274" cm="1">
        <f t="array" aca="1" ref="QL23" ca="1">IFERROR(INDEX(INDIRECT(QL$5),QB$3),"")</f>
        <v>12</v>
      </c>
      <c r="QM23" s="250"/>
      <c r="QN23" s="250"/>
      <c r="QO23" s="250"/>
      <c r="QP23" s="250"/>
      <c r="QQ23" s="250"/>
      <c r="QR23" s="250"/>
      <c r="QS23" s="250"/>
      <c r="QT23" s="250"/>
      <c r="QU23" s="252"/>
      <c r="QV23" s="252"/>
      <c r="QW23" s="252"/>
      <c r="QX23" s="250"/>
      <c r="QY23" s="250"/>
      <c r="QZ23" s="250"/>
      <c r="RA23" s="250"/>
      <c r="RB23" s="250"/>
      <c r="RC23" s="250"/>
      <c r="RD23" s="250"/>
      <c r="RE23" s="250"/>
      <c r="RF23" s="250"/>
      <c r="RG23" s="250"/>
      <c r="RH23" s="250"/>
      <c r="RI23" s="91"/>
      <c r="RJ23" s="250"/>
      <c r="RK23" s="251"/>
      <c r="RL23" s="258"/>
      <c r="RM23" s="250"/>
      <c r="RN23" s="265" t="str" cm="1">
        <f t="array" aca="1" ref="RN23" ca="1">INDEX(INDIRECT($C$3),RN$3)</f>
        <v/>
      </c>
      <c r="RO23" s="265"/>
      <c r="RP23" s="265"/>
      <c r="RQ23" s="265"/>
      <c r="RR23" s="265"/>
      <c r="RS23" s="265"/>
      <c r="RT23" s="265"/>
      <c r="RU23" s="265"/>
      <c r="RV23" s="265"/>
      <c r="RW23" s="265"/>
      <c r="RX23" s="274" t="str" cm="1">
        <f t="array" aca="1" ref="RX23" ca="1">IFERROR(INDEX(INDIRECT(RX$5),RN$3),"")</f>
        <v/>
      </c>
      <c r="RY23" s="250"/>
      <c r="RZ23" s="265" t="str" cm="1">
        <f t="array" aca="1" ref="RZ23" ca="1">INDEX(INDIRECT($C$3),RZ$3)</f>
        <v/>
      </c>
      <c r="SA23" s="265"/>
      <c r="SB23" s="265"/>
      <c r="SC23" s="265"/>
      <c r="SD23" s="265"/>
      <c r="SE23" s="265"/>
      <c r="SF23" s="265"/>
      <c r="SG23" s="265"/>
      <c r="SH23" s="265"/>
      <c r="SI23" s="265"/>
      <c r="SJ23" s="274" t="str" cm="1">
        <f t="array" aca="1" ref="SJ23" ca="1">IFERROR(INDEX(INDIRECT(SJ$5),RZ$3),"")</f>
        <v/>
      </c>
      <c r="SK23" s="250"/>
      <c r="SL23" s="265" t="str" cm="1">
        <f t="array" aca="1" ref="SL23" ca="1">INDEX(INDIRECT($C$3),SL$3)</f>
        <v/>
      </c>
      <c r="SM23" s="265"/>
      <c r="SN23" s="265"/>
      <c r="SO23" s="265"/>
      <c r="SP23" s="265"/>
      <c r="SQ23" s="265"/>
      <c r="SR23" s="265"/>
      <c r="SS23" s="265"/>
      <c r="ST23" s="265"/>
      <c r="SU23" s="265"/>
      <c r="SV23" s="274" t="str" cm="1">
        <f t="array" aca="1" ref="SV23" ca="1">IFERROR(INDEX(INDIRECT(SV$5),SL$3),"")</f>
        <v/>
      </c>
      <c r="SW23" s="250"/>
      <c r="SX23" s="265" t="str" cm="1">
        <f t="array" aca="1" ref="SX23" ca="1">INDEX(INDIRECT($C$3),SX$3)</f>
        <v/>
      </c>
      <c r="SY23" s="265"/>
      <c r="SZ23" s="265"/>
      <c r="TA23" s="265"/>
      <c r="TB23" s="265"/>
      <c r="TC23" s="265"/>
      <c r="TD23" s="265"/>
      <c r="TE23" s="265"/>
      <c r="TF23" s="265"/>
      <c r="TG23" s="265"/>
      <c r="TH23" s="274" t="str" cm="1">
        <f t="array" aca="1" ref="TH23" ca="1">IFERROR(INDEX(INDIRECT(TH$5),SX$3),"")</f>
        <v/>
      </c>
      <c r="TI23" s="250"/>
      <c r="TJ23" s="267" t="str" cm="1">
        <f t="array" aca="1" ref="TJ23" ca="1">INDEX(INDIRECT($C$3),TJ$3)</f>
        <v xml:space="preserve">Maximalwert: </v>
      </c>
      <c r="TK23" s="267"/>
      <c r="TL23" s="267"/>
      <c r="TM23" s="267"/>
      <c r="TN23" s="267"/>
      <c r="TO23" s="267"/>
      <c r="TP23" s="267"/>
      <c r="TQ23" s="267"/>
      <c r="TR23" s="267"/>
      <c r="TS23" s="267"/>
      <c r="TT23" s="267"/>
      <c r="TU23" s="275" cm="1">
        <f t="array" aca="1" ref="TU23" ca="1">IFERROR(INDEX(INDIRECT(TU$5),TJ$3),"")</f>
        <v>20</v>
      </c>
      <c r="TV23" s="251"/>
      <c r="TW23" s="276">
        <f>COLUMN()</f>
        <v>543</v>
      </c>
      <c r="TX23" s="276">
        <f>COLUMN()</f>
        <v>544</v>
      </c>
      <c r="TY23" s="276">
        <f>COLUMN()</f>
        <v>545</v>
      </c>
      <c r="TZ23" s="276">
        <f>COLUMN()</f>
        <v>546</v>
      </c>
      <c r="UA23" s="276">
        <f>COLUMN()</f>
        <v>547</v>
      </c>
      <c r="UB23" s="276">
        <v>1</v>
      </c>
      <c r="UC23" s="276">
        <v>2</v>
      </c>
      <c r="UD23" s="276">
        <v>3</v>
      </c>
      <c r="UE23" s="277" t="s">
        <v>341</v>
      </c>
      <c r="UF23" s="277"/>
      <c r="UG23" s="277"/>
      <c r="UH23" s="277"/>
      <c r="UI23" s="277" t="s">
        <v>342</v>
      </c>
      <c r="UJ23" s="277"/>
      <c r="UK23" s="277"/>
      <c r="UL23" s="277"/>
      <c r="UM23" s="277" t="s">
        <v>343</v>
      </c>
      <c r="UN23" s="251"/>
      <c r="UO23" s="251"/>
      <c r="UP23" s="251"/>
      <c r="UQ23" s="251"/>
      <c r="UR23" s="251"/>
      <c r="US23" s="251"/>
      <c r="UT23" s="251"/>
      <c r="UU23" s="251"/>
      <c r="UV23" s="251"/>
      <c r="UW23" s="251"/>
      <c r="UX23" s="251"/>
      <c r="UY23" s="251"/>
      <c r="UZ23" s="251"/>
      <c r="VA23" s="251"/>
      <c r="VB23" s="251"/>
      <c r="VC23" s="251"/>
      <c r="VD23" s="91"/>
      <c r="VE23" s="91"/>
      <c r="VF23" s="91"/>
      <c r="VG23" s="91"/>
      <c r="VH23" s="91"/>
      <c r="VI23" s="91"/>
      <c r="VJ23" s="91"/>
      <c r="VK23" s="250"/>
      <c r="VL23" s="250"/>
      <c r="VM23" s="250"/>
      <c r="VN23" s="250"/>
      <c r="VO23" s="250"/>
      <c r="VP23" s="250"/>
      <c r="VQ23" s="250"/>
      <c r="VR23" s="250"/>
      <c r="VS23" s="250"/>
      <c r="VT23" s="250"/>
      <c r="VU23" s="91"/>
      <c r="VV23" s="91"/>
      <c r="VW23" s="250"/>
      <c r="VX23" s="250"/>
      <c r="VY23" s="250"/>
      <c r="VZ23" s="250"/>
      <c r="WA23" s="250"/>
      <c r="WB23" s="250"/>
      <c r="WC23" s="250"/>
      <c r="WD23" s="250"/>
      <c r="WE23" s="250"/>
      <c r="WF23" s="250"/>
      <c r="WG23" s="91"/>
      <c r="WH23" s="91"/>
      <c r="WI23" s="250"/>
      <c r="WJ23" s="250"/>
      <c r="WK23" s="250"/>
      <c r="WL23" s="250"/>
      <c r="WM23" s="250"/>
      <c r="WN23" s="250"/>
      <c r="WO23" s="250"/>
      <c r="WP23" s="250"/>
      <c r="WQ23" s="250"/>
      <c r="WR23" s="250"/>
      <c r="WS23" s="91"/>
      <c r="WT23" s="250"/>
      <c r="WU23" s="250"/>
      <c r="WV23" s="250"/>
      <c r="WW23" s="250"/>
      <c r="WX23" s="250"/>
      <c r="WY23" s="250"/>
      <c r="WZ23" s="250"/>
      <c r="XA23" s="250"/>
      <c r="XB23" s="250"/>
      <c r="XC23" s="250"/>
      <c r="XD23" s="250"/>
      <c r="XE23" s="250"/>
      <c r="XF23" s="250"/>
      <c r="XG23" s="250"/>
      <c r="XH23" s="252"/>
      <c r="XI23" s="252"/>
      <c r="XJ23" s="252"/>
      <c r="XK23" s="97"/>
      <c r="XL23" s="250"/>
      <c r="XM23" s="97"/>
      <c r="XN23" s="97"/>
      <c r="XO23" s="97"/>
      <c r="XP23" s="250"/>
      <c r="XQ23" s="250"/>
      <c r="XR23" s="250"/>
      <c r="XS23" s="250"/>
      <c r="XT23" s="250"/>
      <c r="XU23" s="258"/>
      <c r="XV23" s="250"/>
      <c r="XW23" s="252"/>
      <c r="XX23" s="250"/>
      <c r="XY23" s="250"/>
      <c r="XZ23" s="250"/>
      <c r="YA23" s="250"/>
      <c r="YB23" s="250"/>
      <c r="YC23" s="250"/>
      <c r="YD23" s="252"/>
      <c r="YE23" s="252"/>
      <c r="YF23" s="252"/>
      <c r="YG23" s="250"/>
      <c r="YH23" s="250"/>
      <c r="YI23" s="250"/>
      <c r="YJ23" s="250"/>
      <c r="YK23" s="250"/>
      <c r="YL23" s="250"/>
      <c r="YM23" s="250"/>
      <c r="YN23" s="250"/>
      <c r="YO23" s="250"/>
      <c r="YP23" s="250"/>
      <c r="YQ23" s="250"/>
      <c r="YR23" s="250"/>
      <c r="YS23" s="250"/>
      <c r="YT23" s="250"/>
      <c r="YU23" s="250"/>
      <c r="YV23" s="250"/>
      <c r="YW23" s="250"/>
      <c r="YX23" s="250"/>
      <c r="YY23" s="250"/>
      <c r="YZ23" s="250"/>
      <c r="ZA23" s="250"/>
      <c r="ZB23" s="250"/>
      <c r="ZC23" s="250"/>
      <c r="ZD23" s="250"/>
      <c r="ZE23" s="250"/>
      <c r="ZF23" s="258"/>
      <c r="ZG23" s="259"/>
      <c r="ZH23" s="225" t="str">
        <f>Stammdaten!$BZ$5&amp;" eintragen"</f>
        <v>Disziplin eintragen</v>
      </c>
      <c r="ZI23" s="261"/>
      <c r="ZK23" s="226" t="str">
        <f>Stammdaten!$BX$7&amp;" wählen"</f>
        <v>Status wählen</v>
      </c>
      <c r="ZL23" s="167"/>
      <c r="ZM23" s="269"/>
      <c r="ZN23" s="269"/>
      <c r="ZO23" s="269"/>
      <c r="ZP23" s="269"/>
      <c r="ZQ23" s="269"/>
      <c r="ZR23" s="269"/>
      <c r="ZS23" s="269"/>
      <c r="ZT23" s="269"/>
      <c r="ZU23" s="269"/>
      <c r="ZV23" s="269"/>
      <c r="ZW23" s="269"/>
      <c r="ZX23" s="269"/>
      <c r="ZY23" s="269"/>
      <c r="ZZ23" s="269"/>
      <c r="AAA23" s="269"/>
      <c r="AAB23" s="269"/>
      <c r="AAC23" s="269"/>
      <c r="AAD23" s="269"/>
      <c r="AAE23" s="250"/>
      <c r="AAF23" s="263"/>
      <c r="AAG23" s="243"/>
      <c r="AAH23" s="243"/>
      <c r="AAI23" s="243"/>
      <c r="AAJ23" s="243"/>
      <c r="AAK23" s="250"/>
      <c r="AAL23" s="263"/>
      <c r="AAM23" s="263"/>
      <c r="AAN23" s="263"/>
      <c r="AAO23" s="263"/>
      <c r="AAP23" s="263"/>
      <c r="AAQ23" s="250"/>
      <c r="AAR23" s="265" t="str" cm="1">
        <f t="array" aca="1" ref="AAR23" ca="1">INDEX(INDIRECT($C$3),AAR$3)</f>
        <v>Minimalwert:</v>
      </c>
      <c r="AAS23" s="265"/>
      <c r="AAT23" s="267"/>
      <c r="AAU23" s="267"/>
      <c r="AAV23" s="265"/>
      <c r="AAW23" s="265"/>
      <c r="AAX23" s="265"/>
      <c r="AAY23" s="265"/>
      <c r="AAZ23" s="265"/>
      <c r="ABA23" s="265"/>
      <c r="ABB23" s="278" t="str" cm="1">
        <f t="array" aca="1" ref="ABB23" ca="1">IFERROR(INDEX(INDIRECT(ABB$5),AAR$3),"")</f>
        <v>Knaben: –1 / Mädchen: 0</v>
      </c>
      <c r="ABC23" s="250"/>
      <c r="ABD23" s="265"/>
      <c r="ABE23" s="265"/>
      <c r="ABF23" s="267"/>
      <c r="ABG23" s="267"/>
      <c r="ABH23" s="265"/>
      <c r="ABI23" s="265"/>
      <c r="ABJ23" s="265"/>
      <c r="ABK23" s="265"/>
      <c r="ABL23" s="265"/>
      <c r="ABM23" s="265"/>
      <c r="ABN23" s="265"/>
      <c r="ABO23" s="250"/>
      <c r="ABP23" s="263"/>
      <c r="ABQ23" s="243"/>
      <c r="ABR23" s="243"/>
      <c r="ABS23" s="243"/>
      <c r="ABT23" s="243"/>
      <c r="ABU23" s="250"/>
      <c r="ABV23" s="263"/>
      <c r="ABW23" s="243"/>
      <c r="ABX23" s="243"/>
      <c r="ABY23" s="243"/>
      <c r="ABZ23" s="243"/>
      <c r="ACA23" s="250"/>
      <c r="ACB23" s="265"/>
      <c r="ACC23" s="265"/>
      <c r="ACD23" s="267"/>
      <c r="ACE23" s="267"/>
      <c r="ACF23" s="265"/>
      <c r="ACG23" s="265"/>
      <c r="ACH23" s="265"/>
      <c r="ACI23" s="265"/>
      <c r="ACJ23" s="265"/>
      <c r="ACK23" s="265"/>
      <c r="ACL23" s="265"/>
      <c r="ACM23" s="265"/>
      <c r="ACN23" s="245"/>
    </row>
    <row r="24" spans="1:768" s="95" customFormat="1" ht="6" customHeight="1">
      <c r="A24" s="245"/>
      <c r="G24" s="279"/>
      <c r="S24" s="279"/>
      <c r="U24" s="91"/>
      <c r="AE24" s="279"/>
      <c r="AG24" s="91"/>
      <c r="AQ24" s="279"/>
      <c r="AS24" s="91"/>
      <c r="BC24" s="279"/>
      <c r="BE24" s="91"/>
      <c r="BO24" s="279"/>
      <c r="BQ24" s="91"/>
      <c r="CA24" s="279"/>
      <c r="CC24" s="91"/>
      <c r="CM24" s="279"/>
      <c r="CO24" s="91"/>
      <c r="CY24" s="279"/>
      <c r="DA24" s="91"/>
      <c r="DK24" s="250"/>
      <c r="DL24" s="250"/>
      <c r="DM24" s="250"/>
      <c r="DN24" s="250"/>
      <c r="DO24" s="250"/>
      <c r="DP24" s="250"/>
      <c r="DQ24" s="252"/>
      <c r="DR24" s="252"/>
      <c r="DS24" s="252"/>
      <c r="DT24" s="250"/>
      <c r="DU24" s="250"/>
      <c r="DV24" s="250"/>
      <c r="DW24" s="250"/>
      <c r="DX24" s="250"/>
      <c r="DY24" s="250"/>
      <c r="DZ24" s="250"/>
      <c r="EA24" s="250"/>
      <c r="EB24" s="250"/>
      <c r="EC24" s="250"/>
      <c r="ED24" s="250"/>
      <c r="EE24" s="91"/>
      <c r="EF24" s="250"/>
      <c r="EG24" s="250"/>
      <c r="EH24" s="250"/>
      <c r="EI24" s="250"/>
      <c r="EJ24" s="250"/>
      <c r="EK24" s="250"/>
      <c r="EL24" s="252"/>
      <c r="EM24" s="252"/>
      <c r="EN24" s="252"/>
      <c r="EO24" s="250"/>
      <c r="EP24" s="250"/>
      <c r="EQ24" s="250"/>
      <c r="ER24" s="250"/>
      <c r="ES24" s="250"/>
      <c r="ET24" s="250"/>
      <c r="EU24" s="250"/>
      <c r="EV24" s="250"/>
      <c r="EW24" s="250"/>
      <c r="EX24" s="250"/>
      <c r="EY24" s="250"/>
      <c r="EZ24" s="91"/>
      <c r="FA24" s="250"/>
      <c r="FB24" s="250"/>
      <c r="FC24" s="250"/>
      <c r="FD24" s="250"/>
      <c r="FE24" s="250"/>
      <c r="FF24" s="250"/>
      <c r="FG24" s="252"/>
      <c r="FH24" s="252"/>
      <c r="FI24" s="252"/>
      <c r="FJ24" s="250"/>
      <c r="FK24" s="250"/>
      <c r="FL24" s="250"/>
      <c r="FM24" s="250"/>
      <c r="FN24" s="250"/>
      <c r="FO24" s="250"/>
      <c r="FP24" s="250"/>
      <c r="FQ24" s="250"/>
      <c r="FR24" s="250"/>
      <c r="FS24" s="250"/>
      <c r="FT24" s="250"/>
      <c r="FU24" s="91"/>
      <c r="FV24" s="250"/>
      <c r="FW24" s="250"/>
      <c r="FX24" s="250"/>
      <c r="FY24" s="250"/>
      <c r="FZ24" s="250"/>
      <c r="GA24" s="250"/>
      <c r="GB24" s="250"/>
      <c r="GC24" s="250"/>
      <c r="GD24" s="252"/>
      <c r="GE24" s="252"/>
      <c r="GF24" s="252"/>
      <c r="GG24" s="250"/>
      <c r="GH24" s="250"/>
      <c r="GI24" s="250"/>
      <c r="GJ24" s="250"/>
      <c r="GK24" s="250"/>
      <c r="GL24" s="250"/>
      <c r="GM24" s="250"/>
      <c r="GN24" s="250"/>
      <c r="GO24" s="250"/>
      <c r="GP24" s="250"/>
      <c r="GQ24" s="250"/>
      <c r="GR24" s="91"/>
      <c r="GS24" s="250"/>
      <c r="GT24" s="250"/>
      <c r="GU24" s="250"/>
      <c r="GV24" s="250"/>
      <c r="GW24" s="250"/>
      <c r="GX24" s="252"/>
      <c r="GY24" s="252"/>
      <c r="GZ24" s="252"/>
      <c r="HA24" s="250"/>
      <c r="HB24" s="250"/>
      <c r="HC24" s="250"/>
      <c r="HD24" s="250"/>
      <c r="HE24" s="250"/>
      <c r="HF24" s="250"/>
      <c r="HG24" s="250"/>
      <c r="HH24" s="250"/>
      <c r="HI24" s="250"/>
      <c r="HJ24" s="250"/>
      <c r="HK24" s="250"/>
      <c r="HL24" s="266"/>
      <c r="HM24" s="250"/>
      <c r="HN24" s="252"/>
      <c r="HP24" s="279"/>
      <c r="HY24" s="279"/>
      <c r="IH24" s="279"/>
      <c r="IQ24" s="279"/>
      <c r="IZ24" s="279"/>
      <c r="JI24" s="279"/>
      <c r="LH24" s="91"/>
      <c r="LI24" s="250"/>
      <c r="LJ24" s="250"/>
      <c r="LK24" s="250"/>
      <c r="LL24" s="250"/>
      <c r="LM24" s="250"/>
      <c r="LN24" s="250"/>
      <c r="LO24" s="250"/>
      <c r="LP24" s="250"/>
      <c r="LQ24" s="250"/>
      <c r="LR24" s="250"/>
      <c r="LS24" s="91"/>
      <c r="LT24" s="91"/>
      <c r="LU24" s="250"/>
      <c r="LV24" s="250"/>
      <c r="LW24" s="250"/>
      <c r="LX24" s="250"/>
      <c r="LY24" s="250"/>
      <c r="LZ24" s="250"/>
      <c r="MA24" s="250"/>
      <c r="MB24" s="250"/>
      <c r="MC24" s="250"/>
      <c r="MD24" s="250"/>
      <c r="ME24" s="91"/>
      <c r="MF24" s="91"/>
      <c r="MG24" s="250"/>
      <c r="MH24" s="250"/>
      <c r="MI24" s="250"/>
      <c r="MJ24" s="250"/>
      <c r="MK24" s="250"/>
      <c r="ML24" s="250"/>
      <c r="MM24" s="250"/>
      <c r="MN24" s="250"/>
      <c r="MO24" s="250"/>
      <c r="MP24" s="250"/>
      <c r="MQ24" s="91"/>
      <c r="MR24" s="250"/>
      <c r="MS24" s="252"/>
      <c r="MT24" s="252"/>
      <c r="MU24" s="252"/>
      <c r="MV24" s="252"/>
      <c r="MW24" s="280"/>
      <c r="MX24" s="250"/>
      <c r="NG24" s="279"/>
      <c r="NS24" s="250"/>
      <c r="NT24" s="250"/>
      <c r="NU24" s="250"/>
      <c r="NV24" s="250"/>
      <c r="NW24" s="250"/>
      <c r="NX24" s="250"/>
      <c r="NY24" s="250"/>
      <c r="NZ24" s="250"/>
      <c r="OA24" s="250"/>
      <c r="OB24" s="250"/>
      <c r="OC24" s="250"/>
      <c r="OD24" s="250"/>
      <c r="OE24" s="250"/>
      <c r="OF24" s="250"/>
      <c r="OG24" s="250"/>
      <c r="OH24" s="250"/>
      <c r="OI24" s="91"/>
      <c r="OJ24" s="250"/>
      <c r="OK24" s="250"/>
      <c r="OL24" s="250"/>
      <c r="OM24" s="252"/>
      <c r="ON24" s="252"/>
      <c r="OO24" s="252"/>
      <c r="OP24" s="250"/>
      <c r="OQ24" s="250"/>
      <c r="OR24" s="250"/>
      <c r="OS24" s="250"/>
      <c r="OT24" s="250"/>
      <c r="OU24" s="250"/>
      <c r="OV24" s="250"/>
      <c r="OW24" s="250"/>
      <c r="OX24" s="250"/>
      <c r="OY24" s="258"/>
      <c r="OZ24" s="250"/>
      <c r="PA24" s="252"/>
      <c r="PC24" s="279"/>
      <c r="PO24" s="279"/>
      <c r="QB24" s="279"/>
      <c r="QM24" s="250"/>
      <c r="QN24" s="250"/>
      <c r="QO24" s="250"/>
      <c r="QP24" s="250"/>
      <c r="QQ24" s="250"/>
      <c r="QR24" s="250"/>
      <c r="QS24" s="250"/>
      <c r="QT24" s="250"/>
      <c r="QU24" s="252"/>
      <c r="QV24" s="252"/>
      <c r="QW24" s="252"/>
      <c r="QX24" s="250"/>
      <c r="QY24" s="250"/>
      <c r="QZ24" s="250"/>
      <c r="RA24" s="250"/>
      <c r="RB24" s="250"/>
      <c r="RC24" s="250"/>
      <c r="RD24" s="250"/>
      <c r="RE24" s="250"/>
      <c r="RF24" s="250"/>
      <c r="RG24" s="250"/>
      <c r="RH24" s="250"/>
      <c r="RI24" s="91"/>
      <c r="RJ24" s="250"/>
      <c r="RL24" s="258"/>
      <c r="RM24" s="250"/>
      <c r="RN24" s="279"/>
      <c r="RP24" s="91"/>
      <c r="RZ24" s="279"/>
      <c r="SB24" s="91"/>
      <c r="SL24" s="279"/>
      <c r="SN24" s="91"/>
      <c r="SX24" s="279"/>
      <c r="SZ24" s="91"/>
      <c r="TJ24" s="279"/>
      <c r="VJ24" s="91"/>
      <c r="VK24" s="250"/>
      <c r="VL24" s="250"/>
      <c r="VM24" s="250"/>
      <c r="VN24" s="250"/>
      <c r="VO24" s="250"/>
      <c r="VP24" s="250"/>
      <c r="VQ24" s="250"/>
      <c r="VR24" s="250"/>
      <c r="VS24" s="250"/>
      <c r="VT24" s="250"/>
      <c r="VU24" s="91"/>
      <c r="VV24" s="91"/>
      <c r="VW24" s="250"/>
      <c r="VX24" s="250"/>
      <c r="VY24" s="250"/>
      <c r="VZ24" s="250"/>
      <c r="WA24" s="250"/>
      <c r="WB24" s="250"/>
      <c r="WC24" s="250"/>
      <c r="WD24" s="250"/>
      <c r="WE24" s="250"/>
      <c r="WF24" s="250"/>
      <c r="WG24" s="91"/>
      <c r="WH24" s="91"/>
      <c r="WI24" s="250"/>
      <c r="WJ24" s="250"/>
      <c r="WK24" s="250"/>
      <c r="WL24" s="250"/>
      <c r="WM24" s="250"/>
      <c r="WN24" s="250"/>
      <c r="WO24" s="250"/>
      <c r="WP24" s="250"/>
      <c r="WQ24" s="250"/>
      <c r="WR24" s="250"/>
      <c r="WS24" s="91"/>
      <c r="WT24" s="250"/>
      <c r="WU24" s="250"/>
      <c r="WV24" s="250"/>
      <c r="WW24" s="250"/>
      <c r="WX24" s="250"/>
      <c r="WY24" s="250"/>
      <c r="WZ24" s="250"/>
      <c r="XA24" s="250"/>
      <c r="XB24" s="250"/>
      <c r="XC24" s="250"/>
      <c r="XD24" s="250"/>
      <c r="XE24" s="250"/>
      <c r="XF24" s="250"/>
      <c r="XG24" s="250"/>
      <c r="XH24" s="252"/>
      <c r="XI24" s="252"/>
      <c r="XJ24" s="252"/>
      <c r="XK24" s="97"/>
      <c r="XL24" s="250"/>
      <c r="XM24" s="97"/>
      <c r="XN24" s="97"/>
      <c r="XO24" s="97"/>
      <c r="XP24" s="250"/>
      <c r="XQ24" s="250"/>
      <c r="XR24" s="250"/>
      <c r="XS24" s="250"/>
      <c r="XT24" s="250"/>
      <c r="XU24" s="258"/>
      <c r="XV24" s="250"/>
      <c r="XW24" s="252"/>
      <c r="XX24" s="250"/>
      <c r="XY24" s="250"/>
      <c r="XZ24" s="250"/>
      <c r="YA24" s="250"/>
      <c r="YB24" s="250"/>
      <c r="YC24" s="250"/>
      <c r="YD24" s="252"/>
      <c r="YE24" s="252"/>
      <c r="YF24" s="252"/>
      <c r="YG24" s="250"/>
      <c r="YH24" s="250"/>
      <c r="YI24" s="250"/>
      <c r="YJ24" s="250"/>
      <c r="YK24" s="250"/>
      <c r="YL24" s="250"/>
      <c r="YM24" s="250"/>
      <c r="YN24" s="250"/>
      <c r="YO24" s="250"/>
      <c r="YP24" s="250"/>
      <c r="YQ24" s="250"/>
      <c r="YR24" s="250"/>
      <c r="YS24" s="250"/>
      <c r="YT24" s="250"/>
      <c r="YU24" s="250"/>
      <c r="YV24" s="250"/>
      <c r="YW24" s="250"/>
      <c r="YX24" s="250"/>
      <c r="YY24" s="250"/>
      <c r="YZ24" s="250"/>
      <c r="ZA24" s="250"/>
      <c r="ZB24" s="250"/>
      <c r="ZC24" s="250"/>
      <c r="ZD24" s="250"/>
      <c r="ZE24" s="250"/>
      <c r="ZF24" s="258"/>
      <c r="ZH24" s="281"/>
      <c r="ZK24" s="260"/>
      <c r="ZM24" s="281"/>
      <c r="ZN24" s="96"/>
      <c r="ZP24" s="96"/>
      <c r="ZQ24" s="260"/>
      <c r="ZR24" s="260"/>
      <c r="ZT24" s="91"/>
      <c r="ZU24" s="91"/>
      <c r="AAD24" s="250"/>
      <c r="AAE24" s="250"/>
      <c r="AAF24" s="243"/>
      <c r="AAG24" s="91"/>
      <c r="AAH24" s="91"/>
      <c r="AAI24" s="91"/>
      <c r="AAJ24" s="91"/>
      <c r="AAL24" s="282"/>
      <c r="AAR24" s="260"/>
      <c r="ABD24" s="260"/>
      <c r="ABP24" s="243"/>
      <c r="ABQ24" s="91"/>
      <c r="ABR24" s="91"/>
      <c r="ABS24" s="91"/>
      <c r="ABT24" s="91"/>
      <c r="ABV24" s="243"/>
      <c r="ABW24" s="91"/>
      <c r="ABX24" s="91"/>
      <c r="ABY24" s="91"/>
      <c r="ABZ24" s="91"/>
      <c r="ACB24" s="279"/>
      <c r="ACN24" s="245"/>
    </row>
    <row r="25" spans="1:768" s="95" customFormat="1" ht="14.45" customHeight="1">
      <c r="A25" s="245"/>
      <c r="B25" s="283" t="s">
        <v>96</v>
      </c>
      <c r="C25" s="284"/>
      <c r="D25" s="285"/>
      <c r="E25" s="286"/>
      <c r="F25" s="287" t="s">
        <v>381</v>
      </c>
      <c r="G25" s="288" t="s">
        <v>136</v>
      </c>
      <c r="H25" s="91"/>
      <c r="I25" s="91" t="str" cm="1">
        <f t="array" aca="1" ref="I25" ca="1">INDEX(INDIRECT($B$2),G$3)</f>
        <v>SechzigmLaufResultat[@[BedRes]]</v>
      </c>
      <c r="K25" s="91" cm="1">
        <f t="array" aca="1" ref="K25" ca="1">INDEX(INDIRECT($C$2),G$3)</f>
        <v>0.01</v>
      </c>
      <c r="L25" s="95" cm="1">
        <f t="array" aca="1" ref="L25" ca="1">INDEX(INDIRECT($E$2),G$3)</f>
        <v>0</v>
      </c>
      <c r="M25" s="95" cm="1">
        <f t="array" aca="1" ref="M25" ca="1">INDEX(INDIRECT($B$6),G$3)</f>
        <v>-1</v>
      </c>
      <c r="N25" s="91"/>
      <c r="S25" s="288" t="s">
        <v>136</v>
      </c>
      <c r="T25" s="91"/>
      <c r="U25" s="91" t="str" cm="1">
        <f t="array" aca="1" ref="U25" ca="1">INDEX(INDIRECT($B$2),S$3)</f>
        <v>AchtzigmLaufResultat[@[BedRes]]</v>
      </c>
      <c r="W25" s="91" cm="1">
        <f t="array" aca="1" ref="W25" ca="1">INDEX(INDIRECT($C$2),S$3)</f>
        <v>0.01</v>
      </c>
      <c r="X25" s="95" cm="1">
        <f t="array" aca="1" ref="X25" ca="1">INDEX(INDIRECT($E$2),S$3)</f>
        <v>0</v>
      </c>
      <c r="Y25" s="95" cm="1">
        <f t="array" aca="1" ref="Y25" ca="1">INDEX(INDIRECT($B$6),S$3)</f>
        <v>-1</v>
      </c>
      <c r="AE25" s="288" t="s">
        <v>136</v>
      </c>
      <c r="AF25" s="91"/>
      <c r="AG25" s="91" t="str" cm="1">
        <f t="array" aca="1" ref="AG25" ca="1">INDEX(INDIRECT($B$2),AE$3)</f>
        <v>ZwölfMinLaufHalleResultat[@[BedRes]]</v>
      </c>
      <c r="AI25" s="91" cm="1">
        <f t="array" aca="1" ref="AI25" ca="1">INDEX(INDIRECT($C$2),AE$3)</f>
        <v>0.5</v>
      </c>
      <c r="AJ25" s="95" cm="1">
        <f t="array" aca="1" ref="AJ25" ca="1">INDEX(INDIRECT($E$2),AE$3)</f>
        <v>0</v>
      </c>
      <c r="AK25" s="95" cm="1">
        <f t="array" aca="1" ref="AK25" ca="1">INDEX(INDIRECT($B$6),AE$3)</f>
        <v>1</v>
      </c>
      <c r="AQ25" s="288" t="s">
        <v>136</v>
      </c>
      <c r="AR25" s="91"/>
      <c r="AS25" s="91" t="str" cm="1">
        <f t="array" aca="1" ref="AS25" ca="1">INDEX(INDIRECT($B$2),AQ$3)</f>
        <v>ZwölfMinLaufimFreienResultat[@[BedRes]]</v>
      </c>
      <c r="AU25" s="91" cm="1">
        <f t="array" aca="1" ref="AU25" ca="1">INDEX(INDIRECT($C$2),AQ$3)</f>
        <v>1</v>
      </c>
      <c r="AV25" s="95" cm="1">
        <f t="array" aca="1" ref="AV25" ca="1">INDEX(INDIRECT($E$2),AQ$3)</f>
        <v>0</v>
      </c>
      <c r="AW25" s="95" cm="1">
        <f t="array" aca="1" ref="AW25" ca="1">INDEX(INDIRECT($B$6),AQ$3)</f>
        <v>1</v>
      </c>
      <c r="BC25" s="288" t="s">
        <v>136</v>
      </c>
      <c r="BD25" s="91"/>
      <c r="BE25" s="91" t="str" cm="1">
        <f t="array" aca="1" ref="BE25" ca="1">INDEX(INDIRECT($B$2),BC$3)</f>
        <v>HochsprungResultat[@[BedRes]]</v>
      </c>
      <c r="BG25" s="91" cm="1">
        <f t="array" aca="1" ref="BG25" ca="1">INDEX(INDIRECT($C$2),BC$3)</f>
        <v>1</v>
      </c>
      <c r="BH25" s="95" cm="1">
        <f t="array" aca="1" ref="BH25" ca="1">INDEX(INDIRECT($E$2),BC$3)</f>
        <v>0</v>
      </c>
      <c r="BI25" s="95" cm="1">
        <f t="array" aca="1" ref="BI25" ca="1">INDEX(INDIRECT($B$6),BC$3)</f>
        <v>1</v>
      </c>
      <c r="BO25" s="288" t="s">
        <v>136</v>
      </c>
      <c r="BP25" s="91"/>
      <c r="BQ25" s="91" t="str" cm="1">
        <f t="array" aca="1" ref="BQ25" ca="1">INDEX(INDIRECT($B$2),BO$3)</f>
        <v>WeitsprungResultat[@[BedRes]]</v>
      </c>
      <c r="BS25" s="91" cm="1">
        <f t="array" aca="1" ref="BS25" ca="1">INDEX(INDIRECT($C$2),BO$3)</f>
        <v>1</v>
      </c>
      <c r="BT25" s="95" cm="1">
        <f t="array" aca="1" ref="BT25" ca="1">INDEX(INDIRECT($E$2),BO$3)</f>
        <v>0</v>
      </c>
      <c r="BU25" s="95" cm="1">
        <f t="array" aca="1" ref="BU25" ca="1">INDEX(INDIRECT($B$6),BO$3)</f>
        <v>1</v>
      </c>
      <c r="CA25" s="288" t="s">
        <v>136</v>
      </c>
      <c r="CB25" s="91"/>
      <c r="CC25" s="91" t="str" cm="1">
        <f t="array" aca="1" ref="CC25" ca="1">INDEX(INDIRECT($B$2),CA$3)</f>
        <v>BallwurfResultat[@[BedRes]]</v>
      </c>
      <c r="CE25" s="91" cm="1">
        <f t="array" aca="1" ref="CE25" ca="1">INDEX(INDIRECT($C$2),CA$3)</f>
        <v>0.01</v>
      </c>
      <c r="CF25" s="95" cm="1">
        <f t="array" aca="1" ref="CF25" ca="1">INDEX(INDIRECT($E$2),CA$3)</f>
        <v>0</v>
      </c>
      <c r="CG25" s="95" cm="1">
        <f t="array" aca="1" ref="CG25" ca="1">INDEX(INDIRECT($B$6),CA$3)</f>
        <v>1</v>
      </c>
      <c r="CM25" s="288" t="s">
        <v>136</v>
      </c>
      <c r="CN25" s="91"/>
      <c r="CO25" s="91" t="str" cm="1">
        <f t="array" aca="1" ref="CO25" ca="1">INDEX(INDIRECT($B$2),CM$3)</f>
        <v>KugelstossenResultat[@[BedRes]]</v>
      </c>
      <c r="CQ25" s="91" cm="1">
        <f t="array" aca="1" ref="CQ25" ca="1">INDEX(INDIRECT($C$2),CM$3)</f>
        <v>0.01</v>
      </c>
      <c r="CR25" s="95" cm="1">
        <f t="array" aca="1" ref="CR25" ca="1">INDEX(INDIRECT($E$2),CM$3)</f>
        <v>0</v>
      </c>
      <c r="CS25" s="95" cm="1">
        <f t="array" aca="1" ref="CS25" ca="1">INDEX(INDIRECT($B$6),CM$3)</f>
        <v>1</v>
      </c>
      <c r="CY25" s="288" t="s">
        <v>136</v>
      </c>
      <c r="CZ25" s="91"/>
      <c r="DA25" s="91" t="str" cm="1">
        <f t="array" aca="1" ref="DA25" ca="1">INDEX(INDIRECT($B$2),CY$3)</f>
        <v>SpeerwurfResultat[@[BedRes]]</v>
      </c>
      <c r="DC25" s="91" cm="1">
        <f t="array" aca="1" ref="DC25" ca="1">INDEX(INDIRECT($C$2),CY$3)</f>
        <v>0.01</v>
      </c>
      <c r="DD25" s="95" cm="1">
        <f t="array" aca="1" ref="DD25" ca="1">INDEX(INDIRECT($E$2),CY$3)</f>
        <v>0</v>
      </c>
      <c r="DE25" s="95" cm="1">
        <f t="array" aca="1" ref="DE25" ca="1">INDEX(INDIRECT($B$6),CY$3)</f>
        <v>1</v>
      </c>
      <c r="DK25" s="250"/>
      <c r="DL25" s="250"/>
      <c r="DM25" s="91"/>
      <c r="DN25" s="91"/>
      <c r="DO25" s="91"/>
      <c r="DP25" s="250"/>
      <c r="DQ25" s="252"/>
      <c r="DR25" s="252"/>
      <c r="DS25" s="108" cm="1">
        <f t="array" aca="1" ref="DS25" ca="1">INDEX(INDIRECT(DS$1),DK$2)</f>
        <v>1</v>
      </c>
      <c r="DT25" s="250"/>
      <c r="DU25" s="250"/>
      <c r="DV25" s="250"/>
      <c r="DW25" s="250"/>
      <c r="DX25" s="250"/>
      <c r="DY25" s="250"/>
      <c r="DZ25" s="250"/>
      <c r="EA25" s="250"/>
      <c r="EB25" s="250"/>
      <c r="EC25" s="250"/>
      <c r="ED25" s="250"/>
      <c r="EE25" s="91"/>
      <c r="EF25" s="250"/>
      <c r="EG25" s="250"/>
      <c r="EH25" s="91"/>
      <c r="EI25" s="91"/>
      <c r="EJ25" s="91"/>
      <c r="EK25" s="250"/>
      <c r="EL25" s="252"/>
      <c r="EM25" s="252"/>
      <c r="EN25" s="108" cm="1">
        <f t="array" aca="1" ref="EN25" ca="1">INDEX(INDIRECT(EN$1),EF$2)</f>
        <v>1</v>
      </c>
      <c r="EO25" s="250"/>
      <c r="EP25" s="250"/>
      <c r="EQ25" s="250"/>
      <c r="ER25" s="250"/>
      <c r="ES25" s="250"/>
      <c r="ET25" s="250"/>
      <c r="EU25" s="250"/>
      <c r="EV25" s="250"/>
      <c r="EW25" s="250"/>
      <c r="EX25" s="250"/>
      <c r="EY25" s="250"/>
      <c r="EZ25" s="91"/>
      <c r="FA25" s="250"/>
      <c r="FB25" s="250"/>
      <c r="FC25" s="91"/>
      <c r="FD25" s="91"/>
      <c r="FE25" s="91"/>
      <c r="FF25" s="250"/>
      <c r="FG25" s="252"/>
      <c r="FH25" s="252"/>
      <c r="FI25" s="108" cm="1">
        <f t="array" aca="1" ref="FI25" ca="1">INDEX(INDIRECT(FI$1),FA$2)</f>
        <v>1</v>
      </c>
      <c r="FJ25" s="250"/>
      <c r="FK25" s="250"/>
      <c r="FL25" s="250"/>
      <c r="FM25" s="250"/>
      <c r="FN25" s="250"/>
      <c r="FO25" s="250"/>
      <c r="FP25" s="250"/>
      <c r="FQ25" s="250"/>
      <c r="FR25" s="250"/>
      <c r="FS25" s="250"/>
      <c r="FT25" s="250"/>
      <c r="FU25" s="91"/>
      <c r="FV25" s="250"/>
      <c r="FW25" s="250"/>
      <c r="FX25" s="250"/>
      <c r="FY25" s="91"/>
      <c r="FZ25" s="91"/>
      <c r="GA25" s="91"/>
      <c r="GB25" s="91"/>
      <c r="GC25" s="250"/>
      <c r="GD25" s="252"/>
      <c r="GE25" s="252"/>
      <c r="GF25" s="108" cm="1">
        <f t="array" aca="1" ref="GF25" ca="1">INDEX(INDIRECT(GF$1),FV$2)</f>
        <v>1</v>
      </c>
      <c r="GG25" s="289"/>
      <c r="GH25" s="250"/>
      <c r="GI25" s="250"/>
      <c r="GJ25" s="250"/>
      <c r="GK25" s="250"/>
      <c r="GL25" s="250"/>
      <c r="GM25" s="250"/>
      <c r="GN25" s="250"/>
      <c r="GO25" s="250"/>
      <c r="GP25" s="250"/>
      <c r="GQ25" s="250"/>
      <c r="GR25" s="91"/>
      <c r="GS25" s="250"/>
      <c r="GT25" s="250"/>
      <c r="GU25" s="250"/>
      <c r="GV25" s="250"/>
      <c r="GW25" s="250"/>
      <c r="GX25" s="252"/>
      <c r="GY25" s="252"/>
      <c r="GZ25" s="108" cm="1">
        <f t="array" aca="1" ref="GZ25" ca="1">INDEX(INDIRECT(GZ$1),G$1)</f>
        <v>4</v>
      </c>
      <c r="HA25" s="108" cm="1">
        <f t="array" aca="1" ref="HA25" ca="1">INDEX(INDIRECT(HA$1),G$1)</f>
        <v>0.1</v>
      </c>
      <c r="HB25" s="108"/>
      <c r="HC25" s="108"/>
      <c r="HD25" s="108"/>
      <c r="HE25" s="108"/>
      <c r="HF25" s="108"/>
      <c r="HG25" s="250"/>
      <c r="HH25" s="250"/>
      <c r="HI25" s="250"/>
      <c r="HJ25" s="250"/>
      <c r="HK25" s="250"/>
      <c r="HL25" s="266"/>
      <c r="HM25" s="250"/>
      <c r="HN25" s="252"/>
      <c r="HP25" s="288" t="s">
        <v>136</v>
      </c>
      <c r="HQ25" s="91"/>
      <c r="HR25" s="91" t="str" cm="1">
        <f t="array" aca="1" ref="HR25" ca="1">INDEX(INDIRECT($B$2),HP$3)</f>
        <v>ReckResultat[@[BedRes]]</v>
      </c>
      <c r="HY25" s="288" t="s">
        <v>136</v>
      </c>
      <c r="HZ25" s="91"/>
      <c r="IA25" s="91" t="str" cm="1">
        <f t="array" aca="1" ref="IA25" ca="1">INDEX(INDIRECT($B$2),HY$3)</f>
        <v>BodenResultat[@[BedRes]]</v>
      </c>
      <c r="IH25" s="288" t="s">
        <v>136</v>
      </c>
      <c r="II25" s="91"/>
      <c r="IJ25" s="91" t="str" cm="1">
        <f t="array" aca="1" ref="IJ25" ca="1">INDEX(INDIRECT($B$2),IH$3)</f>
        <v>StufenbarrenResultat[@[BedRes]]</v>
      </c>
      <c r="IQ25" s="288" t="s">
        <v>136</v>
      </c>
      <c r="IR25" s="246"/>
      <c r="IS25" s="91" t="str" cm="1">
        <f t="array" aca="1" ref="IS25" ca="1">INDEX(INDIRECT($B$2),IQ$3)</f>
        <v>ParallelbarrenResultat[@[BedRes]]</v>
      </c>
      <c r="IZ25" s="288" t="s">
        <v>136</v>
      </c>
      <c r="JA25" s="91"/>
      <c r="JB25" s="91" t="str" cm="1">
        <f t="array" aca="1" ref="JB25" ca="1">INDEX(INDIRECT($B$2),IZ$3)</f>
        <v>SchaukelringeResultat[@[BedRes]]</v>
      </c>
      <c r="JI25" s="288" t="s">
        <v>136</v>
      </c>
      <c r="JJ25" s="91"/>
      <c r="JK25" s="91" t="str" cm="1">
        <f t="array" aca="1" ref="JK25" ca="1">INDEX(INDIRECT($B$2),JI$3)</f>
        <v>SprungResultat[@[BedRes]]</v>
      </c>
      <c r="KJ25" s="277"/>
      <c r="KK25" s="277"/>
      <c r="KL25" s="277"/>
      <c r="KM25" s="277"/>
      <c r="KN25" s="277"/>
      <c r="KO25" s="277"/>
      <c r="LB25" s="91"/>
      <c r="LC25" s="91"/>
      <c r="LD25" s="91"/>
      <c r="LE25" s="91"/>
      <c r="LF25" s="91"/>
      <c r="LG25" s="91"/>
      <c r="LI25" s="250"/>
      <c r="LJ25" s="250"/>
      <c r="LK25" s="250"/>
      <c r="LL25" s="250"/>
      <c r="LM25" s="250"/>
      <c r="LN25" s="250"/>
      <c r="LO25" s="250"/>
      <c r="LP25" s="250"/>
      <c r="LQ25" s="250"/>
      <c r="LR25" s="250"/>
      <c r="LS25" s="91"/>
      <c r="LU25" s="250"/>
      <c r="LV25" s="250"/>
      <c r="LW25" s="250"/>
      <c r="LX25" s="250"/>
      <c r="LY25" s="250"/>
      <c r="LZ25" s="250"/>
      <c r="MA25" s="250"/>
      <c r="MB25" s="250"/>
      <c r="MC25" s="250"/>
      <c r="MD25" s="250"/>
      <c r="ME25" s="91"/>
      <c r="MG25" s="250"/>
      <c r="MH25" s="250"/>
      <c r="MI25" s="250"/>
      <c r="MJ25" s="250"/>
      <c r="MK25" s="250"/>
      <c r="ML25" s="250"/>
      <c r="MM25" s="250"/>
      <c r="MN25" s="250"/>
      <c r="MO25" s="250"/>
      <c r="MP25" s="250"/>
      <c r="MQ25" s="91"/>
      <c r="MR25" s="250"/>
      <c r="MS25" s="252"/>
      <c r="MT25" s="252"/>
      <c r="MU25" s="252"/>
      <c r="MV25" s="93" cm="1">
        <f t="array" aca="1" ref="MV25" ca="1">INDEX(INDIRECT(MV$1),$HP$2)</f>
        <v>3</v>
      </c>
      <c r="MW25" s="280"/>
      <c r="MX25" s="250"/>
      <c r="MY25" s="91" cm="1">
        <f t="array" aca="1" ref="MY25" ca="1">INDEX(INDIRECT($C$2),MW$3)</f>
        <v>1</v>
      </c>
      <c r="NA25" s="95" cm="1">
        <f t="array" aca="1" ref="NA25" ca="1">INDEX(INDIRECT($B$6),MW$3)</f>
        <v>1</v>
      </c>
      <c r="NG25" s="288" t="s">
        <v>136</v>
      </c>
      <c r="NH25" s="91"/>
      <c r="NI25" s="91" t="str" cm="1">
        <f t="array" aca="1" ref="NI25" ca="1">INDEX(INDIRECT($B$2),NG$3)</f>
        <v>ParkourResultat[@[BedRes]]</v>
      </c>
      <c r="NL25" s="91" cm="1">
        <f t="array" aca="1" ref="NL25" ca="1">INDEX(INDIRECT($C$2),NG$3)</f>
        <v>1</v>
      </c>
      <c r="NM25" s="91" cm="1">
        <f t="array" aca="1" ref="NM25" ca="1">INDEX(INDIRECT($E$2),NG$3)</f>
        <v>0</v>
      </c>
      <c r="NN25" s="95" cm="1">
        <f t="array" aca="1" ref="NN25" ca="1">INDEX(INDIRECT($B$6),NG$3)</f>
        <v>1</v>
      </c>
      <c r="NS25" s="250"/>
      <c r="NT25" s="250"/>
      <c r="NU25" s="250"/>
      <c r="NV25" s="250"/>
      <c r="NW25" s="91"/>
      <c r="NX25" s="250"/>
      <c r="NY25" s="250"/>
      <c r="NZ25" s="250"/>
      <c r="OA25" s="250"/>
      <c r="OB25" s="250"/>
      <c r="OC25" s="250"/>
      <c r="OD25" s="250"/>
      <c r="OE25" s="250"/>
      <c r="OF25" s="250"/>
      <c r="OG25" s="250"/>
      <c r="OH25" s="250"/>
      <c r="OI25" s="91"/>
      <c r="OJ25" s="250"/>
      <c r="OK25" s="250"/>
      <c r="OL25" s="250"/>
      <c r="OM25" s="252"/>
      <c r="ON25" s="252"/>
      <c r="OO25" s="108" cm="1">
        <f t="array" aca="1" ref="OO25" ca="1">INDEX(INDIRECT(OO$1),HP$1)</f>
        <v>2</v>
      </c>
      <c r="OP25" s="108" cm="1">
        <f t="array" aca="1" ref="OP25" ca="1">INDEX(INDIRECT(OP$1),HP$1)</f>
        <v>0.1</v>
      </c>
      <c r="OR25" s="250"/>
      <c r="OS25" s="250"/>
      <c r="OT25" s="250"/>
      <c r="OU25" s="250"/>
      <c r="OV25" s="250"/>
      <c r="OW25" s="250"/>
      <c r="OX25" s="250"/>
      <c r="OY25" s="258"/>
      <c r="OZ25" s="250"/>
      <c r="PA25" s="252"/>
      <c r="PC25" s="288" t="s">
        <v>136</v>
      </c>
      <c r="PD25" s="91"/>
      <c r="PE25" s="91" t="str" cm="1">
        <f t="array" aca="1" ref="PE25" ca="1">INDEX(INDIRECT($B$2),PC$3)</f>
        <v>TanzenResultat[@[BedRes]]</v>
      </c>
      <c r="PG25" s="91" cm="1">
        <f t="array" aca="1" ref="PG25" ca="1">INDEX(INDIRECT($C$2),PC$3)</f>
        <v>0.5</v>
      </c>
      <c r="PH25" s="91" cm="1">
        <f t="array" aca="1" ref="PH25" ca="1">INDEX(INDIRECT($E$2),PC$3)</f>
        <v>1</v>
      </c>
      <c r="PI25" s="95" cm="1">
        <f t="array" aca="1" ref="PI25" ca="1">INDEX(INDIRECT($B$6),PC$3)</f>
        <v>-1</v>
      </c>
      <c r="PO25" s="288" t="s">
        <v>136</v>
      </c>
      <c r="PP25" s="91"/>
      <c r="PQ25" s="91" t="str" cm="1">
        <f t="array" aca="1" ref="PQ25" ca="1">INDEX(INDIRECT($B$2),PO$3)</f>
        <v>RopeSkippingResultat[@[BedRes]]</v>
      </c>
      <c r="PT25" s="91" cm="1">
        <f t="array" aca="1" ref="PT25" ca="1">INDEX(INDIRECT($C$2),PO$3)</f>
        <v>1</v>
      </c>
      <c r="PU25" s="91" cm="1">
        <f t="array" aca="1" ref="PU25" ca="1">INDEX(INDIRECT($E$2),PO$3)</f>
        <v>0</v>
      </c>
      <c r="PV25" s="95" cm="1">
        <f t="array" aca="1" ref="PV25" ca="1">INDEX(INDIRECT($B$6),PO$3)</f>
        <v>1</v>
      </c>
      <c r="QB25" s="288" t="s">
        <v>136</v>
      </c>
      <c r="QC25" s="91"/>
      <c r="QD25" s="91" t="str" cm="1">
        <f t="array" aca="1" ref="QD25" ca="1">INDEX(INDIRECT($B$2),QB$3)</f>
        <v>AerobicResultat[@[BedRes]]</v>
      </c>
      <c r="QF25" s="91" cm="1">
        <f t="array" aca="1" ref="QF25" ca="1">INDEX(INDIRECT($C$2),QB$3)</f>
        <v>0.5</v>
      </c>
      <c r="QG25" s="91" cm="1">
        <f t="array" aca="1" ref="QG25" ca="1">INDEX(INDIRECT($E$2),QB$3)</f>
        <v>1</v>
      </c>
      <c r="QH25" s="95" cm="1">
        <f t="array" aca="1" ref="QH25" ca="1">INDEX(INDIRECT($B$6),QB$3)</f>
        <v>-1</v>
      </c>
      <c r="QM25" s="250"/>
      <c r="QN25" s="250"/>
      <c r="QO25" s="250"/>
      <c r="QP25" s="250"/>
      <c r="QQ25" s="97"/>
      <c r="QR25" s="97"/>
      <c r="QS25" s="97"/>
      <c r="QT25" s="91"/>
      <c r="QU25" s="252"/>
      <c r="QV25" s="252"/>
      <c r="QW25" s="108" cm="1">
        <f t="array" aca="1" ref="QW25" ca="1">INDEX(INDIRECT(QW$1),QN$2)</f>
        <v>1</v>
      </c>
      <c r="QX25" s="250"/>
      <c r="QY25" s="250"/>
      <c r="QZ25" s="250"/>
      <c r="RA25" s="250"/>
      <c r="RB25" s="250"/>
      <c r="RC25" s="250"/>
      <c r="RD25" s="250"/>
      <c r="RE25" s="250"/>
      <c r="RF25" s="250"/>
      <c r="RG25" s="250"/>
      <c r="RH25" s="250"/>
      <c r="RI25" s="91"/>
      <c r="RJ25" s="108"/>
      <c r="RL25" s="258"/>
      <c r="RM25" s="250"/>
      <c r="RN25" s="288" t="s">
        <v>136</v>
      </c>
      <c r="RO25" s="91"/>
      <c r="RP25" s="91" t="str" cm="1">
        <f t="array" aca="1" ref="RP25" ca="1">INDEX(INDIRECT($B$2),RN$3)</f>
        <v>BasketballResultat[@[BedRes]]</v>
      </c>
      <c r="RR25" s="91" cm="1">
        <f t="array" aca="1" ref="RR25" ca="1">INDEX(INDIRECT($C$2),RN$3)</f>
        <v>0.1</v>
      </c>
      <c r="RS25" s="91" cm="1">
        <f t="array" aca="1" ref="RS25" ca="1">INDEX(INDIRECT($E$2),RN$3)</f>
        <v>0</v>
      </c>
      <c r="RT25" s="95" cm="1">
        <f t="array" aca="1" ref="RT25" ca="1">INDEX(INDIRECT($B$6),RN$3)</f>
        <v>-1</v>
      </c>
      <c r="RZ25" s="288" t="s">
        <v>136</v>
      </c>
      <c r="SA25" s="91"/>
      <c r="SB25" s="91" t="str" cm="1">
        <f t="array" aca="1" ref="SB25" ca="1">INDEX(INDIRECT($B$2),RZ$3)</f>
        <v>FussballResultat[@[BedRes]]</v>
      </c>
      <c r="SD25" s="91" cm="1">
        <f t="array" aca="1" ref="SD25" ca="1">INDEX(INDIRECT($C$2),RZ$3)</f>
        <v>0.1</v>
      </c>
      <c r="SE25" s="91" cm="1">
        <f t="array" aca="1" ref="SE25" ca="1">INDEX(INDIRECT($E$2),RZ$3)</f>
        <v>0</v>
      </c>
      <c r="SF25" s="95" cm="1">
        <f t="array" aca="1" ref="SF25" ca="1">INDEX(INDIRECT($B$6),RZ$3)</f>
        <v>-1</v>
      </c>
      <c r="SL25" s="288" t="s">
        <v>136</v>
      </c>
      <c r="SM25" s="91"/>
      <c r="SN25" s="91" t="str" cm="1">
        <f t="array" aca="1" ref="SN25" ca="1">INDEX(INDIRECT($B$2),SL$3)</f>
        <v>HandballResultat[@[BedRes]]</v>
      </c>
      <c r="SP25" s="91" cm="1">
        <f t="array" aca="1" ref="SP25" ca="1">INDEX(INDIRECT($C$2),SL$3)</f>
        <v>0.1</v>
      </c>
      <c r="SQ25" s="91" cm="1">
        <f t="array" aca="1" ref="SQ25" ca="1">INDEX(INDIRECT($E$2),SL$3)</f>
        <v>0</v>
      </c>
      <c r="SR25" s="95" cm="1">
        <f t="array" aca="1" ref="SR25" ca="1">INDEX(INDIRECT($B$6),SL$3)</f>
        <v>-1</v>
      </c>
      <c r="SX25" s="288" t="s">
        <v>136</v>
      </c>
      <c r="SY25" s="91"/>
      <c r="SZ25" s="91" t="str" cm="1">
        <f t="array" aca="1" ref="SZ25" ca="1">INDEX(INDIRECT($B$2),SX$3)</f>
        <v>UnihockeyResultat[@[BedRes]]</v>
      </c>
      <c r="TB25" s="91" cm="1">
        <f t="array" aca="1" ref="TB25" ca="1">INDEX(INDIRECT($C$2),SX$3)</f>
        <v>0.1</v>
      </c>
      <c r="TC25" s="91" cm="1">
        <f t="array" aca="1" ref="TC25" ca="1">INDEX(INDIRECT($E$2),SX$3)</f>
        <v>0</v>
      </c>
      <c r="TD25" s="95" cm="1">
        <f t="array" aca="1" ref="TD25" ca="1">INDEX(INDIRECT($B$6),SX$3)</f>
        <v>-1</v>
      </c>
      <c r="TJ25" s="288" t="s">
        <v>136</v>
      </c>
      <c r="TK25" s="91"/>
      <c r="TL25" s="91" t="str" cm="1">
        <f t="array" aca="1" ref="TL25" ca="1">INDEX(INDIRECT($B$2),TJ$3)</f>
        <v>VolleyballResultat[@[BedRes]]</v>
      </c>
      <c r="TO25" s="91" cm="1">
        <f t="array" aca="1" ref="TO25" ca="1">INDEX(INDIRECT($C$2),TJ$3)</f>
        <v>1</v>
      </c>
      <c r="TP25" s="91" cm="1">
        <f t="array" aca="1" ref="TP25" ca="1">INDEX(INDIRECT($E$2),TJ$3)</f>
        <v>0</v>
      </c>
      <c r="TQ25" s="95" cm="1">
        <f t="array" aca="1" ref="TQ25" ca="1">INDEX(INDIRECT($B$6),TJ$3)</f>
        <v>1</v>
      </c>
      <c r="UN25" s="277"/>
      <c r="UO25" s="277"/>
      <c r="UP25" s="277"/>
      <c r="UQ25" s="277"/>
      <c r="UR25" s="277"/>
      <c r="US25" s="277"/>
      <c r="VD25" s="91"/>
      <c r="VE25" s="91"/>
      <c r="VF25" s="91"/>
      <c r="VG25" s="91"/>
      <c r="VH25" s="91"/>
      <c r="VI25" s="91"/>
      <c r="VK25" s="250"/>
      <c r="VL25" s="250"/>
      <c r="VM25" s="250"/>
      <c r="VN25" s="250"/>
      <c r="VO25" s="250"/>
      <c r="VP25" s="250"/>
      <c r="VQ25" s="250"/>
      <c r="VR25" s="250"/>
      <c r="VS25" s="250"/>
      <c r="VT25" s="250"/>
      <c r="VU25" s="91"/>
      <c r="VW25" s="250"/>
      <c r="VX25" s="250"/>
      <c r="VY25" s="250"/>
      <c r="VZ25" s="250"/>
      <c r="WA25" s="250"/>
      <c r="WB25" s="250"/>
      <c r="WC25" s="250"/>
      <c r="WD25" s="250"/>
      <c r="WE25" s="250"/>
      <c r="WF25" s="250"/>
      <c r="WG25" s="91"/>
      <c r="WI25" s="250"/>
      <c r="WJ25" s="250"/>
      <c r="WK25" s="250"/>
      <c r="WL25" s="250"/>
      <c r="WM25" s="250"/>
      <c r="WN25" s="250"/>
      <c r="WO25" s="250"/>
      <c r="WP25" s="250"/>
      <c r="WQ25" s="250"/>
      <c r="WR25" s="250"/>
      <c r="WS25" s="91"/>
      <c r="WT25" s="91"/>
      <c r="WU25" s="250"/>
      <c r="WV25" s="250"/>
      <c r="WW25" s="250"/>
      <c r="WX25" s="250"/>
      <c r="WY25" s="250"/>
      <c r="WZ25" s="250"/>
      <c r="XA25" s="250"/>
      <c r="XB25" s="250"/>
      <c r="XC25" s="91"/>
      <c r="XD25" s="250"/>
      <c r="XE25" s="250"/>
      <c r="XF25" s="250"/>
      <c r="XG25" s="250"/>
      <c r="XH25" s="252"/>
      <c r="XI25" s="252"/>
      <c r="XJ25" s="93" cm="1">
        <f t="array" aca="1" ref="XJ25" ca="1">INDEX(INDIRECT(XJ$1),$RN$1)</f>
        <v>3</v>
      </c>
      <c r="XK25" s="108" cm="1">
        <f t="array" aca="1" ref="XK25" ca="1">INDEX(INDIRECT($XK$1),$RN$1)</f>
        <v>0.1</v>
      </c>
      <c r="XL25" s="108"/>
      <c r="XM25" s="97"/>
      <c r="XN25" s="97"/>
      <c r="XO25" s="97"/>
      <c r="XP25" s="250"/>
      <c r="XQ25" s="250"/>
      <c r="XR25" s="250"/>
      <c r="XS25" s="250"/>
      <c r="XT25" s="250"/>
      <c r="XU25" s="258"/>
      <c r="XV25" s="250"/>
      <c r="XW25" s="252"/>
      <c r="XX25" s="250"/>
      <c r="XY25" s="250"/>
      <c r="XZ25" s="250"/>
      <c r="YA25" s="250"/>
      <c r="YB25" s="250"/>
      <c r="YC25" s="250"/>
      <c r="YD25" s="252"/>
      <c r="YE25" s="252"/>
      <c r="YF25" s="93">
        <f ca="1">COUNT(INDIRECT($YF$1))</f>
        <v>4</v>
      </c>
      <c r="YG25" s="93">
        <v>0.25</v>
      </c>
      <c r="YH25" s="250"/>
      <c r="YI25" s="250"/>
      <c r="YJ25" s="250"/>
      <c r="YK25" s="250"/>
      <c r="YL25" s="250"/>
      <c r="YM25" s="250"/>
      <c r="YN25" s="250"/>
      <c r="YO25" s="250"/>
      <c r="YP25" s="250"/>
      <c r="YQ25" s="250"/>
      <c r="YR25" s="250"/>
      <c r="YS25" s="250"/>
      <c r="YT25" s="250"/>
      <c r="YU25" s="250"/>
      <c r="YV25" s="250"/>
      <c r="YW25" s="250"/>
      <c r="YX25" s="250"/>
      <c r="YY25" s="250"/>
      <c r="YZ25" s="250"/>
      <c r="ZA25" s="250"/>
      <c r="ZB25" s="250"/>
      <c r="ZC25" s="250"/>
      <c r="ZD25" s="250"/>
      <c r="ZE25" s="250"/>
      <c r="ZF25" s="258"/>
      <c r="ZH25" s="290"/>
      <c r="ZK25" s="288" t="s">
        <v>136</v>
      </c>
      <c r="ZM25" s="288" t="s">
        <v>136</v>
      </c>
      <c r="ZN25" s="91"/>
      <c r="ZO25" s="95" t="s">
        <v>409</v>
      </c>
      <c r="ZQ25" s="260"/>
      <c r="ZR25" s="260"/>
      <c r="ZT25" s="95" t="s">
        <v>410</v>
      </c>
      <c r="ZU25" s="91"/>
      <c r="ZW25" s="93">
        <f>'BS 6'!$K$1</f>
        <v>60</v>
      </c>
      <c r="ZX25" s="91"/>
      <c r="ZY25" s="95" cm="1">
        <f t="array" aca="1" ref="ZY25" ca="1">INDEX(INDIRECT($B$6),ZM$3)</f>
        <v>-1</v>
      </c>
      <c r="AAD25" s="250"/>
      <c r="AAE25" s="250"/>
      <c r="AAF25" s="291" t="str">
        <f>_Stufe_ZwölH</f>
        <v>2. OS</v>
      </c>
      <c r="AAH25" s="292" t="str" cm="1">
        <f t="array" ref="AAH25">INDEX(StdDisziplinen[Resultatanzeige],AAF$3)</f>
        <v>Anzahl Runden</v>
      </c>
      <c r="AAI25" s="293"/>
      <c r="AAJ25" s="294"/>
      <c r="AAL25" s="291" t="str">
        <f>_Stufe_ZwölF</f>
        <v>2. OS</v>
      </c>
      <c r="AAN25" s="295" t="str" cm="1">
        <f t="array" ref="AAN25">INDEX(StdDisziplinen[Bewertung],AAL$3)</f>
        <v>Meter</v>
      </c>
      <c r="AAO25" s="296"/>
      <c r="AAP25" s="297"/>
      <c r="AAR25" s="288" t="s">
        <v>136</v>
      </c>
      <c r="AAS25" s="91"/>
      <c r="AAT25" s="91" t="str" cm="1">
        <f t="array" aca="1" ref="AAT25" ca="1">INDEX(INDIRECT($B$2),AAR$3)</f>
        <v>BeweglichkeitResultat[@[BedRes]]</v>
      </c>
      <c r="AAU25" s="91" cm="1">
        <f t="array" aca="1" ref="AAU25" ca="1">INDEX(INDIRECT($C$2),AAR$3)</f>
        <v>1</v>
      </c>
      <c r="AAW25" s="91" cm="1">
        <f t="array" aca="1" ref="AAW25" ca="1">INDEX(INDIRECT($E$2),AAR$3)</f>
        <v>0</v>
      </c>
      <c r="AAX25" s="95" cm="1">
        <f t="array" aca="1" ref="AAX25" ca="1">INDEX(INDIRECT($B$6),AAR$3)</f>
        <v>1</v>
      </c>
      <c r="ABD25" s="288" t="s">
        <v>136</v>
      </c>
      <c r="ABE25" s="91"/>
      <c r="ABF25" s="91" t="str" cm="1">
        <f t="array" aca="1" ref="ABF25" ca="1">INDEX(INDIRECT($B$2),ABD$3)</f>
        <v>RumpfkraftResultat[@[BedRes]]</v>
      </c>
      <c r="ABG25" s="91" cm="1">
        <f t="array" aca="1" ref="ABG25" ca="1">INDEX(INDIRECT($C$2),ABD$3)</f>
        <v>1</v>
      </c>
      <c r="ABI25" s="91" cm="1">
        <f t="array" aca="1" ref="ABI25" ca="1">INDEX(INDIRECT($E$2),ABD$3)</f>
        <v>0</v>
      </c>
      <c r="ABJ25" s="95" cm="1">
        <f t="array" aca="1" ref="ABJ25" ca="1">INDEX(INDIRECT($B$6),ABD$3)</f>
        <v>1</v>
      </c>
      <c r="ABP25" s="291" t="str">
        <f>_Stufe_Sech</f>
        <v>2. OS</v>
      </c>
      <c r="ABR25" s="292" t="str" cm="1">
        <f t="array" ref="ABR25">INDEX(StdDisziplinen[Bewertung],ABP$3)</f>
        <v>Sekunden</v>
      </c>
      <c r="ABS25" s="293"/>
      <c r="ABT25" s="294"/>
      <c r="ABV25" s="291" t="str">
        <f>_Stufe_Acht</f>
        <v>2. OS</v>
      </c>
      <c r="ABX25" s="292" t="str" cm="1">
        <f t="array" ref="ABX25">INDEX(StdDisziplinen[Bewertung],ABV$3)</f>
        <v>Sekunden</v>
      </c>
      <c r="ABY25" s="293"/>
      <c r="ABZ25" s="294"/>
      <c r="ACB25" s="288" t="s">
        <v>136</v>
      </c>
      <c r="ACC25" s="91"/>
      <c r="ACD25" s="91" t="str" cm="1">
        <f t="array" aca="1" ref="ACD25" ca="1">INDEX(INDIRECT($B$2),ACB$3)</f>
        <v>KonditionsparcoursResultat[@[BedRes]]</v>
      </c>
      <c r="ACG25" s="91" cm="1">
        <f t="array" aca="1" ref="ACG25" ca="1">INDEX(INDIRECT($C$2),ACB$3)</f>
        <v>1</v>
      </c>
      <c r="ACH25" s="91" cm="1">
        <f t="array" aca="1" ref="ACH25" ca="1">INDEX(INDIRECT($E$2),ACB$3)</f>
        <v>0</v>
      </c>
      <c r="ACI25" s="95" cm="1">
        <f t="array" aca="1" ref="ACI25" ca="1">INDEX(INDIRECT($B$6),ACB$3)</f>
        <v>1</v>
      </c>
      <c r="ACN25" s="245"/>
    </row>
    <row r="26" spans="1:768" s="95" customFormat="1" ht="6" customHeight="1">
      <c r="A26" s="245"/>
      <c r="G26" s="298"/>
      <c r="S26" s="298"/>
      <c r="U26" s="91"/>
      <c r="AE26" s="298"/>
      <c r="AG26" s="91"/>
      <c r="AQ26" s="298"/>
      <c r="AS26" s="91"/>
      <c r="BC26" s="298"/>
      <c r="BE26" s="91"/>
      <c r="BO26" s="298"/>
      <c r="BQ26" s="91"/>
      <c r="CA26" s="298"/>
      <c r="CC26" s="91"/>
      <c r="CM26" s="298"/>
      <c r="CO26" s="91"/>
      <c r="CY26" s="298"/>
      <c r="DA26" s="91"/>
      <c r="DL26" s="250"/>
      <c r="DM26" s="250"/>
      <c r="DN26" s="250"/>
      <c r="DO26" s="91"/>
      <c r="DP26" s="250"/>
      <c r="DQ26" s="252"/>
      <c r="DR26" s="252"/>
      <c r="DS26" s="252"/>
      <c r="DT26" s="250"/>
      <c r="DU26" s="250"/>
      <c r="DV26" s="250"/>
      <c r="DW26" s="250"/>
      <c r="DX26" s="250"/>
      <c r="DY26" s="250"/>
      <c r="DZ26" s="250"/>
      <c r="EA26" s="250"/>
      <c r="EB26" s="250"/>
      <c r="EC26" s="250"/>
      <c r="ED26" s="250"/>
      <c r="EE26" s="91"/>
      <c r="EG26" s="250"/>
      <c r="EH26" s="250"/>
      <c r="EI26" s="250"/>
      <c r="EJ26" s="91"/>
      <c r="EK26" s="250"/>
      <c r="EL26" s="252"/>
      <c r="EM26" s="252"/>
      <c r="EN26" s="252"/>
      <c r="EO26" s="250"/>
      <c r="EP26" s="250"/>
      <c r="EQ26" s="250"/>
      <c r="ER26" s="250"/>
      <c r="ES26" s="250"/>
      <c r="ET26" s="250"/>
      <c r="EU26" s="250"/>
      <c r="EV26" s="250"/>
      <c r="EW26" s="250"/>
      <c r="EX26" s="250"/>
      <c r="EY26" s="250"/>
      <c r="EZ26" s="91"/>
      <c r="FB26" s="250"/>
      <c r="FC26" s="250"/>
      <c r="FD26" s="250"/>
      <c r="FE26" s="91"/>
      <c r="FF26" s="250"/>
      <c r="FG26" s="252"/>
      <c r="FH26" s="252"/>
      <c r="FI26" s="252"/>
      <c r="FJ26" s="250"/>
      <c r="FK26" s="250"/>
      <c r="FL26" s="250"/>
      <c r="FM26" s="250"/>
      <c r="FN26" s="250"/>
      <c r="FO26" s="250"/>
      <c r="FP26" s="250"/>
      <c r="FQ26" s="250"/>
      <c r="FR26" s="250"/>
      <c r="FS26" s="250"/>
      <c r="FT26" s="250"/>
      <c r="FU26" s="91"/>
      <c r="FW26" s="250"/>
      <c r="FX26" s="250"/>
      <c r="FY26" s="250"/>
      <c r="FZ26" s="250"/>
      <c r="GA26" s="250"/>
      <c r="GB26" s="91"/>
      <c r="GC26" s="250"/>
      <c r="GD26" s="252"/>
      <c r="GE26" s="252"/>
      <c r="GF26" s="252"/>
      <c r="GG26" s="250"/>
      <c r="GH26" s="250"/>
      <c r="GI26" s="250"/>
      <c r="GJ26" s="250"/>
      <c r="GK26" s="250"/>
      <c r="GL26" s="250"/>
      <c r="GM26" s="250"/>
      <c r="GN26" s="250"/>
      <c r="GO26" s="250"/>
      <c r="GP26" s="250"/>
      <c r="GQ26" s="250"/>
      <c r="GR26" s="91"/>
      <c r="GS26" s="250"/>
      <c r="GT26" s="250"/>
      <c r="GU26" s="250"/>
      <c r="GV26" s="250"/>
      <c r="GW26" s="250"/>
      <c r="GX26" s="252"/>
      <c r="GY26" s="252"/>
      <c r="GZ26" s="252"/>
      <c r="HA26" s="250"/>
      <c r="HB26" s="250"/>
      <c r="HC26" s="250"/>
      <c r="HD26" s="250"/>
      <c r="HE26" s="250"/>
      <c r="HF26" s="250"/>
      <c r="HG26" s="250"/>
      <c r="HH26" s="250"/>
      <c r="HI26" s="250"/>
      <c r="HJ26" s="250"/>
      <c r="HK26" s="250"/>
      <c r="HL26" s="266"/>
      <c r="HM26" s="250"/>
      <c r="HN26" s="252"/>
      <c r="HP26" s="298"/>
      <c r="HY26" s="298"/>
      <c r="IH26" s="298"/>
      <c r="IQ26" s="298"/>
      <c r="IZ26" s="298"/>
      <c r="JI26" s="298"/>
      <c r="LH26" s="91"/>
      <c r="LI26" s="250"/>
      <c r="LJ26" s="250"/>
      <c r="LK26" s="250"/>
      <c r="LL26" s="250"/>
      <c r="LM26" s="250"/>
      <c r="LN26" s="250"/>
      <c r="LO26" s="250"/>
      <c r="LP26" s="250"/>
      <c r="LQ26" s="250"/>
      <c r="LR26" s="250"/>
      <c r="LS26" s="91"/>
      <c r="LT26" s="91"/>
      <c r="LU26" s="250"/>
      <c r="LV26" s="250"/>
      <c r="LW26" s="250"/>
      <c r="LX26" s="250"/>
      <c r="LY26" s="250"/>
      <c r="LZ26" s="250"/>
      <c r="MA26" s="250"/>
      <c r="MB26" s="250"/>
      <c r="MC26" s="250"/>
      <c r="MD26" s="250"/>
      <c r="ME26" s="91"/>
      <c r="MF26" s="91"/>
      <c r="MG26" s="250"/>
      <c r="MH26" s="250"/>
      <c r="MI26" s="250"/>
      <c r="MJ26" s="250"/>
      <c r="MK26" s="250"/>
      <c r="ML26" s="250"/>
      <c r="MM26" s="250"/>
      <c r="MN26" s="250"/>
      <c r="MO26" s="250"/>
      <c r="MP26" s="250"/>
      <c r="MQ26" s="91"/>
      <c r="MR26" s="250"/>
      <c r="MS26" s="252"/>
      <c r="MT26" s="252"/>
      <c r="MU26" s="252"/>
      <c r="MV26" s="252"/>
      <c r="MW26" s="280"/>
      <c r="MX26" s="250"/>
      <c r="NG26" s="298"/>
      <c r="NS26" s="250"/>
      <c r="NT26" s="250"/>
      <c r="NU26" s="250"/>
      <c r="NV26" s="250"/>
      <c r="NW26" s="250"/>
      <c r="NX26" s="250"/>
      <c r="NY26" s="250"/>
      <c r="NZ26" s="250"/>
      <c r="OA26" s="250"/>
      <c r="OB26" s="250"/>
      <c r="OC26" s="250"/>
      <c r="OD26" s="250"/>
      <c r="OE26" s="250"/>
      <c r="OF26" s="250"/>
      <c r="OG26" s="250"/>
      <c r="OH26" s="250"/>
      <c r="OI26" s="91"/>
      <c r="OJ26" s="250"/>
      <c r="OK26" s="250"/>
      <c r="OL26" s="250"/>
      <c r="OM26" s="252"/>
      <c r="ON26" s="252"/>
      <c r="OO26" s="252"/>
      <c r="OP26" s="250"/>
      <c r="OQ26" s="250"/>
      <c r="OR26" s="250"/>
      <c r="OS26" s="250"/>
      <c r="OT26" s="250"/>
      <c r="OU26" s="250"/>
      <c r="OV26" s="250"/>
      <c r="OW26" s="250"/>
      <c r="OX26" s="250"/>
      <c r="OY26" s="258"/>
      <c r="OZ26" s="250"/>
      <c r="PA26" s="252"/>
      <c r="PC26" s="298"/>
      <c r="PO26" s="298"/>
      <c r="QB26" s="298"/>
      <c r="QM26" s="250"/>
      <c r="QO26" s="250"/>
      <c r="QP26" s="250"/>
      <c r="QQ26" s="250"/>
      <c r="QR26" s="250"/>
      <c r="QS26" s="250"/>
      <c r="QT26" s="91"/>
      <c r="QU26" s="252"/>
      <c r="QV26" s="252"/>
      <c r="QW26" s="252"/>
      <c r="QX26" s="250"/>
      <c r="QY26" s="250"/>
      <c r="QZ26" s="250"/>
      <c r="RA26" s="250"/>
      <c r="RB26" s="250"/>
      <c r="RC26" s="250"/>
      <c r="RD26" s="250"/>
      <c r="RE26" s="250"/>
      <c r="RF26" s="250"/>
      <c r="RG26" s="250"/>
      <c r="RH26" s="250"/>
      <c r="RI26" s="91"/>
      <c r="RJ26" s="250"/>
      <c r="RL26" s="258"/>
      <c r="RM26" s="250"/>
      <c r="RN26" s="298"/>
      <c r="RP26" s="91"/>
      <c r="RZ26" s="298"/>
      <c r="SB26" s="91"/>
      <c r="SL26" s="298"/>
      <c r="SN26" s="91"/>
      <c r="SX26" s="298"/>
      <c r="SZ26" s="91"/>
      <c r="TJ26" s="298"/>
      <c r="VJ26" s="91"/>
      <c r="VK26" s="250"/>
      <c r="VL26" s="250"/>
      <c r="VM26" s="250"/>
      <c r="VN26" s="250"/>
      <c r="VO26" s="250"/>
      <c r="VP26" s="250"/>
      <c r="VQ26" s="250"/>
      <c r="VR26" s="250"/>
      <c r="VS26" s="250"/>
      <c r="VT26" s="250"/>
      <c r="VU26" s="91"/>
      <c r="VV26" s="91"/>
      <c r="VW26" s="250"/>
      <c r="VX26" s="250"/>
      <c r="VY26" s="250"/>
      <c r="VZ26" s="250"/>
      <c r="WA26" s="250"/>
      <c r="WB26" s="250"/>
      <c r="WC26" s="250"/>
      <c r="WD26" s="250"/>
      <c r="WE26" s="250"/>
      <c r="WF26" s="250"/>
      <c r="WG26" s="91"/>
      <c r="WH26" s="91"/>
      <c r="WI26" s="250"/>
      <c r="WJ26" s="250"/>
      <c r="WK26" s="250"/>
      <c r="WL26" s="250"/>
      <c r="WM26" s="250"/>
      <c r="WN26" s="250"/>
      <c r="WO26" s="250"/>
      <c r="WP26" s="250"/>
      <c r="WQ26" s="250"/>
      <c r="WR26" s="250"/>
      <c r="WS26" s="91"/>
      <c r="WT26" s="250"/>
      <c r="WU26" s="250"/>
      <c r="WV26" s="250"/>
      <c r="WW26" s="250"/>
      <c r="WX26" s="250"/>
      <c r="WY26" s="250"/>
      <c r="WZ26" s="250"/>
      <c r="XA26" s="250"/>
      <c r="XB26" s="250"/>
      <c r="XC26" s="250"/>
      <c r="XD26" s="250"/>
      <c r="XE26" s="250"/>
      <c r="XF26" s="250"/>
      <c r="XG26" s="250"/>
      <c r="XH26" s="252"/>
      <c r="XI26" s="252"/>
      <c r="XJ26" s="252"/>
      <c r="XK26" s="97"/>
      <c r="XL26" s="250"/>
      <c r="XM26" s="97"/>
      <c r="XN26" s="97"/>
      <c r="XO26" s="97"/>
      <c r="XP26" s="250"/>
      <c r="XQ26" s="250"/>
      <c r="XR26" s="250"/>
      <c r="XS26" s="250"/>
      <c r="XT26" s="250"/>
      <c r="XU26" s="258"/>
      <c r="XV26" s="250"/>
      <c r="XW26" s="252"/>
      <c r="XX26" s="250"/>
      <c r="XY26" s="250"/>
      <c r="XZ26" s="250"/>
      <c r="YA26" s="250"/>
      <c r="YB26" s="250"/>
      <c r="YC26" s="250"/>
      <c r="YD26" s="252"/>
      <c r="YE26" s="252"/>
      <c r="YF26" s="252"/>
      <c r="YG26" s="250"/>
      <c r="YH26" s="250"/>
      <c r="YI26" s="250"/>
      <c r="YJ26" s="250"/>
      <c r="YK26" s="250"/>
      <c r="YL26" s="250"/>
      <c r="YM26" s="250"/>
      <c r="YN26" s="250"/>
      <c r="YO26" s="250"/>
      <c r="YP26" s="250"/>
      <c r="YQ26" s="250"/>
      <c r="YR26" s="250"/>
      <c r="YS26" s="250"/>
      <c r="YT26" s="250"/>
      <c r="YU26" s="250"/>
      <c r="YV26" s="250"/>
      <c r="YW26" s="250"/>
      <c r="YX26" s="250"/>
      <c r="YY26" s="250"/>
      <c r="YZ26" s="250"/>
      <c r="ZA26" s="250"/>
      <c r="ZB26" s="250"/>
      <c r="ZC26" s="250"/>
      <c r="ZD26" s="250"/>
      <c r="ZE26" s="250"/>
      <c r="ZF26" s="258"/>
      <c r="ZH26" s="281"/>
      <c r="ZK26" s="260"/>
      <c r="ZM26" s="281"/>
      <c r="ZN26" s="96"/>
      <c r="ZO26" s="91"/>
      <c r="ZP26" s="91"/>
      <c r="ZQ26" s="260"/>
      <c r="ZR26" s="260"/>
      <c r="ZT26" s="91"/>
      <c r="ZU26" s="91"/>
      <c r="AAD26" s="250"/>
      <c r="AAE26" s="250"/>
      <c r="AAF26" s="243"/>
      <c r="AAL26" s="299"/>
      <c r="AAR26" s="260"/>
      <c r="ABD26" s="260"/>
      <c r="ABP26" s="299"/>
      <c r="ABV26" s="299"/>
      <c r="ACB26" s="298"/>
      <c r="ACN26" s="245"/>
    </row>
    <row r="27" spans="1:768" s="95" customFormat="1">
      <c r="A27" s="245"/>
      <c r="B27" s="95" t="s">
        <v>77</v>
      </c>
      <c r="C27" s="95" t="s">
        <v>78</v>
      </c>
      <c r="D27" s="300"/>
      <c r="E27" s="301" t="s">
        <v>108</v>
      </c>
      <c r="G27" s="211" t="s">
        <v>407</v>
      </c>
      <c r="H27" s="211" t="s">
        <v>22</v>
      </c>
      <c r="I27" s="211" t="s">
        <v>408</v>
      </c>
      <c r="K27" s="91" t="s">
        <v>140</v>
      </c>
      <c r="M27" s="91"/>
      <c r="N27" s="211" t="s">
        <v>117</v>
      </c>
      <c r="O27" s="91"/>
      <c r="Q27" s="211" t="s">
        <v>7</v>
      </c>
      <c r="S27" s="211" t="s">
        <v>407</v>
      </c>
      <c r="T27" s="211" t="s">
        <v>22</v>
      </c>
      <c r="U27" s="302" t="s">
        <v>408</v>
      </c>
      <c r="W27" s="91" t="s">
        <v>140</v>
      </c>
      <c r="Z27" s="91" t="s">
        <v>117</v>
      </c>
      <c r="AA27" s="91"/>
      <c r="AC27" s="211" t="s">
        <v>7</v>
      </c>
      <c r="AE27" s="211" t="s">
        <v>407</v>
      </c>
      <c r="AF27" s="211" t="s">
        <v>22</v>
      </c>
      <c r="AG27" s="302" t="s">
        <v>408</v>
      </c>
      <c r="AI27" s="91" t="s">
        <v>140</v>
      </c>
      <c r="AL27" s="91" t="s">
        <v>117</v>
      </c>
      <c r="AM27" s="91"/>
      <c r="AO27" s="211" t="s">
        <v>7</v>
      </c>
      <c r="AQ27" s="211" t="s">
        <v>407</v>
      </c>
      <c r="AR27" s="211" t="s">
        <v>22</v>
      </c>
      <c r="AS27" s="302" t="s">
        <v>408</v>
      </c>
      <c r="AU27" s="91" t="s">
        <v>140</v>
      </c>
      <c r="AX27" s="91" t="s">
        <v>117</v>
      </c>
      <c r="AY27" s="91"/>
      <c r="BA27" s="211" t="s">
        <v>7</v>
      </c>
      <c r="BC27" s="211" t="s">
        <v>407</v>
      </c>
      <c r="BD27" s="211" t="s">
        <v>22</v>
      </c>
      <c r="BE27" s="302" t="s">
        <v>408</v>
      </c>
      <c r="BG27" s="91" t="s">
        <v>140</v>
      </c>
      <c r="BJ27" s="91" t="s">
        <v>117</v>
      </c>
      <c r="BK27" s="91"/>
      <c r="BM27" s="211" t="s">
        <v>7</v>
      </c>
      <c r="BO27" s="211" t="s">
        <v>407</v>
      </c>
      <c r="BP27" s="211" t="s">
        <v>22</v>
      </c>
      <c r="BQ27" s="302" t="s">
        <v>408</v>
      </c>
      <c r="BS27" s="91" t="s">
        <v>140</v>
      </c>
      <c r="BV27" s="91" t="s">
        <v>117</v>
      </c>
      <c r="BW27" s="91"/>
      <c r="BY27" s="211" t="s">
        <v>7</v>
      </c>
      <c r="CA27" s="211" t="s">
        <v>407</v>
      </c>
      <c r="CB27" s="211" t="s">
        <v>22</v>
      </c>
      <c r="CC27" s="302" t="s">
        <v>408</v>
      </c>
      <c r="CE27" s="91" t="s">
        <v>140</v>
      </c>
      <c r="CH27" s="91" t="s">
        <v>117</v>
      </c>
      <c r="CI27" s="91"/>
      <c r="CK27" s="211" t="s">
        <v>7</v>
      </c>
      <c r="CM27" s="211" t="s">
        <v>407</v>
      </c>
      <c r="CN27" s="211" t="s">
        <v>22</v>
      </c>
      <c r="CO27" s="302" t="s">
        <v>408</v>
      </c>
      <c r="CQ27" s="91" t="s">
        <v>140</v>
      </c>
      <c r="CT27" s="91" t="s">
        <v>117</v>
      </c>
      <c r="CU27" s="91"/>
      <c r="CW27" s="211" t="s">
        <v>7</v>
      </c>
      <c r="CY27" s="211" t="s">
        <v>407</v>
      </c>
      <c r="CZ27" s="211" t="s">
        <v>22</v>
      </c>
      <c r="DA27" s="302" t="s">
        <v>408</v>
      </c>
      <c r="DC27" s="91" t="s">
        <v>140</v>
      </c>
      <c r="DF27" s="91" t="s">
        <v>117</v>
      </c>
      <c r="DG27" s="91"/>
      <c r="DI27" s="211" t="s">
        <v>7</v>
      </c>
      <c r="DJ27" s="211"/>
      <c r="DK27" s="95" t="str">
        <f>Stammdaten!$V$2</f>
        <v>Resultat</v>
      </c>
      <c r="DL27" s="95" t="str">
        <f>Stammdaten!$V$2</f>
        <v>Resultat</v>
      </c>
      <c r="DM27" s="95" t="str">
        <f>Stammdaten!$BX$6</f>
        <v>Note</v>
      </c>
      <c r="DN27" s="95" t="str">
        <f>Stammdaten!$BX$6</f>
        <v>Note</v>
      </c>
      <c r="DO27" s="91"/>
      <c r="DP27" s="250"/>
      <c r="DQ27" s="252"/>
      <c r="DR27" s="252"/>
      <c r="DS27" s="252"/>
      <c r="DT27" s="250"/>
      <c r="DU27" s="250"/>
      <c r="DV27" s="250"/>
      <c r="DW27" s="250"/>
      <c r="DX27" s="91"/>
      <c r="DY27" s="250"/>
      <c r="DZ27" s="250"/>
      <c r="EA27" s="250"/>
      <c r="EB27" s="250"/>
      <c r="EC27" s="250"/>
      <c r="ED27" s="250"/>
      <c r="EE27" s="91"/>
      <c r="EF27" s="95" t="str">
        <f>Stammdaten!$V$2</f>
        <v>Resultat</v>
      </c>
      <c r="EG27" s="95" t="str">
        <f>Stammdaten!$V$2</f>
        <v>Resultat</v>
      </c>
      <c r="EH27" s="95" t="str">
        <f>Stammdaten!$BX$6</f>
        <v>Note</v>
      </c>
      <c r="EI27" s="95" t="str">
        <f>Stammdaten!$BX$6</f>
        <v>Note</v>
      </c>
      <c r="EJ27" s="91"/>
      <c r="EK27" s="250"/>
      <c r="EL27" s="252"/>
      <c r="EM27" s="252"/>
      <c r="EN27" s="252"/>
      <c r="EO27" s="250"/>
      <c r="EP27" s="250"/>
      <c r="EQ27" s="250"/>
      <c r="ER27" s="250"/>
      <c r="ES27" s="91"/>
      <c r="ET27" s="250"/>
      <c r="EU27" s="250"/>
      <c r="EV27" s="250"/>
      <c r="EW27" s="250"/>
      <c r="EX27" s="250"/>
      <c r="EY27" s="250"/>
      <c r="EZ27" s="91"/>
      <c r="FA27" s="95" t="str">
        <f>Stammdaten!$V$2</f>
        <v>Resultat</v>
      </c>
      <c r="FB27" s="95" t="str">
        <f>Stammdaten!$V$2</f>
        <v>Resultat</v>
      </c>
      <c r="FC27" s="95" t="str">
        <f>Stammdaten!$BX$6</f>
        <v>Note</v>
      </c>
      <c r="FD27" s="95" t="str">
        <f>Stammdaten!$BX$6</f>
        <v>Note</v>
      </c>
      <c r="FE27" s="91"/>
      <c r="FF27" s="250"/>
      <c r="FG27" s="252"/>
      <c r="FH27" s="252"/>
      <c r="FI27" s="252"/>
      <c r="FJ27" s="250"/>
      <c r="FK27" s="250"/>
      <c r="FL27" s="250"/>
      <c r="FM27" s="250"/>
      <c r="FN27" s="91"/>
      <c r="FO27" s="250"/>
      <c r="FP27" s="250"/>
      <c r="FQ27" s="250"/>
      <c r="FR27" s="250"/>
      <c r="FS27" s="250"/>
      <c r="FT27" s="250"/>
      <c r="FU27" s="91"/>
      <c r="FV27" s="95" t="str">
        <f>Stammdaten!$V$2</f>
        <v>Resultat</v>
      </c>
      <c r="FW27" s="95" t="str">
        <f>Stammdaten!$V$2</f>
        <v>Resultat</v>
      </c>
      <c r="FX27" s="95" t="str">
        <f>Stammdaten!$V$2</f>
        <v>Resultat</v>
      </c>
      <c r="FY27" s="95" t="str">
        <f>Stammdaten!$BX$6</f>
        <v>Note</v>
      </c>
      <c r="FZ27" s="95" t="str">
        <f>Stammdaten!$BX$6</f>
        <v>Note</v>
      </c>
      <c r="GA27" s="95" t="str">
        <f>Stammdaten!$BX$6</f>
        <v>Note</v>
      </c>
      <c r="GB27" s="91"/>
      <c r="GC27" s="250"/>
      <c r="GD27" s="252"/>
      <c r="GE27" s="252"/>
      <c r="GF27" s="252"/>
      <c r="GG27" s="250"/>
      <c r="GH27" s="250"/>
      <c r="GI27" s="250"/>
      <c r="GJ27" s="250"/>
      <c r="GK27" s="91"/>
      <c r="GL27" s="250"/>
      <c r="GM27" s="250"/>
      <c r="GN27" s="250"/>
      <c r="GO27" s="250"/>
      <c r="GP27" s="250"/>
      <c r="GQ27" s="250"/>
      <c r="GR27" s="91"/>
      <c r="GS27" s="250"/>
      <c r="GT27" s="91"/>
      <c r="GU27" s="91"/>
      <c r="GV27" s="91"/>
      <c r="GW27" s="91"/>
      <c r="GX27" s="252"/>
      <c r="GY27" s="252"/>
      <c r="GZ27" s="252"/>
      <c r="HA27" s="250" t="str">
        <f>Stammdaten!$BX$6</f>
        <v>Note</v>
      </c>
      <c r="HB27" s="95" t="str">
        <f>Stammdaten!$BB$2</f>
        <v>M-Position</v>
      </c>
      <c r="HC27" s="95" t="str">
        <f>Stammdaten!$BA$2</f>
        <v>N-Anzeige</v>
      </c>
      <c r="HD27" s="95" t="str">
        <f>Stammdaten!$BA$2</f>
        <v>N-Anzeige</v>
      </c>
      <c r="HE27" s="95" t="str">
        <f>Stammdaten!$BA$2</f>
        <v>N-Anzeige</v>
      </c>
      <c r="HF27" s="95" t="str">
        <f>Stammdaten!$BA$2</f>
        <v>N-Anzeige</v>
      </c>
      <c r="HG27" s="250"/>
      <c r="HH27" s="91"/>
      <c r="HI27" s="91"/>
      <c r="HJ27" s="91"/>
      <c r="HK27" s="91"/>
      <c r="HL27" s="266"/>
      <c r="HM27" s="250"/>
      <c r="HN27" s="211" t="str">
        <f>Stammdaten!$BX$6</f>
        <v>Note</v>
      </c>
      <c r="HP27" s="211" t="s">
        <v>407</v>
      </c>
      <c r="HQ27" s="211" t="s">
        <v>22</v>
      </c>
      <c r="HR27" s="211" t="s">
        <v>386</v>
      </c>
      <c r="HS27" s="211" t="s">
        <v>408</v>
      </c>
      <c r="HY27" s="211" t="s">
        <v>407</v>
      </c>
      <c r="HZ27" s="211" t="s">
        <v>22</v>
      </c>
      <c r="IA27" s="211" t="s">
        <v>386</v>
      </c>
      <c r="IB27" s="211" t="s">
        <v>408</v>
      </c>
      <c r="IH27" s="211" t="s">
        <v>407</v>
      </c>
      <c r="II27" s="211" t="s">
        <v>22</v>
      </c>
      <c r="IJ27" s="211" t="s">
        <v>386</v>
      </c>
      <c r="IK27" s="211" t="s">
        <v>408</v>
      </c>
      <c r="IQ27" s="211" t="s">
        <v>407</v>
      </c>
      <c r="IR27" s="211" t="s">
        <v>22</v>
      </c>
      <c r="IS27" s="211" t="s">
        <v>386</v>
      </c>
      <c r="IT27" s="211" t="s">
        <v>408</v>
      </c>
      <c r="IZ27" s="211" t="s">
        <v>407</v>
      </c>
      <c r="JA27" s="211" t="s">
        <v>22</v>
      </c>
      <c r="JB27" s="211" t="s">
        <v>386</v>
      </c>
      <c r="JC27" s="211" t="s">
        <v>408</v>
      </c>
      <c r="JI27" s="211" t="s">
        <v>407</v>
      </c>
      <c r="JJ27" s="211" t="s">
        <v>22</v>
      </c>
      <c r="JK27" s="211" t="s">
        <v>386</v>
      </c>
      <c r="JL27" s="211" t="s">
        <v>408</v>
      </c>
      <c r="JQ27" s="211"/>
      <c r="JR27" s="96" t="str">
        <f>Stammdaten!$V$2</f>
        <v>Resultat</v>
      </c>
      <c r="JS27" s="96" t="str">
        <f>Stammdaten!$V$2</f>
        <v>Resultat</v>
      </c>
      <c r="JT27" s="96" t="str">
        <f>Stammdaten!$V$2</f>
        <v>Resultat</v>
      </c>
      <c r="JU27" s="96" t="str">
        <f>Stammdaten!$V$2</f>
        <v>Resultat</v>
      </c>
      <c r="JV27" s="96" t="str">
        <f>Stammdaten!$V$2</f>
        <v>Resultat</v>
      </c>
      <c r="JW27" s="96" t="str">
        <f>Stammdaten!$V$2</f>
        <v>Resultat</v>
      </c>
      <c r="JX27" s="91"/>
      <c r="JY27" s="91"/>
      <c r="JZ27" s="91"/>
      <c r="KA27" s="211"/>
      <c r="KB27" s="211"/>
      <c r="KC27" s="211"/>
      <c r="KD27" s="211"/>
      <c r="KE27" s="211"/>
      <c r="KF27" s="211"/>
      <c r="KG27" s="211"/>
      <c r="KH27" s="211"/>
      <c r="KI27" s="211"/>
      <c r="KJ27" s="211"/>
      <c r="KK27" s="211"/>
      <c r="KL27" s="211"/>
      <c r="KM27" s="211"/>
      <c r="KN27" s="211"/>
      <c r="KO27" s="211"/>
      <c r="KP27" s="211"/>
      <c r="KQ27" s="211"/>
      <c r="KR27" s="211"/>
      <c r="KS27" s="211"/>
      <c r="KT27" s="211"/>
      <c r="KU27" s="211"/>
      <c r="KV27" s="211"/>
      <c r="KW27" s="211"/>
      <c r="KX27" s="211"/>
      <c r="KY27" s="211"/>
      <c r="KZ27" s="211"/>
      <c r="LA27" s="211"/>
      <c r="LB27" s="211"/>
      <c r="LC27" s="211"/>
      <c r="LD27" s="211"/>
      <c r="LE27" s="211"/>
      <c r="LF27" s="211"/>
      <c r="LG27" s="211"/>
      <c r="LH27" s="91"/>
      <c r="LI27" s="250"/>
      <c r="LJ27" s="250"/>
      <c r="LK27" s="250"/>
      <c r="LL27" s="91"/>
      <c r="LM27" s="250"/>
      <c r="LN27" s="250"/>
      <c r="LO27" s="250"/>
      <c r="LP27" s="250"/>
      <c r="LQ27" s="250"/>
      <c r="LR27" s="250"/>
      <c r="LS27" s="91"/>
      <c r="LT27" s="91"/>
      <c r="LU27" s="250"/>
      <c r="LV27" s="250"/>
      <c r="LW27" s="250"/>
      <c r="LX27" s="91"/>
      <c r="LY27" s="250"/>
      <c r="LZ27" s="250"/>
      <c r="MA27" s="250"/>
      <c r="MB27" s="250"/>
      <c r="MC27" s="250"/>
      <c r="MD27" s="250"/>
      <c r="ME27" s="91"/>
      <c r="MF27" s="91"/>
      <c r="MG27" s="250"/>
      <c r="MH27" s="250"/>
      <c r="MI27" s="250"/>
      <c r="MJ27" s="91"/>
      <c r="MK27" s="250"/>
      <c r="ML27" s="250"/>
      <c r="MM27" s="250"/>
      <c r="MN27" s="250"/>
      <c r="MO27" s="250"/>
      <c r="MP27" s="250"/>
      <c r="MQ27" s="91"/>
      <c r="MR27" s="91"/>
      <c r="MS27" s="252"/>
      <c r="MT27" s="252"/>
      <c r="MU27" s="252"/>
      <c r="MV27" s="252"/>
      <c r="MW27" s="280"/>
      <c r="MX27" s="250"/>
      <c r="MY27" s="91" t="s">
        <v>140</v>
      </c>
      <c r="MZ27" s="108">
        <v>2</v>
      </c>
      <c r="NB27" s="91" t="s">
        <v>117</v>
      </c>
      <c r="NC27" s="91"/>
      <c r="NE27" s="211" t="s">
        <v>7</v>
      </c>
      <c r="NG27" s="211" t="s">
        <v>407</v>
      </c>
      <c r="NH27" s="211" t="s">
        <v>22</v>
      </c>
      <c r="NI27" s="211" t="s">
        <v>386</v>
      </c>
      <c r="NJ27" s="211" t="s">
        <v>408</v>
      </c>
      <c r="NL27" s="91" t="s">
        <v>140</v>
      </c>
      <c r="NO27" s="91" t="s">
        <v>117</v>
      </c>
      <c r="NP27" s="91"/>
      <c r="NR27" s="211" t="s">
        <v>7</v>
      </c>
      <c r="NS27" s="250"/>
      <c r="NT27" s="250" t="str">
        <f>Stammdaten!$V$2</f>
        <v>Resultat</v>
      </c>
      <c r="NU27" s="250" t="str">
        <f>Stammdaten!$V$2</f>
        <v>Resultat</v>
      </c>
      <c r="NV27" s="95" t="str">
        <f>Stammdaten!$BX$6</f>
        <v>Note</v>
      </c>
      <c r="NW27" s="95" t="str">
        <f>Stammdaten!$BX$6</f>
        <v>Note</v>
      </c>
      <c r="NX27" s="250"/>
      <c r="NY27" s="250"/>
      <c r="NZ27" s="250"/>
      <c r="OA27" s="250"/>
      <c r="OB27" s="91"/>
      <c r="OC27" s="250"/>
      <c r="OD27" s="250"/>
      <c r="OE27" s="250"/>
      <c r="OF27" s="250"/>
      <c r="OG27" s="250"/>
      <c r="OH27" s="250"/>
      <c r="OI27" s="91"/>
      <c r="OL27" s="91"/>
      <c r="OM27" s="252"/>
      <c r="ON27" s="252"/>
      <c r="OO27" s="252"/>
      <c r="OP27" s="95" t="str">
        <f>Stammdaten!$BX$6</f>
        <v>Note</v>
      </c>
      <c r="OQ27" s="108" t="str">
        <f>Stammdaten!$BB$2</f>
        <v>M-Position</v>
      </c>
      <c r="OR27" s="91" t="str">
        <f>Stammdaten!$BA$2</f>
        <v>N-Anzeige</v>
      </c>
      <c r="OS27" s="91" t="str">
        <f>Stammdaten!$BA$2</f>
        <v>N-Anzeige</v>
      </c>
      <c r="OT27" s="91"/>
      <c r="OU27" s="91"/>
      <c r="OV27" s="91"/>
      <c r="OW27" s="91"/>
      <c r="OX27" s="91"/>
      <c r="OY27" s="258"/>
      <c r="OZ27" s="250"/>
      <c r="PA27" s="211" t="str">
        <f>Stammdaten!$BX$6</f>
        <v>Note</v>
      </c>
      <c r="PC27" s="211" t="s">
        <v>407</v>
      </c>
      <c r="PD27" s="211" t="s">
        <v>22</v>
      </c>
      <c r="PE27" s="211" t="s">
        <v>408</v>
      </c>
      <c r="PG27" s="91" t="s">
        <v>140</v>
      </c>
      <c r="PH27" s="91"/>
      <c r="PJ27" s="91" t="s">
        <v>117</v>
      </c>
      <c r="PK27" s="91"/>
      <c r="PM27" s="211" t="s">
        <v>7</v>
      </c>
      <c r="PO27" s="211" t="s">
        <v>407</v>
      </c>
      <c r="PP27" s="211" t="s">
        <v>22</v>
      </c>
      <c r="PQ27" s="211" t="s">
        <v>386</v>
      </c>
      <c r="PR27" s="211" t="s">
        <v>408</v>
      </c>
      <c r="PT27" s="91" t="s">
        <v>140</v>
      </c>
      <c r="PU27" s="91"/>
      <c r="PW27" s="91" t="s">
        <v>117</v>
      </c>
      <c r="PX27" s="91"/>
      <c r="PZ27" s="211" t="s">
        <v>7</v>
      </c>
      <c r="QB27" s="211" t="s">
        <v>407</v>
      </c>
      <c r="QC27" s="211" t="s">
        <v>22</v>
      </c>
      <c r="QD27" s="211" t="s">
        <v>408</v>
      </c>
      <c r="QF27" s="91" t="s">
        <v>140</v>
      </c>
      <c r="QG27" s="91"/>
      <c r="QI27" s="91" t="s">
        <v>117</v>
      </c>
      <c r="QJ27" s="91"/>
      <c r="QL27" s="211" t="s">
        <v>7</v>
      </c>
      <c r="QM27" s="250"/>
      <c r="QN27" s="95" t="str">
        <f>Stammdaten!$V$2</f>
        <v>Resultat</v>
      </c>
      <c r="QO27" s="95" t="str">
        <f>Stammdaten!$V$2</f>
        <v>Resultat</v>
      </c>
      <c r="QP27" s="95" t="str">
        <f>Stammdaten!$V$2</f>
        <v>Resultat</v>
      </c>
      <c r="QQ27" s="95" t="str">
        <f>Stammdaten!$BX$6</f>
        <v>Note</v>
      </c>
      <c r="QR27" s="95" t="str">
        <f>Stammdaten!$BX$6</f>
        <v>Note</v>
      </c>
      <c r="QS27" s="95" t="str">
        <f>Stammdaten!$BX$6</f>
        <v>Note</v>
      </c>
      <c r="QT27" s="91"/>
      <c r="QU27" s="252"/>
      <c r="QV27" s="252"/>
      <c r="QW27" s="252"/>
      <c r="QX27" s="250"/>
      <c r="QY27" s="250"/>
      <c r="QZ27" s="250"/>
      <c r="RA27" s="250"/>
      <c r="RB27" s="91"/>
      <c r="RC27" s="250"/>
      <c r="RD27" s="250"/>
      <c r="RE27" s="250"/>
      <c r="RF27" s="250"/>
      <c r="RG27" s="250"/>
      <c r="RH27" s="250"/>
      <c r="RI27" s="91"/>
      <c r="RJ27" s="95" t="str">
        <f>Stammdaten!$BB$2</f>
        <v>M-Position</v>
      </c>
      <c r="RK27" s="211"/>
      <c r="RL27" s="258"/>
      <c r="RM27" s="250"/>
      <c r="RN27" s="211" t="s">
        <v>407</v>
      </c>
      <c r="RO27" s="211" t="s">
        <v>22</v>
      </c>
      <c r="RP27" s="302" t="s">
        <v>408</v>
      </c>
      <c r="RR27" s="91" t="s">
        <v>140</v>
      </c>
      <c r="RU27" s="91" t="s">
        <v>117</v>
      </c>
      <c r="RV27" s="91"/>
      <c r="RX27" s="211" t="s">
        <v>7</v>
      </c>
      <c r="RZ27" s="211" t="s">
        <v>407</v>
      </c>
      <c r="SA27" s="211" t="s">
        <v>22</v>
      </c>
      <c r="SB27" s="302" t="s">
        <v>408</v>
      </c>
      <c r="SD27" s="91" t="s">
        <v>140</v>
      </c>
      <c r="SF27" s="91"/>
      <c r="SG27" s="91" t="s">
        <v>117</v>
      </c>
      <c r="SH27" s="91"/>
      <c r="SJ27" s="211" t="s">
        <v>7</v>
      </c>
      <c r="SL27" s="211" t="s">
        <v>407</v>
      </c>
      <c r="SM27" s="211" t="s">
        <v>22</v>
      </c>
      <c r="SN27" s="302" t="s">
        <v>408</v>
      </c>
      <c r="SP27" s="91" t="s">
        <v>140</v>
      </c>
      <c r="SS27" s="91" t="s">
        <v>117</v>
      </c>
      <c r="ST27" s="91"/>
      <c r="SV27" s="211" t="s">
        <v>7</v>
      </c>
      <c r="SX27" s="211" t="s">
        <v>407</v>
      </c>
      <c r="SY27" s="211" t="s">
        <v>22</v>
      </c>
      <c r="SZ27" s="302" t="s">
        <v>408</v>
      </c>
      <c r="TB27" s="91" t="s">
        <v>140</v>
      </c>
      <c r="TE27" s="91" t="s">
        <v>117</v>
      </c>
      <c r="TF27" s="91"/>
      <c r="TH27" s="211" t="s">
        <v>7</v>
      </c>
      <c r="TJ27" s="211" t="s">
        <v>407</v>
      </c>
      <c r="TK27" s="211" t="s">
        <v>22</v>
      </c>
      <c r="TL27" s="211" t="s">
        <v>386</v>
      </c>
      <c r="TM27" s="211" t="s">
        <v>408</v>
      </c>
      <c r="TO27" s="91" t="s">
        <v>140</v>
      </c>
      <c r="TP27" s="91"/>
      <c r="TR27" s="91" t="s">
        <v>117</v>
      </c>
      <c r="TS27" s="91"/>
      <c r="TU27" s="211" t="s">
        <v>7</v>
      </c>
      <c r="TV27" s="211"/>
      <c r="TW27" s="95" t="str">
        <f>Stammdaten!$BX$6</f>
        <v>Note</v>
      </c>
      <c r="TX27" s="95" t="str">
        <f>Stammdaten!$BX$6</f>
        <v>Note</v>
      </c>
      <c r="TY27" s="95" t="str">
        <f>Stammdaten!$BX$6</f>
        <v>Note</v>
      </c>
      <c r="TZ27" s="95" t="str">
        <f>Stammdaten!$BX$6</f>
        <v>Note</v>
      </c>
      <c r="UA27" s="95" t="str">
        <f>Stammdaten!$BX$6</f>
        <v>Note</v>
      </c>
      <c r="UB27" s="91"/>
      <c r="UC27" s="91"/>
      <c r="UD27" s="91"/>
      <c r="UE27" s="211"/>
      <c r="UF27" s="211"/>
      <c r="UG27" s="211"/>
      <c r="UH27" s="211"/>
      <c r="UI27" s="211"/>
      <c r="UJ27" s="211"/>
      <c r="UK27" s="211"/>
      <c r="UL27" s="211"/>
      <c r="UM27" s="211"/>
      <c r="UN27" s="211"/>
      <c r="UO27" s="211"/>
      <c r="UP27" s="211"/>
      <c r="UQ27" s="211"/>
      <c r="UR27" s="211"/>
      <c r="US27" s="211"/>
      <c r="UT27" s="211"/>
      <c r="UU27" s="211"/>
      <c r="UV27" s="211"/>
      <c r="UW27" s="211"/>
      <c r="UX27" s="211"/>
      <c r="UY27" s="211"/>
      <c r="UZ27" s="211"/>
      <c r="VA27" s="211"/>
      <c r="VB27" s="211"/>
      <c r="VC27" s="211"/>
      <c r="VD27" s="211"/>
      <c r="VE27" s="211"/>
      <c r="VF27" s="211"/>
      <c r="VG27" s="211"/>
      <c r="VH27" s="211"/>
      <c r="VI27" s="211"/>
      <c r="VJ27" s="91"/>
      <c r="VK27" s="250"/>
      <c r="VL27" s="250"/>
      <c r="VM27" s="250"/>
      <c r="VN27" s="91"/>
      <c r="VO27" s="250"/>
      <c r="VP27" s="250"/>
      <c r="VQ27" s="250"/>
      <c r="VR27" s="250"/>
      <c r="VS27" s="250"/>
      <c r="VT27" s="250"/>
      <c r="VU27" s="91"/>
      <c r="VV27" s="91"/>
      <c r="VW27" s="250"/>
      <c r="VX27" s="250"/>
      <c r="VY27" s="250"/>
      <c r="VZ27" s="91"/>
      <c r="WA27" s="250"/>
      <c r="WB27" s="250"/>
      <c r="WC27" s="250"/>
      <c r="WD27" s="250"/>
      <c r="WE27" s="250"/>
      <c r="WF27" s="250"/>
      <c r="WG27" s="91"/>
      <c r="WH27" s="91"/>
      <c r="WI27" s="250"/>
      <c r="WJ27" s="250"/>
      <c r="WK27" s="250"/>
      <c r="WL27" s="91"/>
      <c r="WM27" s="91"/>
      <c r="WN27" s="250"/>
      <c r="WO27" s="250"/>
      <c r="WP27" s="250"/>
      <c r="WQ27" s="250"/>
      <c r="WR27" s="250"/>
      <c r="WS27" s="91"/>
      <c r="WT27" s="250" t="str">
        <f>Stammdaten!$V$2</f>
        <v>Resultat</v>
      </c>
      <c r="WU27" s="250" t="str">
        <f>Stammdaten!$V$2</f>
        <v>Resultat</v>
      </c>
      <c r="WV27" s="250" t="str">
        <f>Stammdaten!$V$2</f>
        <v>Resultat</v>
      </c>
      <c r="WW27" s="250" t="str">
        <f>Stammdaten!$V$2</f>
        <v>Resultat</v>
      </c>
      <c r="WX27" s="250" t="str">
        <f>Stammdaten!$V$2</f>
        <v>Resultat</v>
      </c>
      <c r="WY27" s="95" t="str">
        <f>Stammdaten!$BX$6</f>
        <v>Note</v>
      </c>
      <c r="WZ27" s="95" t="str">
        <f>Stammdaten!$BX$6</f>
        <v>Note</v>
      </c>
      <c r="XA27" s="95" t="str">
        <f>Stammdaten!$BX$6</f>
        <v>Note</v>
      </c>
      <c r="XB27" s="95" t="str">
        <f>Stammdaten!$BX$6</f>
        <v>Note</v>
      </c>
      <c r="XC27" s="95" t="str">
        <f>Stammdaten!$BX$6</f>
        <v>Note</v>
      </c>
      <c r="XD27" s="91"/>
      <c r="XE27" s="91"/>
      <c r="XF27" s="91"/>
      <c r="XG27" s="91"/>
      <c r="XH27" s="252"/>
      <c r="XI27" s="252"/>
      <c r="XJ27" s="252"/>
      <c r="XK27" s="97" t="str">
        <f>Stammdaten!$BX$6</f>
        <v>Note</v>
      </c>
      <c r="XL27" s="95" t="str">
        <f>Stammdaten!$BB$2</f>
        <v>M-Position</v>
      </c>
      <c r="XM27" s="97" t="str">
        <f>Stammdaten!$BA$2</f>
        <v>N-Anzeige</v>
      </c>
      <c r="XN27" s="97" t="str">
        <f>Stammdaten!$BA$2</f>
        <v>N-Anzeige</v>
      </c>
      <c r="XO27" s="97" t="str">
        <f>Stammdaten!$BA$2</f>
        <v>N-Anzeige</v>
      </c>
      <c r="XP27" s="91"/>
      <c r="XQ27" s="91"/>
      <c r="XR27" s="91"/>
      <c r="XS27" s="91"/>
      <c r="XT27" s="91"/>
      <c r="XU27" s="258"/>
      <c r="XV27" s="250"/>
      <c r="XW27" s="211" t="str">
        <f>Stammdaten!$BX$6</f>
        <v>Note</v>
      </c>
      <c r="XX27" s="250"/>
      <c r="XY27" s="91"/>
      <c r="XZ27" s="91"/>
      <c r="YA27" s="91"/>
      <c r="YB27" s="91"/>
      <c r="YC27" s="91"/>
      <c r="YD27" s="252"/>
      <c r="YE27" s="252"/>
      <c r="YF27" s="252"/>
      <c r="YG27" s="250" t="str">
        <f>Stammdaten!$BX$6</f>
        <v>Note</v>
      </c>
      <c r="YH27" s="95" t="str">
        <f>Stammdaten!$BA$2</f>
        <v>N-Anzeige</v>
      </c>
      <c r="YI27" s="95" t="str">
        <f>Stammdaten!$BA$2</f>
        <v>N-Anzeige</v>
      </c>
      <c r="YJ27" s="95" t="str">
        <f>Stammdaten!$BA$2</f>
        <v>N-Anzeige</v>
      </c>
      <c r="YK27" s="95" t="str">
        <f>Stammdaten!$BA$2</f>
        <v>N-Anzeige</v>
      </c>
      <c r="YL27" s="91"/>
      <c r="YM27" s="91"/>
      <c r="YN27" s="91"/>
      <c r="YO27" s="91"/>
      <c r="YP27" s="91"/>
      <c r="YQ27" s="91"/>
      <c r="YR27" s="91"/>
      <c r="YS27" s="91"/>
      <c r="YT27" s="91"/>
      <c r="YU27" s="250"/>
      <c r="YV27" s="250"/>
      <c r="YW27" s="250"/>
      <c r="YX27" s="250"/>
      <c r="YY27" s="250"/>
      <c r="YZ27" s="250"/>
      <c r="ZA27" s="250"/>
      <c r="ZB27" s="250"/>
      <c r="ZC27" s="250"/>
      <c r="ZD27" s="250"/>
      <c r="ZE27" s="250"/>
      <c r="ZF27" s="303"/>
      <c r="ZH27" s="304" t="s">
        <v>134</v>
      </c>
      <c r="ZJ27" s="250"/>
      <c r="ZK27" s="211" t="s">
        <v>25</v>
      </c>
      <c r="ZM27" s="211" t="s">
        <v>344</v>
      </c>
      <c r="ZN27" s="211" t="s">
        <v>22</v>
      </c>
      <c r="ZO27" s="211" t="s">
        <v>387</v>
      </c>
      <c r="ZP27" s="211" t="s">
        <v>408</v>
      </c>
      <c r="ZR27" s="211" t="s">
        <v>345</v>
      </c>
      <c r="ZS27" s="211" t="s">
        <v>22</v>
      </c>
      <c r="ZT27" s="211" t="s">
        <v>388</v>
      </c>
      <c r="ZU27" s="211" t="s">
        <v>408</v>
      </c>
      <c r="ZW27" s="91" t="s">
        <v>314</v>
      </c>
      <c r="ZZ27" s="97" t="s">
        <v>323</v>
      </c>
      <c r="AAA27" s="97" t="s">
        <v>117</v>
      </c>
      <c r="AAD27" s="97" t="s">
        <v>7</v>
      </c>
      <c r="AAE27" s="97"/>
      <c r="AAF27" s="211" t="s">
        <v>22</v>
      </c>
      <c r="AAH27" s="91" t="s">
        <v>117</v>
      </c>
      <c r="AAI27" s="91"/>
      <c r="AAJ27" s="211" t="s">
        <v>7</v>
      </c>
      <c r="AAL27" s="211" t="s">
        <v>22</v>
      </c>
      <c r="AAN27" s="91" t="s">
        <v>117</v>
      </c>
      <c r="AAO27" s="91"/>
      <c r="AAP27" s="211" t="s">
        <v>7</v>
      </c>
      <c r="AAR27" s="211" t="s">
        <v>407</v>
      </c>
      <c r="AAS27" s="211" t="s">
        <v>22</v>
      </c>
      <c r="AAT27" s="211" t="s">
        <v>386</v>
      </c>
      <c r="AAU27" s="211" t="s">
        <v>408</v>
      </c>
      <c r="AAW27" s="91" t="s">
        <v>140</v>
      </c>
      <c r="AAY27" s="91" t="s">
        <v>117</v>
      </c>
      <c r="AAZ27" s="91"/>
      <c r="ABB27" s="211" t="s">
        <v>7</v>
      </c>
      <c r="ABD27" s="211" t="s">
        <v>407</v>
      </c>
      <c r="ABE27" s="211" t="s">
        <v>22</v>
      </c>
      <c r="ABF27" s="211" t="s">
        <v>386</v>
      </c>
      <c r="ABG27" s="211" t="s">
        <v>408</v>
      </c>
      <c r="ABI27" s="91" t="s">
        <v>140</v>
      </c>
      <c r="ABK27" s="91" t="s">
        <v>117</v>
      </c>
      <c r="ABL27" s="91"/>
      <c r="ABN27" s="211" t="s">
        <v>7</v>
      </c>
      <c r="ABP27" s="211" t="s">
        <v>22</v>
      </c>
      <c r="ABR27" s="91" t="s">
        <v>117</v>
      </c>
      <c r="ABS27" s="91"/>
      <c r="ABT27" s="211" t="s">
        <v>7</v>
      </c>
      <c r="ABV27" s="211" t="s">
        <v>22</v>
      </c>
      <c r="ABX27" s="91" t="s">
        <v>117</v>
      </c>
      <c r="ABY27" s="91"/>
      <c r="ABZ27" s="211" t="s">
        <v>7</v>
      </c>
      <c r="ACB27" s="211" t="s">
        <v>407</v>
      </c>
      <c r="ACC27" s="211" t="s">
        <v>22</v>
      </c>
      <c r="ACD27" s="211" t="s">
        <v>386</v>
      </c>
      <c r="ACE27" s="211" t="s">
        <v>408</v>
      </c>
      <c r="ACG27" s="91" t="s">
        <v>140</v>
      </c>
      <c r="ACH27" s="91"/>
      <c r="ACJ27" s="91" t="s">
        <v>117</v>
      </c>
      <c r="ACK27" s="91"/>
      <c r="ACM27" s="211" t="s">
        <v>7</v>
      </c>
      <c r="ACN27" s="245"/>
    </row>
    <row r="28" spans="1:768">
      <c r="A28" s="305">
        <v>1</v>
      </c>
      <c r="B28" s="133"/>
      <c r="C28" s="133"/>
      <c r="E28" s="306"/>
      <c r="G28" s="307"/>
      <c r="H28" s="96" t="str">
        <f>IFERROR(IFERROR(SUBSTITUTE(SechzigmLaufResultat[[#This Row],[Eingabe]],".",",")*1,SUBSTITUTE(SechzigmLaufResultat[[#This Row],[Eingabe]],",",".")*1),"")</f>
        <v/>
      </c>
      <c r="I28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28" s="96"/>
      <c r="K28" s="91" t="str" cm="1">
        <f t="array" aca="1" ref="K28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28" s="96" t="str">
        <f ca="1">LEFT(Geschlecht[[#This Row],[Geschlecht (Skala)]],1)&amp;Q$4</f>
        <v>2</v>
      </c>
      <c r="M28" s="96" t="str">
        <f t="shared" ref="M28:M57" ca="1" si="37">REPLACE(K$4,L$6,1,L28)</f>
        <v>SechzigmLauf_2[Resultat]</v>
      </c>
      <c r="N28" s="97" t="str" cm="1">
        <f t="array" aca="1" ref="N28" ca="1">IF(INDIRECT(K$1)="","",IF(INDIRECT(K$2)=0,0,IF(OR(INDIRECT(K$1)=$A$2,INDIRECT(K$1)=$A$3),$A$3,IFERROR(INDEX(INDIRECT(M28),MATCH(INDIRECT(K$3),INDIRECT(M28),M$25)),IFERROR(IF(M$25=-1,MAX(INDIRECT(M28)),IF(M$25=1,MIN(INDIRECT(M28)))),"")))))</f>
        <v/>
      </c>
      <c r="P28" s="91" t="str">
        <f t="shared" ref="P28:P57" ca="1" si="38">REPLACE(K$6,L$6,1,L28)</f>
        <v>SechzigmLauf_2[Note]</v>
      </c>
      <c r="Q28" s="97" t="str" cm="1">
        <f t="array" aca="1" ref="Q28" ca="1">IFERROR(INDEX(INDIRECT(P28),MATCH(INDIRECT(K$5),INDIRECT(M28),0)),IF(INDIRECT(K$5)=0,1,""))</f>
        <v/>
      </c>
      <c r="R28" s="97"/>
      <c r="S28" s="307"/>
      <c r="T28" s="96" t="str">
        <f>IFERROR(IFERROR(SUBSTITUTE(AchtzigmLaufResultat[[#This Row],[Eingabe]],".",",")*1,SUBSTITUTE(AchtzigmLaufResultat[[#This Row],[Eingabe]],",",".")*1),"")</f>
        <v/>
      </c>
      <c r="U28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28" s="96"/>
      <c r="W28" s="91" t="str" cm="1">
        <f t="array" aca="1" ref="W28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28" s="96" t="str">
        <f ca="1">LEFT(Geschlecht[[#This Row],[Geschlecht (Skala)]],1)&amp;AC$4</f>
        <v>2</v>
      </c>
      <c r="Y28" s="96" t="str">
        <f t="shared" ref="Y28:Y57" ca="1" si="39">REPLACE(W$4,X$6,1,X28)</f>
        <v>AchtzigmLauf_2[Resultat]</v>
      </c>
      <c r="Z28" s="97" t="str" cm="1">
        <f t="array" aca="1" ref="Z28" ca="1">IF(INDIRECT(W$1)="","",IF(INDIRECT(W$2)=0,0,IF(OR(INDIRECT(W$1)=$A$2,INDIRECT(W$1)=$A$3),$A$3,IFERROR(INDEX(INDIRECT(Y28),MATCH(INDIRECT(W$3),INDIRECT(Y28),Y$25)),IFERROR(IF(Y$25=-1,MAX(INDIRECT(Y28)),IF(Y$25=1,MIN(INDIRECT(Y28)))),"")))))</f>
        <v/>
      </c>
      <c r="AB28" s="91" t="str">
        <f t="shared" ref="AB28:AB57" ca="1" si="40">REPLACE(W$6,X$6,1,X28)</f>
        <v>AchtzigmLauf_2[Note]</v>
      </c>
      <c r="AC28" s="97" t="str" cm="1">
        <f t="array" aca="1" ref="AC28" ca="1">IFERROR(INDEX(INDIRECT(AB28),MATCH(INDIRECT(W$5),INDIRECT(Y28),0)),IF(INDIRECT(W$5)=0,1,""))</f>
        <v/>
      </c>
      <c r="AD28" s="97"/>
      <c r="AE28" s="307"/>
      <c r="AF28" s="96" t="str">
        <f>IFERROR(IFERROR(SUBSTITUTE(ZwölfMinLaufHalleResultat[[#This Row],[Eingabe]],".",",")*1,SUBSTITUTE(ZwölfMinLaufHalleResultat[[#This Row],[Eingabe]],",",".")*1),"")</f>
        <v/>
      </c>
      <c r="AG28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28" s="96"/>
      <c r="AI28" s="91" t="str" cm="1">
        <f t="array" aca="1" ref="AI28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28" s="96" t="str">
        <f ca="1">LEFT(Geschlecht[[#This Row],[Geschlecht (Skala)]],1)&amp;AO$4</f>
        <v>2</v>
      </c>
      <c r="AK28" s="96" t="str">
        <f t="shared" ref="AK28:AK57" ca="1" si="41">REPLACE(AI$4,AJ$6,1,AJ28)</f>
        <v>ZwölfMinLaufHalle_2[Resultat]</v>
      </c>
      <c r="AL28" s="97" t="str" cm="1">
        <f t="array" aca="1" ref="AL28" ca="1">IF(INDIRECT(AI$1)="","",IF(INDIRECT(AI$2)=0,0,IF(OR(INDIRECT(AI$1)=$A$2,INDIRECT(AI$1)=$A$3),$A$3,IFERROR(INDEX(INDIRECT(AK28),MATCH(INDIRECT(AI$3),INDIRECT(AK28),AK$25)),IFERROR(IF(AK$25=-1,MAX(INDIRECT(AK28)),IF(AK$25=1,MIN(INDIRECT(AK28)))),"")))))</f>
        <v/>
      </c>
      <c r="AN28" s="91" t="str">
        <f t="shared" ref="AN28:AN57" ca="1" si="42">REPLACE(AI$6,AJ$6,1,AJ28)</f>
        <v>ZwölfMinLaufHalle_2[Note]</v>
      </c>
      <c r="AO28" s="97" t="str" cm="1">
        <f t="array" aca="1" ref="AO28" ca="1">IFERROR(INDEX(INDIRECT(AN28),MATCH(INDIRECT(AI$5),INDIRECT(AK28),0)),IF(INDIRECT(AI$5)=0,1,""))</f>
        <v/>
      </c>
      <c r="AP28" s="97"/>
      <c r="AQ28" s="307"/>
      <c r="AR28" s="96" t="str">
        <f>IFERROR(IFERROR(SUBSTITUTE(ZwölfMinLaufimFreienResultat[[#This Row],[Eingabe]],".",",")*1,SUBSTITUTE(ZwölfMinLaufimFreienResultat[[#This Row],[Eingabe]],",",".")*1),"")</f>
        <v/>
      </c>
      <c r="AS28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28" s="96"/>
      <c r="AU28" s="91" t="str" cm="1">
        <f t="array" aca="1" ref="AU28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28" s="96" t="str">
        <f ca="1">LEFT(Geschlecht[[#This Row],[Geschlecht (Skala)]],1)&amp;BA$4</f>
        <v>2</v>
      </c>
      <c r="AW28" s="96" t="str">
        <f t="shared" ref="AW28:AW57" ca="1" si="43">REPLACE(AU$4,AV$6,1,AV28)</f>
        <v>ZwölfMinLaufimFreien_2[Resultat]</v>
      </c>
      <c r="AX28" s="97" t="str" cm="1">
        <f t="array" aca="1" ref="AX28" ca="1">IF(INDIRECT(AU$1)="","",IF(INDIRECT(AU$2)=0,0,IF(OR(INDIRECT(AU$1)=$A$2,INDIRECT(AU$1)=$A$3),$A$3,IFERROR(INDEX(INDIRECT(AW28),MATCH(INDIRECT(AU$3),INDIRECT(AW28),AW$25)),IFERROR(IF(AW$25=-1,MAX(INDIRECT(AW28)),IF(AW$25=1,MIN(INDIRECT(AW28)))),"")))))</f>
        <v/>
      </c>
      <c r="AZ28" s="91" t="str">
        <f t="shared" ref="AZ28:AZ57" ca="1" si="44">REPLACE(AU$6,AV$6,1,AV28)</f>
        <v>ZwölfMinLaufimFreien_2[Note]</v>
      </c>
      <c r="BA28" s="97" t="str" cm="1">
        <f t="array" aca="1" ref="BA28" ca="1">IFERROR(INDEX(INDIRECT(AZ28),MATCH(INDIRECT(AU$5),INDIRECT(AW28),0)),IF(INDIRECT(AU$5)=0,1,""))</f>
        <v/>
      </c>
      <c r="BB28" s="97"/>
      <c r="BC28" s="307"/>
      <c r="BD28" s="96" t="str">
        <f>IFERROR(IFERROR(SUBSTITUTE(HochsprungResultat[[#This Row],[Eingabe]],".",",")*1,SUBSTITUTE(HochsprungResultat[[#This Row],[Eingabe]],",",".")*1),"")</f>
        <v/>
      </c>
      <c r="BE28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28" s="96"/>
      <c r="BG28" s="91" t="str" cm="1">
        <f t="array" aca="1" ref="BG28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28" s="96" t="str">
        <f ca="1">LEFT(Geschlecht[[#This Row],[Geschlecht (Skala)]],1)&amp;BM$4</f>
        <v>2</v>
      </c>
      <c r="BI28" s="96" t="str">
        <f t="shared" ref="BI28:BI57" ca="1" si="45">REPLACE(BG$4,BH$6,1,BH28)</f>
        <v>Hochsprung_2[Resultat]</v>
      </c>
      <c r="BJ28" s="97" t="str" cm="1">
        <f t="array" aca="1" ref="BJ28" ca="1">IF(INDIRECT(BG$1)="","",IF(INDIRECT(BG$2)=0,0,IF(OR(INDIRECT(BG$1)=$A$2,INDIRECT(BG$1)=$A$3),$A$3,IFERROR(INDEX(INDIRECT(BI28),MATCH(INDIRECT(BG$3),INDIRECT(BI28),BI$25)),IFERROR(IF(BI$25=-1,MAX(INDIRECT(BI28)),IF(BI$25=1,MIN(INDIRECT(BI28)))),"")))))</f>
        <v/>
      </c>
      <c r="BL28" s="91" t="str">
        <f t="shared" ref="BL28:BL57" ca="1" si="46">REPLACE(BG$6,BH$6,1,BH28)</f>
        <v>Hochsprung_2[Note]</v>
      </c>
      <c r="BM28" s="97" t="str" cm="1">
        <f t="array" aca="1" ref="BM28" ca="1">IFERROR(INDEX(INDIRECT(BL28),MATCH(INDIRECT(BG$5),INDIRECT(BI28),0)),IF(INDIRECT(BG$5)=0,1,""))</f>
        <v/>
      </c>
      <c r="BN28" s="97"/>
      <c r="BO28" s="307"/>
      <c r="BP28" s="96" t="str">
        <f>IFERROR(IFERROR(SUBSTITUTE(WeitsprungResultat[[#This Row],[Eingabe]],".",",")*1,SUBSTITUTE(WeitsprungResultat[[#This Row],[Eingabe]],",",".")*1),"")</f>
        <v/>
      </c>
      <c r="BQ28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28" s="96"/>
      <c r="BS28" s="91" t="str" cm="1">
        <f t="array" aca="1" ref="BS28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28" s="96" t="str">
        <f ca="1">LEFT(Geschlecht[[#This Row],[Geschlecht (Skala)]],1)&amp;BY$4</f>
        <v>2</v>
      </c>
      <c r="BU28" s="96" t="str">
        <f t="shared" ref="BU28:BU57" ca="1" si="47">REPLACE(BS$4,BT$6,1,BT28)</f>
        <v>Weitsprung_2[Resultat]</v>
      </c>
      <c r="BV28" s="97" t="str" cm="1">
        <f t="array" aca="1" ref="BV28" ca="1">IF(INDIRECT(BS$1)="","",IF(INDIRECT(BS$2)=0,0,IF(OR(INDIRECT(BS$1)=$A$2,INDIRECT(BS$1)=$A$3),$A$3,IFERROR(INDEX(INDIRECT(BU28),MATCH(INDIRECT(BS$3),INDIRECT(BU28),BU$25)),IFERROR(IF(BU$25=-1,MAX(INDIRECT(BU28)),IF(BU$25=1,MIN(INDIRECT(BU28)))),"")))))</f>
        <v/>
      </c>
      <c r="BX28" s="91" t="str">
        <f t="shared" ref="BX28:BX57" ca="1" si="48">REPLACE(BS$6,BT$6,1,BT28)</f>
        <v>Weitsprung_2[Note]</v>
      </c>
      <c r="BY28" s="97" t="str" cm="1">
        <f t="array" aca="1" ref="BY28" ca="1">IFERROR(INDEX(INDIRECT(BX28),MATCH(INDIRECT(BS$5),INDIRECT(BU28),0)),IF(INDIRECT(BS$5)=0,1,""))</f>
        <v/>
      </c>
      <c r="BZ28" s="97"/>
      <c r="CA28" s="307"/>
      <c r="CB28" s="96" t="str">
        <f>IFERROR(IFERROR(SUBSTITUTE(BallwurfResultat[[#This Row],[Eingabe]],".",",")*1,SUBSTITUTE(BallwurfResultat[[#This Row],[Eingabe]],",",".")*1),"")</f>
        <v/>
      </c>
      <c r="CC28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28" s="96"/>
      <c r="CE28" s="91" t="str" cm="1">
        <f t="array" aca="1" ref="CE28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28" s="96" t="str">
        <f ca="1">LEFT(Geschlecht[[#This Row],[Geschlecht (Skala)]],1)&amp;CK$4</f>
        <v>2</v>
      </c>
      <c r="CG28" s="96" t="str">
        <f t="shared" ref="CG28:CG57" ca="1" si="49">REPLACE(CE$4,CF$6,1,CF28)</f>
        <v>Ballwurf_2[Resultat]</v>
      </c>
      <c r="CH28" s="97" t="str" cm="1">
        <f t="array" aca="1" ref="CH28" ca="1">IF(INDIRECT(CE$1)="","",IF(INDIRECT(CE$2)=0,0,IF(OR(INDIRECT(CE$1)=$A$2,INDIRECT(CE$1)=$A$3),$A$3,IFERROR(INDEX(INDIRECT(CG28),MATCH(INDIRECT(CE$3),INDIRECT(CG28),CG$25)),IFERROR(IF(CG$25=-1,MAX(INDIRECT(CG28)),IF(CG$25=1,MIN(INDIRECT(CG28)))),"")))))</f>
        <v/>
      </c>
      <c r="CJ28" s="91" t="str">
        <f t="shared" ref="CJ28:CJ57" ca="1" si="50">REPLACE(CE$6,CF$6,1,CF28)</f>
        <v>Ballwurf_2[Note]</v>
      </c>
      <c r="CK28" s="97" t="str" cm="1">
        <f t="array" aca="1" ref="CK28" ca="1">IFERROR(INDEX(INDIRECT(CJ28),MATCH(INDIRECT(CE$5),INDIRECT(CG28),0)),IF(INDIRECT(CE$5)=0,1,""))</f>
        <v/>
      </c>
      <c r="CL28" s="97"/>
      <c r="CM28" s="307"/>
      <c r="CN28" s="96" t="str">
        <f>IFERROR(IFERROR(SUBSTITUTE(KugelstossenResultat[[#This Row],[Eingabe]],".",",")*1,SUBSTITUTE(KugelstossenResultat[[#This Row],[Eingabe]],",",".")*1),"")</f>
        <v/>
      </c>
      <c r="CO28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28" s="96"/>
      <c r="CQ28" s="91" t="str" cm="1">
        <f t="array" aca="1" ref="CQ28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28" s="96" t="str">
        <f ca="1">LEFT(Geschlecht[[#This Row],[Geschlecht (Skala)]],1)&amp;CW$4</f>
        <v>2</v>
      </c>
      <c r="CS28" s="96" t="str">
        <f t="shared" ref="CS28:CS57" ca="1" si="51">REPLACE(CQ$4,CR$6,1,CR28)</f>
        <v>Kugelstossen_2[Resultat]</v>
      </c>
      <c r="CT28" s="97" t="str" cm="1">
        <f t="array" aca="1" ref="CT28" ca="1">IF(INDIRECT(CQ$1)="","",IF(INDIRECT(CQ$2)=0,0,IF(OR(INDIRECT(CQ$1)=$A$2,INDIRECT(CQ$1)=$A$3),$A$3,IFERROR(INDEX(INDIRECT(CS28),MATCH(INDIRECT(CQ$3),INDIRECT(CS28),CS$25)),IFERROR(IF(CS$25=-1,MAX(INDIRECT(CS28)),IF(CS$25=1,MIN(INDIRECT(CS28)))),"")))))</f>
        <v/>
      </c>
      <c r="CV28" s="91" t="str">
        <f t="shared" ref="CV28:CV57" ca="1" si="52">REPLACE(CQ$6,CR$6,1,CR28)</f>
        <v>Kugelstossen_2[Note]</v>
      </c>
      <c r="CW28" s="97" t="str" cm="1">
        <f t="array" aca="1" ref="CW28" ca="1">IFERROR(INDEX(INDIRECT(CV28),MATCH(INDIRECT(CQ$5),INDIRECT(CS28),0)),IF(INDIRECT(CQ$5)=0,1,""))</f>
        <v/>
      </c>
      <c r="CX28" s="97"/>
      <c r="CY28" s="307"/>
      <c r="CZ28" s="96" t="str">
        <f>IFERROR(IFERROR(SUBSTITUTE(SpeerwurfResultat[[#This Row],[Eingabe]],".",",")*1,SUBSTITUTE(SpeerwurfResultat[[#This Row],[Eingabe]],",",".")*1),"")</f>
        <v/>
      </c>
      <c r="DA28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28" s="96"/>
      <c r="DC28" s="91" t="str" cm="1">
        <f t="array" aca="1" ref="DC28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28" s="96" t="str">
        <f ca="1">LEFT(Geschlecht[[#This Row],[Geschlecht (Skala)]],1)&amp;DI$4</f>
        <v>2</v>
      </c>
      <c r="DE28" s="96" t="str">
        <f t="shared" ref="DE28:DE57" ca="1" si="53">REPLACE(DC$4,DD$6,1,DD28)</f>
        <v>Speerwurf_2[Resultat]</v>
      </c>
      <c r="DF28" s="97" t="str" cm="1">
        <f t="array" aca="1" ref="DF28" ca="1">IF(INDIRECT(DC$1)="","",IF(INDIRECT(DC$2)=0,0,IF(OR(INDIRECT(DC$1)=$A$2,INDIRECT(DC$1)=$A$3),$A$3,IFERROR(INDEX(INDIRECT(DE28),MATCH(INDIRECT(DC$3),INDIRECT(DE28),DE$25)),IFERROR(IF(DE$25=-1,MAX(INDIRECT(DE28)),IF(DE$25=1,MIN(INDIRECT(DE28)))),"")))))</f>
        <v/>
      </c>
      <c r="DH28" s="91" t="str">
        <f t="shared" ref="DH28:DH57" ca="1" si="54">REPLACE(DC$6,DD$6,1,DD28)</f>
        <v>Speerwurf_2[Note]</v>
      </c>
      <c r="DI28" s="97" t="str" cm="1">
        <f t="array" aca="1" ref="DI28" ca="1">IFERROR(INDEX(INDIRECT(DH28),MATCH(INDIRECT(DC$5),INDIRECT(DE28),0)),IF(INDIRECT(DC$5)=0,1,""))</f>
        <v/>
      </c>
      <c r="DJ28" s="97"/>
      <c r="DK28" s="97" t="str" cm="1">
        <f t="array" aca="1" ref="DK28" ca="1">INDIRECT(DK$5)</f>
        <v/>
      </c>
      <c r="DL28" s="97" t="str" cm="1">
        <f t="array" aca="1" ref="DL28" ca="1">INDIRECT(DL$5)</f>
        <v/>
      </c>
      <c r="DM28" s="97" t="str" cm="1">
        <f t="array" aca="1" ref="DM28" ca="1">INDIRECT(DM$5)</f>
        <v/>
      </c>
      <c r="DN28" s="97" t="str" cm="1">
        <f t="array" aca="1" ref="DN28" ca="1">INDIRECT(DN$5)</f>
        <v/>
      </c>
      <c r="DO28" s="97" t="str">
        <f ca="1">IF(DS28="",DO$4,IF(AND(DQ28=0,DR28&gt;=DS$25),DO$5,MAX(DM28:DN28)))</f>
        <v>Sprintdisziplinen nicht durchgeführt</v>
      </c>
      <c r="DP28" s="97" t="str">
        <f ca="1">IF(DS28=$A$2,$A$2,"")</f>
        <v/>
      </c>
      <c r="DQ28" s="108">
        <f ca="1">COUNT(DM28:DN28)</f>
        <v>0</v>
      </c>
      <c r="DR28" s="108">
        <f ca="1">COUNTIF(DK28:DL28,$A$3)</f>
        <v>0</v>
      </c>
      <c r="DS28" s="108" t="str">
        <f ca="1">IF(SUM(DQ28:DR28)&lt;DS$25,"",IF(AND(DQ28=0,DR28&gt;=DS$25),$A$2,IF(DQ28&gt;=DS$25,DS$25,DQ28)))</f>
        <v/>
      </c>
      <c r="DT28" s="97" t="str">
        <f ca="1">IFERROR(IF(AND(DO28=1,NOT(ISERROR(MATCH($A$3,DK28:DL28,0)))),INDEX(DK$20:DL$20,MATCH($A$3,DK28:DL28,0)),INDEX(DM$20:DN$20,MATCH(DO28,DM28:DN28,0))),DO28)</f>
        <v>Sprintdisziplinen nicht durchgeführt</v>
      </c>
      <c r="DU28" s="97" t="str">
        <f ca="1">IFERROR(INDEX(INDIRECT(DU$5),MATCH(DT28,INDIRECT(DU$4),0)),"")</f>
        <v/>
      </c>
      <c r="DV28" s="97" t="str" cm="1">
        <f t="array" aca="1" ref="DV28" ca="1">IFERROR(IF(INDIRECT(INDEX(INDIRECT(DV$5),MATCH(DT28,INDIRECT(DV$4),0)))&lt;&gt;"",INDEX(INDIRECT(DV$5),MATCH(DT28,INDIRECT(DV$4),0)),INDEX(INDIRECT(DV$6),MATCH(DT28,INDIRECT(DV$4),0))),"")</f>
        <v/>
      </c>
      <c r="DW28" s="97" t="str">
        <f ca="1">IFERROR(INDEX(INDIRECT(DW$5),MATCH(DT28,INDIRECT(DW$4),0)),"")</f>
        <v/>
      </c>
      <c r="DX28" s="97" t="str" cm="1">
        <f t="array" aca="1" ref="DX28" ca="1">IFERROR(INDIRECT(DV28),IF(NOT(ISERROR(FIND(Stammdaten!$CC$3,DT28,1))),$A$2,""))</f>
        <v/>
      </c>
      <c r="DY28" s="97" t="str">
        <f ca="1">IF(DX28="","",IF(AND(DU28=Stammdaten!$BX$20,DW28="0",DX28=1),SUBSTITUTE(TEXT(DX28,DW28)&amp;" "&amp;LEFT(DU28,LEN(DU28)-1),".",","),SUBSTITUTE(TEXT(DX28,DW28)&amp;" "&amp;DU28,".",",")))</f>
        <v/>
      </c>
      <c r="DZ28" s="97" t="str">
        <f t="shared" ref="DZ28:DZ57" ca="1" si="55">IFERROR(INDEX(INDIRECT(DZ$5),MATCH(DT28,INDIRECT(DZ$4),0)),"")</f>
        <v/>
      </c>
      <c r="EA28" s="97" t="str" cm="1">
        <f t="array" aca="1" ref="EA28" ca="1">IFERROR(LEFT(INDIRECT(DZ28),1)&amp;"]","")</f>
        <v/>
      </c>
      <c r="EB28" s="97" t="str">
        <f t="shared" ref="EB28:EB57" ca="1" si="56">IFERROR(INDEX(INDIRECT(LEFT(EB$5,LEN(EB$5)-2)&amp;EA28),MATCH(DT28,INDIRECT(EB$4),0)),"")</f>
        <v/>
      </c>
      <c r="EC28" s="97" t="str">
        <f ca="1">IFERROR(LEFT(DT28,FIND(Stammdaten!$CA$4,DT28,1)-2),IFERROR(LEFT(DT28,FIND(Stammdaten!$CC$3,DT28,1)-2),DT28))</f>
        <v>Sprintdisziplinen</v>
      </c>
      <c r="ED28" s="97" t="str">
        <f ca="1">IF(NOT(ISERROR(FIND(Stammdaten!$CA$4,DT28,1))),Stammdaten!$CA$4,IF(EE28&lt;&gt;Stammdaten!$CC$3,EB28,""))</f>
        <v>nicht durchgeführt</v>
      </c>
      <c r="EE28" s="91" t="str">
        <f ca="1">IF(DX28=$A$2,Stammdaten!$CC$3,DY28)</f>
        <v/>
      </c>
      <c r="EF28" s="97" t="str" cm="1">
        <f t="array" aca="1" ref="EF28" ca="1">INDIRECT(EF$5)</f>
        <v/>
      </c>
      <c r="EG28" s="97" t="str" cm="1">
        <f t="array" aca="1" ref="EG28" ca="1">INDIRECT(EG$5)</f>
        <v/>
      </c>
      <c r="EH28" s="97" t="str" cm="1">
        <f t="array" aca="1" ref="EH28" ca="1">INDIRECT(EH$5)</f>
        <v/>
      </c>
      <c r="EI28" s="97" t="str" cm="1">
        <f t="array" aca="1" ref="EI28" ca="1">INDIRECT(EI$5)</f>
        <v/>
      </c>
      <c r="EJ28" s="97" t="str">
        <f ca="1">IF(EN28="",EJ$4,IF(AND(EL28=0,EM28&gt;=EN$25),EJ$5,MAX(EH28:EI28)))</f>
        <v>Ausdauerdisziplinen nicht durchgeführt</v>
      </c>
      <c r="EK28" s="97" t="str">
        <f ca="1">IF(EN28=$A$2,$A$2,"")</f>
        <v/>
      </c>
      <c r="EL28" s="108">
        <f ca="1">COUNT(EH28:EI28)</f>
        <v>0</v>
      </c>
      <c r="EM28" s="108">
        <f ca="1">COUNTIF(EF28:EG28,$A$3)</f>
        <v>0</v>
      </c>
      <c r="EN28" s="108" t="str">
        <f ca="1">IF(SUM(EL28:EM28)&lt;EN$25,"",IF(AND(EL28=0,EM28&gt;=EN$25),$A$2,IF(EL28&gt;=EN$25,EN$25,EL28)))</f>
        <v/>
      </c>
      <c r="EO28" s="97" t="str">
        <f ca="1">IFERROR(IF(AND(EJ28=1,NOT(ISERROR(MATCH($A$3,EF28:EG28,0)))),INDEX(EF$20:EG$20,MATCH($A$3,EF28:EG28,0)),INDEX(EH$20:EI$20,MATCH(EJ28,EH28:EI28,0))),EJ28)</f>
        <v>Ausdauerdisziplinen nicht durchgeführt</v>
      </c>
      <c r="EP28" s="97" t="str">
        <f ca="1">IFERROR(INDEX(INDIRECT(EP$5),MATCH(EO28,INDIRECT(EP$4),0)),"")</f>
        <v/>
      </c>
      <c r="EQ28" s="97" t="str" cm="1">
        <f t="array" aca="1" ref="EQ28" ca="1">IFERROR(IF(INDIRECT(INDEX(INDIRECT(EQ$5),MATCH(EO28,INDIRECT(EQ$4),0)))&lt;&gt;"",INDEX(INDIRECT(EQ$5),MATCH(EO28,INDIRECT(EQ$4),0)),INDEX(INDIRECT(EQ$6),MATCH(EO28,INDIRECT(EQ$4),0))),"")</f>
        <v/>
      </c>
      <c r="ER28" s="97" t="str">
        <f ca="1">IFERROR(INDEX(INDIRECT(ER$5),MATCH(EO28,INDIRECT(ER$4),0)),"")</f>
        <v/>
      </c>
      <c r="ES28" s="97" t="str" cm="1">
        <f t="array" aca="1" ref="ES28" ca="1">IFERROR(INDIRECT(EQ28),IF(NOT(ISERROR(FIND(Stammdaten!$CC$3,EO28,1))),$A$2,""))</f>
        <v/>
      </c>
      <c r="ET28" s="97" t="str">
        <f ca="1">IF(ES28="","",IF(AND(EP28=Stammdaten!$BX$20,ER28="0",ES28=1),SUBSTITUTE(TEXT(ES28,ER28)&amp;" "&amp;LEFT(EP28,LEN(EP28)-1),".",","),SUBSTITUTE(TEXT(ES28,ER28)&amp;" "&amp;EP28,".",",")))</f>
        <v/>
      </c>
      <c r="EU28" s="97" t="str">
        <f t="shared" ref="EU28:EU57" ca="1" si="57">IFERROR(INDEX(INDIRECT(EU$5),MATCH(EO28,INDIRECT(EU$4),0)),"")</f>
        <v/>
      </c>
      <c r="EV28" s="97" t="str" cm="1">
        <f t="array" aca="1" ref="EV28" ca="1">IFERROR(LEFT(INDIRECT(EU28),1)&amp;"]","")</f>
        <v/>
      </c>
      <c r="EW28" s="97" t="str">
        <f t="shared" ref="EW28:EW57" ca="1" si="58">IFERROR(INDEX(INDIRECT(LEFT(EW$5,LEN(EW$5)-2)&amp;EV28),MATCH(EO28,INDIRECT(EW$4),0)),"")</f>
        <v/>
      </c>
      <c r="EX28" s="97" t="str">
        <f ca="1">IFERROR(LEFT(EO28,FIND(Stammdaten!$CA$4,EO28,1)-2),IFERROR(LEFT(EO28,FIND(Stammdaten!$CC$3,EO28,1)-2),EO28))</f>
        <v>Ausdauerdisziplinen</v>
      </c>
      <c r="EY28" s="97" t="str">
        <f ca="1">IF(NOT(ISERROR(FIND(Stammdaten!$CA$4,EO28,1))),Stammdaten!$CA$4,IF(EZ28&lt;&gt;Stammdaten!$CC$3,EW28,""))</f>
        <v>nicht durchgeführt</v>
      </c>
      <c r="EZ28" s="91" t="str">
        <f ca="1">IF(ES28=$A$2,Stammdaten!$CC$3,ET28)</f>
        <v/>
      </c>
      <c r="FA28" s="97" t="str" cm="1">
        <f t="array" aca="1" ref="FA28" ca="1">INDIRECT(FA$5)</f>
        <v/>
      </c>
      <c r="FB28" s="97" t="str" cm="1">
        <f t="array" aca="1" ref="FB28" ca="1">INDIRECT(FB$5)</f>
        <v/>
      </c>
      <c r="FC28" s="97" t="str" cm="1">
        <f t="array" aca="1" ref="FC28" ca="1">INDIRECT(FC$5)</f>
        <v/>
      </c>
      <c r="FD28" s="97" t="str" cm="1">
        <f t="array" aca="1" ref="FD28" ca="1">INDIRECT(FD$5)</f>
        <v/>
      </c>
      <c r="FE28" s="97" t="str">
        <f ca="1">IF(FI28="",FE$4,IF(AND(FG28=0,FH28&gt;=FI$25),FE$5,MAX(FC28:FD28)))</f>
        <v>Sprungdisziplinen nicht durchgeführt</v>
      </c>
      <c r="FF28" s="97" t="str">
        <f ca="1">IF(FI28=$A$2,$A$2,"")</f>
        <v/>
      </c>
      <c r="FG28" s="108">
        <f ca="1">COUNT(FC28:FD28)</f>
        <v>0</v>
      </c>
      <c r="FH28" s="108">
        <f ca="1">COUNTIF(FA28:FB28,$A$3)</f>
        <v>0</v>
      </c>
      <c r="FI28" s="108" t="str">
        <f ca="1">IF(SUM(FG28:FH28)&lt;FI$25,"",IF(AND(FG28=0,FH28&gt;=FI$25),$A$2,IF(FG28&gt;=FI$25,FI$25,FG28)))</f>
        <v/>
      </c>
      <c r="FJ28" s="97" t="str">
        <f ca="1">IFERROR(IF(AND(FE28=1,NOT(ISERROR(MATCH($A$3,FA28:FB28,0)))),INDEX(FA$20:FB$20,MATCH($A$3,FA28:FB28,0)),INDEX(FC$20:FD$20,MATCH(FE28,FC28:FD28,0))),FE28)</f>
        <v>Sprungdisziplinen nicht durchgeführt</v>
      </c>
      <c r="FK28" s="97" t="str">
        <f ca="1">IFERROR(INDEX(INDIRECT(FK$5),MATCH(FJ28,INDIRECT(FK$4),0)),"")</f>
        <v/>
      </c>
      <c r="FL28" s="97" t="str" cm="1">
        <f t="array" aca="1" ref="FL28" ca="1">IFERROR(IF(INDIRECT(INDEX(INDIRECT(FL$5),MATCH(FJ28,INDIRECT(FL$4),0)))&lt;&gt;"",INDEX(INDIRECT(FL$5),MATCH(FJ28,INDIRECT(FL$4),0)),INDEX(INDIRECT(FL$6),MATCH(FJ28,INDIRECT(FL$4),0))),"")</f>
        <v/>
      </c>
      <c r="FM28" s="97" t="str">
        <f ca="1">IFERROR(INDEX(INDIRECT(FM$5),MATCH(FJ28,INDIRECT(FM$4),0)),"")</f>
        <v/>
      </c>
      <c r="FN28" s="97" t="str" cm="1">
        <f t="array" aca="1" ref="FN28" ca="1">IFERROR(INDIRECT(FL28),IF(NOT(ISERROR(FIND(Stammdaten!$CC$3,FJ28,1))),$A$2,""))</f>
        <v/>
      </c>
      <c r="FO28" s="97" t="str">
        <f ca="1">IF(FN28="","",IF(AND(FK28=Stammdaten!$BX$20,FM28="0",FN28=1),SUBSTITUTE(TEXT(FN28,FM28)&amp;" "&amp;LEFT(FK28,LEN(FK28)-1),".",","),SUBSTITUTE(TEXT(FN28,FM28)&amp;" "&amp;FK28,".",",")))</f>
        <v/>
      </c>
      <c r="FP28" s="97" t="str">
        <f t="shared" ref="FP28:FP57" ca="1" si="59">IFERROR(INDEX(INDIRECT(FP$5),MATCH(FJ28,INDIRECT(FP$4),0)),"")</f>
        <v/>
      </c>
      <c r="FQ28" s="97" t="str" cm="1">
        <f t="array" aca="1" ref="FQ28" ca="1">IFERROR(LEFT(INDIRECT(FP28),1)&amp;"]","")</f>
        <v/>
      </c>
      <c r="FR28" s="97" t="str">
        <f t="shared" ref="FR28:FR57" ca="1" si="60">IFERROR(INDEX(INDIRECT(LEFT(FR$5,LEN(FR$5)-2)&amp;FQ28),MATCH(FJ28,INDIRECT(FR$4),0)),"")</f>
        <v/>
      </c>
      <c r="FS28" s="97" t="str">
        <f ca="1">IFERROR(LEFT(FJ28,FIND(Stammdaten!$CA$4,FJ28,1)-2),IFERROR(LEFT(FJ28,FIND(Stammdaten!$CC$3,FJ28,1)-2),FJ28))</f>
        <v>Sprungdisziplinen</v>
      </c>
      <c r="FT28" s="97" t="str">
        <f ca="1">IF(NOT(ISERROR(FIND(Stammdaten!$CA$4,FJ28,1))),Stammdaten!$CA$4,IF(FU28&lt;&gt;Stammdaten!$CC$3,FR28,""))</f>
        <v>nicht durchgeführt</v>
      </c>
      <c r="FU28" s="91" t="str">
        <f ca="1">IF(FN28=$A$2,Stammdaten!$CC$3,FO28)</f>
        <v/>
      </c>
      <c r="FV28" s="97" t="str" cm="1">
        <f t="array" aca="1" ref="FV28" ca="1">INDIRECT(FV$5)</f>
        <v/>
      </c>
      <c r="FW28" s="97" t="str" cm="1">
        <f t="array" aca="1" ref="FW28" ca="1">INDIRECT(FW$5)</f>
        <v/>
      </c>
      <c r="FX28" s="97" t="str" cm="1">
        <f t="array" aca="1" ref="FX28" ca="1">INDIRECT(FX$5)</f>
        <v/>
      </c>
      <c r="FY28" s="97" t="str" cm="1">
        <f t="array" aca="1" ref="FY28" ca="1">INDIRECT(FY$5)</f>
        <v/>
      </c>
      <c r="FZ28" s="97" t="str" cm="1">
        <f t="array" aca="1" ref="FZ28" ca="1">INDIRECT(FZ$5)</f>
        <v/>
      </c>
      <c r="GA28" s="97" t="str" cm="1">
        <f t="array" aca="1" ref="GA28" ca="1">INDIRECT(GA$5)</f>
        <v/>
      </c>
      <c r="GB28" s="97" t="str">
        <f ca="1">IF(GF28="",GB$4,IF(AND(GD28=0,GE28&gt;=GF$25),GB$5,MAX(FY28:GA28)))</f>
        <v>Wurfdisziplinen nicht durchgeführt</v>
      </c>
      <c r="GC28" s="97" t="str">
        <f ca="1">IF(GF28=$A$2,$A$2,"")</f>
        <v/>
      </c>
      <c r="GD28" s="108">
        <f ca="1">COUNT(FY28:GA28)</f>
        <v>0</v>
      </c>
      <c r="GE28" s="108">
        <f ca="1">COUNTIF(FV28:FX28,$A$3)</f>
        <v>0</v>
      </c>
      <c r="GF28" s="108" t="str">
        <f ca="1">IF(SUM(GD28:GE28)&lt;GF$25,"",IF(AND(GD28=0,GE28&gt;=GF$25),$A$2,IF(GD28&gt;=GF$25,GF$25,GD28)))</f>
        <v/>
      </c>
      <c r="GG28" s="97" t="str">
        <f ca="1">IFERROR(IF(AND(GB28=1,NOT(ISERROR(MATCH($A$3,FV28:FX28,0)))),INDEX(FV$20:FX$20,MATCH($A$3,FV28:FX28,0)),INDEX(FY$20:GA$20,MATCH(GB28,FY28:GA28,0))),GB28)</f>
        <v>Wurfdisziplinen nicht durchgeführt</v>
      </c>
      <c r="GH28" s="97" t="str">
        <f ca="1">IFERROR(INDEX(INDIRECT(GH$5),MATCH(GG28,INDIRECT(GH$4),0)),"")</f>
        <v/>
      </c>
      <c r="GI28" s="97" t="str" cm="1">
        <f t="array" aca="1" ref="GI28" ca="1">IFERROR(IF(INDIRECT(INDEX(INDIRECT(GI$5),MATCH(GG28,INDIRECT(GI$4),0)))&lt;&gt;"",INDEX(INDIRECT(GI$5),MATCH(GG28,INDIRECT(GI$4),0)),INDEX(INDIRECT(GI$6),MATCH(GG28,INDIRECT(GI$4),0))),"")</f>
        <v/>
      </c>
      <c r="GJ28" s="97" t="str">
        <f ca="1">IFERROR(INDEX(INDIRECT(GJ$5),MATCH(GG28,INDIRECT(GJ$4),0)),"")</f>
        <v/>
      </c>
      <c r="GK28" s="97" t="str" cm="1">
        <f t="array" aca="1" ref="GK28" ca="1">IFERROR(INDIRECT(GI28),IF(NOT(ISERROR(FIND(Stammdaten!$CC$3,GG28,1))),$A$2,""))</f>
        <v/>
      </c>
      <c r="GL28" s="97" t="str">
        <f ca="1">IF(GK28="","",IF(AND(GH28=Stammdaten!$BX$20,GJ28="0",GK28=1),SUBSTITUTE(TEXT(GK28,GJ28)&amp;" "&amp;LEFT(GH28,LEN(GH28)-1),".",","),SUBSTITUTE(TEXT(GK28,GJ28)&amp;" "&amp;GH28,".",",")))</f>
        <v/>
      </c>
      <c r="GM28" s="97" t="str">
        <f t="shared" ref="GM28:GM57" ca="1" si="61">IFERROR(INDEX(INDIRECT(GM$5),MATCH(GG28,INDIRECT(GM$4),0)),"")</f>
        <v/>
      </c>
      <c r="GN28" s="97" t="str" cm="1">
        <f t="array" aca="1" ref="GN28" ca="1">IFERROR(LEFT(INDIRECT(GM28),1)&amp;"]","")</f>
        <v/>
      </c>
      <c r="GO28" s="97" t="str">
        <f t="shared" ref="GO28:GO57" ca="1" si="62">IFERROR(INDEX(INDIRECT(LEFT(GO$5,LEN(GO$5)-2)&amp;GN28),MATCH(GG28,INDIRECT(GO$4),0)),"")</f>
        <v/>
      </c>
      <c r="GP28" s="97" t="str">
        <f ca="1">IFERROR(LEFT(GG28,FIND(Stammdaten!$CA$4,GG28,1)-2),IFERROR(LEFT(GG28,FIND(Stammdaten!$CC$3,GG28,1)-2),GG28))</f>
        <v>Wurfdisziplinen</v>
      </c>
      <c r="GQ28" s="97" t="str">
        <f ca="1">IF(NOT(ISERROR(FIND(Stammdaten!$CA$4,GG28,1))),Stammdaten!$CA$4,IF(GR28&lt;&gt;Stammdaten!$CC$3,GO28,""))</f>
        <v>nicht durchgeführt</v>
      </c>
      <c r="GR28" s="91" t="str">
        <f ca="1">IF(GK28=$A$2,Stammdaten!$CC$3,GL28)</f>
        <v/>
      </c>
      <c r="GS28" s="97" t="str">
        <f t="shared" ref="GS28:GS57" ca="1" si="63">IF(ISNUMBER(DO28),DO28,"")</f>
        <v/>
      </c>
      <c r="GT28" s="97" t="str">
        <f t="shared" ref="GT28:GT57" ca="1" si="64">IF(ISNUMBER(EJ28),EJ28,"")</f>
        <v/>
      </c>
      <c r="GU28" s="97" t="str">
        <f t="shared" ref="GU28:GU57" ca="1" si="65">IF(ISNUMBER(FE28),FE28,"")</f>
        <v/>
      </c>
      <c r="GV28" s="97" t="str">
        <f t="shared" ref="GV28:GV57" ca="1" si="66">IF(ISNUMBER(GB28),GB28,"")</f>
        <v/>
      </c>
      <c r="GW28" s="97">
        <f ca="1">SUM(GS28:GV28)</f>
        <v>0</v>
      </c>
      <c r="GX28" s="108">
        <f ca="1">COUNT(GS28:GV28)</f>
        <v>0</v>
      </c>
      <c r="GY28" s="108">
        <f ca="1">LEN(DP28&amp;EK28&amp;FF28&amp;GC28)</f>
        <v>0</v>
      </c>
      <c r="GZ28" s="108" t="str">
        <f ca="1">IF(SUM(GX28:GY28)&lt;GZ$25,"",IF(AND(GX28=0,GY28&gt;=GZ$25),$A$2,IF(GX28&gt;=GZ$25,GZ$25,GX28)))</f>
        <v/>
      </c>
      <c r="HA28" s="97" t="str">
        <f ca="1">IF(GZ28="",Stammdaten!$BZ$1,IF(AND(GX28=0,GY28&gt;=GZ$25),$A$3,ROUND(SUM(GW28/GZ28)/HA$25,0)*HA$25))</f>
        <v>Zu wenige Werte</v>
      </c>
      <c r="HB28" s="108">
        <f ca="1">IF(AND(EE28=$A$3,EZ28=$A$3,FU28=$A$3,GR28=$A$3),5,IFERROR(INDEX(INDIRECT(HB$1),MATCH(TEXT(HA28,HB$11),INDIRECT(HB$2),0)),6))</f>
        <v>6</v>
      </c>
      <c r="HC28" s="97" t="str">
        <f ca="1">IF(ISNUMBER(GS28),TEXT(GS28,HC$11)&amp;" / ","")</f>
        <v/>
      </c>
      <c r="HD28" s="97" t="str">
        <f t="shared" ref="HD28:HF28" ca="1" si="67">IF(ISNUMBER(GT28),TEXT(GT28,HD$11)&amp;" / ","")</f>
        <v/>
      </c>
      <c r="HE28" s="97" t="str">
        <f t="shared" ca="1" si="67"/>
        <v/>
      </c>
      <c r="HF28" s="97" t="str">
        <f t="shared" ca="1" si="67"/>
        <v/>
      </c>
      <c r="HG28" s="97" t="str">
        <f ca="1">IF(GZ28="","",HC28&amp;HD28&amp;HE28&amp;HF28)</f>
        <v/>
      </c>
      <c r="HH28" s="97" t="str">
        <f ca="1">IF(GY28=0,"g","k")</f>
        <v>g</v>
      </c>
      <c r="HI28" s="97" t="str">
        <f ca="1">IF(HA28&lt;4,"R","")</f>
        <v/>
      </c>
      <c r="HJ28" s="97">
        <f ca="1">IF(HH28&amp;HI28="g",1,IF(HH28&amp;HI28="gR",2,IF(HH28&amp;HI28="k",3,4)))</f>
        <v>1</v>
      </c>
      <c r="HK28" s="97" t="str">
        <f ca="1">IF(OR(Geschlecht[[#This Row],[Geschlecht (Skala)]]="",NOT(ISNUMBER(GZ28))),"",HJ28)</f>
        <v/>
      </c>
      <c r="HL28" s="97" t="str">
        <f ca="1">IFERROR(LEFT(HG28,LEN(HG28)-2),"")</f>
        <v/>
      </c>
      <c r="HM28" s="97"/>
      <c r="HN28" s="308" t="str">
        <f t="shared" ref="HN28:HN57" ca="1" si="68">HA28</f>
        <v>Zu wenige Werte</v>
      </c>
      <c r="HO28" s="97"/>
      <c r="HP28" s="307"/>
      <c r="HQ28" s="96" t="str">
        <f>IFERROR(IFERROR(SUBSTITUTE(ReckResultat[[#This Row],[Eingabe]],".",",")*1,SUBSTITUTE(ReckResultat[[#This Row],[Eingabe]],",",".")*1),"")</f>
        <v/>
      </c>
      <c r="HR28" s="96" t="e">
        <f>INT(ReckResultat[[#This Row],[Resultat]])=ReckResultat[[#This Row],[Resultat]]</f>
        <v>#VALUE!</v>
      </c>
      <c r="HS28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28" s="96"/>
      <c r="HX28" s="97"/>
      <c r="HY28" s="307"/>
      <c r="HZ28" s="96" t="str">
        <f>IFERROR(IFERROR(SUBSTITUTE(BodenResultat[[#This Row],[Eingabe]],".",",")*1,SUBSTITUTE(BodenResultat[[#This Row],[Eingabe]],",",".")*1),"")</f>
        <v/>
      </c>
      <c r="IA28" s="96" t="e">
        <f>INT(BodenResultat[[#This Row],[Resultat]])=BodenResultat[[#This Row],[Resultat]]</f>
        <v>#VALUE!</v>
      </c>
      <c r="IB28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28" s="96"/>
      <c r="IG28" s="97"/>
      <c r="IH28" s="307"/>
      <c r="II28" s="96" t="str">
        <f>IFERROR(IFERROR(SUBSTITUTE(StufenbarrenResultat[[#This Row],[Eingabe]],".",",")*1,SUBSTITUTE(StufenbarrenResultat[[#This Row],[Eingabe]],",",".")*1),"")</f>
        <v/>
      </c>
      <c r="IJ28" s="96" t="e">
        <f>INT(StufenbarrenResultat[[#This Row],[Resultat]])=StufenbarrenResultat[[#This Row],[Resultat]]</f>
        <v>#VALUE!</v>
      </c>
      <c r="IK28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28" s="96"/>
      <c r="IP28" s="97"/>
      <c r="IQ28" s="307"/>
      <c r="IR28" s="96" t="str">
        <f>IFERROR(IFERROR(SUBSTITUTE(ParallelbarrenResultat[[#This Row],[Eingabe]],".",",")*1,SUBSTITUTE(ParallelbarrenResultat[[#This Row],[Eingabe]],",",".")*1),"")</f>
        <v/>
      </c>
      <c r="IS28" s="96" t="e">
        <f>INT(ParallelbarrenResultat[[#This Row],[Resultat]])=ParallelbarrenResultat[[#This Row],[Resultat]]</f>
        <v>#VALUE!</v>
      </c>
      <c r="IT28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28" s="96"/>
      <c r="IY28" s="97"/>
      <c r="IZ28" s="307"/>
      <c r="JA28" s="96" t="str">
        <f>IFERROR(IFERROR(SUBSTITUTE(SchaukelringeResultat[[#This Row],[Eingabe]],".",",")*1,SUBSTITUTE(SchaukelringeResultat[[#This Row],[Eingabe]],",",".")*1),"")</f>
        <v/>
      </c>
      <c r="JB28" s="96" t="e">
        <f>INT(SchaukelringeResultat[[#This Row],[Resultat]])=SchaukelringeResultat[[#This Row],[Resultat]]</f>
        <v>#VALUE!</v>
      </c>
      <c r="JC28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28" s="96"/>
      <c r="JH28" s="97"/>
      <c r="JI28" s="307"/>
      <c r="JJ28" s="96" t="str">
        <f>IFERROR(IFERROR(SUBSTITUTE(SprungResultat[[#This Row],[Eingabe]],".",",")*1,SUBSTITUTE(SprungResultat[[#This Row],[Eingabe]],",",".")*1),"")</f>
        <v/>
      </c>
      <c r="JK28" s="96" t="e">
        <f>INT(SprungResultat[[#This Row],[Resultat]])=SprungResultat[[#This Row],[Resultat]]</f>
        <v>#VALUE!</v>
      </c>
      <c r="JL28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28" s="96"/>
      <c r="JQ28" s="97"/>
      <c r="JR28" s="309" t="str" cm="1">
        <f t="array" aca="1" ref="JR28" ca="1">IF(AND(ISNUMBER(INDIRECT(JR$3)),INDIRECT(JR$3)&gt;0),INDIRECT(JR$3),"")</f>
        <v/>
      </c>
      <c r="JS28" s="309" t="str" cm="1">
        <f t="array" aca="1" ref="JS28" ca="1">IF(AND(ISNUMBER(INDIRECT(JS$3)),INDIRECT(JS$3)&gt;0),INDIRECT(JS$3),"")</f>
        <v/>
      </c>
      <c r="JT28" s="309" t="str" cm="1">
        <f t="array" aca="1" ref="JT28" ca="1">IF(AND(ISNUMBER(INDIRECT(JT$3)),INDIRECT(JT$3)&gt;0),INDIRECT(JT$3),"")</f>
        <v/>
      </c>
      <c r="JU28" s="309" t="str" cm="1">
        <f t="array" aca="1" ref="JU28" ca="1">IF(AND(ISNUMBER(INDIRECT(JU$3)),INDIRECT(JU$3)&gt;0),INDIRECT(JU$3),"")</f>
        <v/>
      </c>
      <c r="JV28" s="309" t="str" cm="1">
        <f t="array" aca="1" ref="JV28" ca="1">IF(AND(ISNUMBER(INDIRECT(JV$3)),INDIRECT(JV$3)&gt;0),INDIRECT(JV$3),"")</f>
        <v/>
      </c>
      <c r="JW28" s="309" t="str" cm="1">
        <f t="array" aca="1" ref="JW28" ca="1">IF(AND(ISNUMBER(INDIRECT(JW$3)),INDIRECT(JW$3)&gt;0),INDIRECT(JW$3),"")</f>
        <v/>
      </c>
      <c r="JX28" s="309" t="str">
        <f t="shared" ref="JX28:JX57" ca="1" si="69">IFERROR(LARGE($JR28:$JW28,JX$23),"x")</f>
        <v>x</v>
      </c>
      <c r="JY28" s="309" t="str">
        <f t="shared" ref="JY28:JY57" ca="1" si="70">IFERROR(LARGE($JR28:$JW28,JY$23),"y")</f>
        <v>y</v>
      </c>
      <c r="JZ28" s="309" t="str">
        <f t="shared" ref="JZ28:JZ57" ca="1" si="71">IFERROR(LARGE($JR28:$JW28,JZ$23),"z")</f>
        <v>z</v>
      </c>
      <c r="KA28" s="309" t="str">
        <f ca="1">IF(AND(JX28=JY28,JY28=JZ28),JX28,"a")</f>
        <v>a</v>
      </c>
      <c r="KB28" s="309" t="str" cm="1">
        <f t="array" aca="1" ref="KB28" ca="1">IF(KA28="a","",INDEX($JR$23:$JW$23,,MATCH(KA28,$JR28:$JW28,0)))</f>
        <v/>
      </c>
      <c r="KC28" s="309" t="str" cm="1">
        <f t="array" aca="1" ref="KC28" ca="1">IF(OR(KB28="",KB28&gt;=$JW$23),"",INDEX(INDIRECT(ADDRESS(ROW($JR$23),KB28+1)):$JW$23,,MATCH(KA28,INDIRECT(ADDRESS(ROW(),KB28+1)):$JW28,0)))</f>
        <v/>
      </c>
      <c r="KD28" s="309" t="str" cm="1">
        <f t="array" aca="1" ref="KD28" ca="1">IF(OR(KC28="",KC28&gt;=$JW$23),"",INDEX(INDIRECT(ADDRESS(ROW($JR$23),KC28+1)):$JW$23,,MATCH(KA28,INDIRECT(ADDRESS(ROW(),KC28+1)):$JW28,0)))</f>
        <v/>
      </c>
      <c r="KE28" s="309" t="str">
        <f ca="1">IF(ISNUMBER(KA28),"b",IF(JX28=JY28,JX28,"c"))</f>
        <v>c</v>
      </c>
      <c r="KF28" s="309" t="str" cm="1">
        <f t="array" aca="1" ref="KF28" ca="1">IF(OR(KE28="b",KE28="c"),"",INDEX($JR$23:$JW$23,,MATCH(KE28,$JR28:$JW28,0)))</f>
        <v/>
      </c>
      <c r="KG28" s="309" t="str" cm="1">
        <f t="array" aca="1" ref="KG28" ca="1">IF(OR(KF28="",KF28&gt;=$JW$23),"",INDEX(INDIRECT(ADDRESS(ROW($JR$23),KF28+1)):$JW$23,,MATCH(KE28,INDIRECT(ADDRESS(ROW(),KF28+1)):$JW28,0)))</f>
        <v/>
      </c>
      <c r="KH28" s="309" t="str">
        <f t="shared" ref="KH28:KH57" ca="1" si="72">IF(ISNUMBER(KE28),INDEX($JR$23:$JW$23,MATCH(JZ28,$JR28:$JW28,0)),"")</f>
        <v/>
      </c>
      <c r="KI28" s="309" t="str">
        <f ca="1">IF(OR(ISNUMBER(KA28),ISNUMBER(KE28)),"d",IF(JY28=JZ28,JY28,"e"))</f>
        <v>e</v>
      </c>
      <c r="KJ28" s="309" t="str">
        <f t="shared" ref="KJ28:KJ57" ca="1" si="73">IF(ISNUMBER(KI28),INDEX($JR$23:$JW$23,MATCH(JX28,$JR28:$JW28,0)),"")</f>
        <v/>
      </c>
      <c r="KK28" s="309" t="str" cm="1">
        <f t="array" aca="1" ref="KK28" ca="1">IF(OR(KI28="d",KI28="e"),"",INDEX($JR$23:$JW$23,,MATCH(KI28,$JR28:$JW28,0)))</f>
        <v/>
      </c>
      <c r="KL28" s="309" t="str" cm="1">
        <f t="array" aca="1" ref="KL28" ca="1">IF(OR(KK28="",KK28&gt;=$JW$23),"",INDEX(INDIRECT(ADDRESS(ROW($JR$23),KK28+1)):$JW$23,,MATCH(KI28,INDIRECT(ADDRESS(ROW(),KK28+1)):$JW28,0)))</f>
        <v/>
      </c>
      <c r="KM28" s="309" t="str" cm="1">
        <f t="array" aca="1" ref="KM28" ca="1">IFERROR(IF(ISNUMBER(KB28),KB28,IF(ISNUMBER(KF28),KF28,IF(ISNUMBER(KJ28),KJ28,INDEX($JR$23:$JW$23,,MATCH(JX28,$JR28:$JW28,0))))),"x1")</f>
        <v>x1</v>
      </c>
      <c r="KN28" s="309" t="str" cm="1">
        <f t="array" aca="1" ref="KN28" ca="1">IFERROR(IF(ISNUMBER(KC28),KC28,IF(ISNUMBER(KG28),KG28,IF(ISNUMBER(KK28),KK28,INDEX($JR$23:$JW$23,,MATCH(JY28,$JR28:$JW28,0))))),IF(KM28="x1","x2","x1"))</f>
        <v>x2</v>
      </c>
      <c r="KO28" s="309" t="str" cm="1">
        <f t="array" aca="1" ref="KO28" ca="1">IFERROR(IF(ISNUMBER(KD28),KD28,IF(ISNUMBER(KH28),KH28,IF(ISNUMBER(KL28),KL28,INDEX($JR$23:$JW$23,,MATCH(JZ28,$JR28:$JW28,0))))),IF(KN28="x1","x2",IF(KN28="x2","x3","x1")))</f>
        <v>x3</v>
      </c>
      <c r="KP28" s="97" t="str" cm="1">
        <f t="array" aca="1" ref="KP28" ca="1">IF(OR(INDIRECT(KP$3)=$A$2,INDIRECT(KP$3)=$A$3),COLUMN(),"")</f>
        <v/>
      </c>
      <c r="KQ28" s="97" t="str" cm="1">
        <f t="array" aca="1" ref="KQ28" ca="1">IF(OR(INDIRECT(KQ$3)=$A$2,INDIRECT(KQ$3)=$A$3),COLUMN(),"")</f>
        <v/>
      </c>
      <c r="KR28" s="97" t="str" cm="1">
        <f t="array" aca="1" ref="KR28" ca="1">IF(OR(INDIRECT(KR$3)=$A$2,INDIRECT(KR$3)=$A$3),COLUMN(),"")</f>
        <v/>
      </c>
      <c r="KS28" s="97" t="str" cm="1">
        <f t="array" aca="1" ref="KS28" ca="1">IF(OR(INDIRECT(KS$3)=$A$2,INDIRECT(KS$3)=$A$3),COLUMN(),"")</f>
        <v/>
      </c>
      <c r="KT28" s="97" t="str" cm="1">
        <f t="array" aca="1" ref="KT28" ca="1">IF(OR(INDIRECT(KT$3)=$A$2,INDIRECT(KT$3)=$A$3),COLUMN(),"")</f>
        <v/>
      </c>
      <c r="KU28" s="97" t="str" cm="1">
        <f t="array" aca="1" ref="KU28" ca="1">IF(OR(INDIRECT(KU$3)=$A$2,INDIRECT(KU$3)=$A$3),COLUMN(),"")</f>
        <v/>
      </c>
      <c r="KV28" s="97" t="str" cm="1">
        <f t="array" aca="1" ref="KV28" ca="1">IF(AND(ISNUMBER(INDIRECT(KV$3)),INDIRECT(KV$3)=0),COLUMN(),"")</f>
        <v/>
      </c>
      <c r="KW28" s="97" t="str" cm="1">
        <f t="array" aca="1" ref="KW28" ca="1">IF(AND(ISNUMBER(INDIRECT(KW$3)),INDIRECT(KW$3)=0),COLUMN(),"")</f>
        <v/>
      </c>
      <c r="KX28" s="97" t="str" cm="1">
        <f t="array" aca="1" ref="KX28" ca="1">IF(AND(ISNUMBER(INDIRECT(KX$3)),INDIRECT(KX$3)=0),COLUMN(),"")</f>
        <v/>
      </c>
      <c r="KY28" s="97" t="str" cm="1">
        <f t="array" aca="1" ref="KY28" ca="1">IF(AND(ISNUMBER(INDIRECT(KY$3)),INDIRECT(KY$3)=0),COLUMN(),"")</f>
        <v/>
      </c>
      <c r="KZ28" s="97" t="str" cm="1">
        <f t="array" aca="1" ref="KZ28" ca="1">IF(AND(ISNUMBER(INDIRECT(KZ$3)),INDIRECT(KZ$3)=0),COLUMN(),"")</f>
        <v/>
      </c>
      <c r="LA28" s="97" t="str" cm="1">
        <f t="array" aca="1" ref="LA28" ca="1">IF(AND(ISNUMBER(INDIRECT(LA$3)),INDIRECT(LA$3)=0),COLUMN(),"")</f>
        <v/>
      </c>
      <c r="LB28" s="97" t="str">
        <f ca="1">IFERROR(IF(ISNUMBER(KM28),KM28,SMALL($KP28:$KU28,VALUE(RIGHT(KM28,1)))),"x1")</f>
        <v>x1</v>
      </c>
      <c r="LC28" s="97" t="str">
        <f ca="1">IFERROR(IF(ISNUMBER(KN28),KN28,SMALL($KP28:$KU28,VALUE(RIGHT(KN28,1)))),IF(LB28="x1","x2","x1"))</f>
        <v>x2</v>
      </c>
      <c r="LD28" s="97" t="str">
        <f ca="1">IFERROR(IF(ISNUMBER(KO28),KO28,SMALL($KP28:$KU28,VALUE(RIGHT(KO28,1)))),IF(LC28="x1","x2",IF(LC28="x2","x3","x1")))</f>
        <v>x3</v>
      </c>
      <c r="LE28" s="97" t="str">
        <f ca="1">IFERROR(IF(ISNUMBER(LB28),LB28,SMALL($KV28:$LA28,VALUE(RIGHT(LB28,1)))),Stammdaten!$CA$17)</f>
        <v>Erstes Gerät nicht durchgeführt</v>
      </c>
      <c r="LF28" s="97" t="str">
        <f ca="1">IFERROR(IF(ISNUMBER(LC28),LC28,SMALL($KV28:$LA28,VALUE(RIGHT(LC28,1)))),Stammdaten!$CA$18)</f>
        <v>Zweites Gerät nicht durchgeführt</v>
      </c>
      <c r="LG28" s="97" t="str">
        <f ca="1">IFERROR(IF(ISNUMBER(LD28),LD28,SMALL($KV28:$LA28,VALUE(RIGHT(LD28,1)))),Stammdaten!$CA$19)</f>
        <v>Drittes Gerät nicht durchgeführt</v>
      </c>
      <c r="LH28" s="91" t="str" cm="1">
        <f t="array" aca="1" ref="LH28" ca="1">IFERROR(INDIRECT(ADDRESS(ROW($JR$5),LE28)),LE28)</f>
        <v>Erstes Gerät nicht durchgeführt</v>
      </c>
      <c r="LI28" s="97" t="str">
        <f ca="1">IFERROR(INDEX(INDIRECT(LI$5),MATCH(LH28,INDIRECT(LI$4),0)),"")</f>
        <v/>
      </c>
      <c r="LJ28" s="97" t="str" cm="1">
        <f t="array" aca="1" ref="LJ28" ca="1">IFERROR(IF(INDIRECT(INDEX(INDIRECT(LJ$5),MATCH(LH28,INDIRECT(LJ$4),0)))&lt;&gt;"",INDEX(INDIRECT(LJ$5),MATCH(LH28,INDIRECT(LJ$4),0)),INDEX(INDIRECT(LJ$6),MATCH(LH28,INDIRECT(LJ$4),0))),"")</f>
        <v/>
      </c>
      <c r="LK28" s="97" t="str">
        <f ca="1">IFERROR(INDEX(INDIRECT(LK$5),MATCH(LH28,INDIRECT(LK$4),0)),"")</f>
        <v/>
      </c>
      <c r="LL28" s="97" t="str" cm="1">
        <f t="array" aca="1" ref="LL28" ca="1">IFERROR(INDIRECT(LJ28),"")</f>
        <v/>
      </c>
      <c r="LM28" s="97" t="str">
        <f ca="1">IF(LL28="","",IF(AND(LI28=Stammdaten!$BX$20,LK28="0",LL28=1),SUBSTITUTE(TEXT(LL28,LK28)&amp;" "&amp;LEFT(LI28,LEN(LI28)-1),".",","),SUBSTITUTE(TEXT(LL28,LK28)&amp;" "&amp;LI28,".",",")))</f>
        <v/>
      </c>
      <c r="LN28" s="97" t="str">
        <f t="shared" ref="LN28:LN57" ca="1" si="74">IFERROR(INDEX(INDIRECT(LN$5),MATCH(LH28,INDIRECT(LN$4),0)),"")</f>
        <v/>
      </c>
      <c r="LO28" s="97" t="str" cm="1">
        <f t="array" aca="1" ref="LO28" ca="1">IFERROR(LEFT(INDIRECT(LN28),1)&amp;"]","")</f>
        <v/>
      </c>
      <c r="LP28" s="97" t="str">
        <f t="shared" ref="LP28:LP57" ca="1" si="75">IFERROR(INDEX(INDIRECT(LEFT(LP$5,LEN(LP$5)-2)&amp;LO28),MATCH(LH28,INDIRECT(LP$4),0)),"")</f>
        <v/>
      </c>
      <c r="LQ28" s="97" t="str">
        <f ca="1">IFERROR(LEFT(LH28,FIND(Stammdaten!$CA$4,LH28,1)-2),IFERROR(LEFT(LH28,FIND(Stammdaten!$CC$3,LH28,1)-2),LH28))</f>
        <v>Erstes Gerät</v>
      </c>
      <c r="LR28" s="97" t="str">
        <f ca="1">IF(NOT(ISERROR(FIND(Stammdaten!$CA$4,LH28,1))),Stammdaten!$CA$4,IF(LS28&lt;&gt;Stammdaten!$CC$3,LP28,""))</f>
        <v>nicht durchgeführt</v>
      </c>
      <c r="LS28" s="91" t="str">
        <f ca="1">IF(LL28=$A$2,Stammdaten!$CC$3,LM28)</f>
        <v/>
      </c>
      <c r="LT28" s="91" t="str" cm="1">
        <f t="array" aca="1" ref="LT28" ca="1">IFERROR(INDIRECT(ADDRESS(ROW($JR$5),LF28)),LF28)</f>
        <v>Zweites Gerät nicht durchgeführt</v>
      </c>
      <c r="LU28" s="97" t="str">
        <f ca="1">IFERROR(INDEX(INDIRECT(LU$5),MATCH(LT28,INDIRECT(LU$4),0)),"")</f>
        <v/>
      </c>
      <c r="LV28" s="97" t="str" cm="1">
        <f t="array" aca="1" ref="LV28" ca="1">IFERROR(IF(INDIRECT(INDEX(INDIRECT(LV$5),MATCH(LT28,INDIRECT(LV$4),0)))&lt;&gt;"",INDEX(INDIRECT(LV$5),MATCH(LT28,INDIRECT(LV$4),0)),INDEX(INDIRECT(LV$6),MATCH(LT28,INDIRECT(LV$4),0))),"")</f>
        <v/>
      </c>
      <c r="LW28" s="97" t="str">
        <f ca="1">IFERROR(INDEX(INDIRECT(LW$5),MATCH(LT28,INDIRECT(LW$4),0)),"")</f>
        <v/>
      </c>
      <c r="LX28" s="97" t="str" cm="1">
        <f t="array" aca="1" ref="LX28" ca="1">IFERROR(INDIRECT(LV28),"")</f>
        <v/>
      </c>
      <c r="LY28" s="97" t="str">
        <f ca="1">IF(LX28="","",IF(AND(LU28=Stammdaten!$BX$20,LW28="0",LX28=1),SUBSTITUTE(TEXT(LX28,LW28)&amp;" "&amp;LEFT(LU28,LEN(LU28)-1),".",","),SUBSTITUTE(TEXT(LX28,LW28)&amp;" "&amp;LU28,".",",")))</f>
        <v/>
      </c>
      <c r="LZ28" s="97" t="str">
        <f t="shared" ref="LZ28:LZ57" ca="1" si="76">IFERROR(INDEX(INDIRECT(LZ$5),MATCH(LT28,INDIRECT(LZ$4),0)),"")</f>
        <v/>
      </c>
      <c r="MA28" s="97" t="str" cm="1">
        <f t="array" aca="1" ref="MA28" ca="1">IFERROR(LEFT(INDIRECT(LZ28),1)&amp;"]","")</f>
        <v/>
      </c>
      <c r="MB28" s="97" t="str">
        <f t="shared" ref="MB28:MB57" ca="1" si="77">IFERROR(INDEX(INDIRECT(LEFT(MB$5,LEN(MB$5)-2)&amp;MA28),MATCH(LT28,INDIRECT(MB$4),0)),"")</f>
        <v/>
      </c>
      <c r="MC28" s="97" t="str">
        <f ca="1">IFERROR(LEFT(LT28,FIND(Stammdaten!$CA$4,LT28,1)-2),IFERROR(LEFT(LT28,FIND(Stammdaten!$CC$3,LT28,1)-2),LT28))</f>
        <v>Zweites Gerät</v>
      </c>
      <c r="MD28" s="97" t="str">
        <f ca="1">IF(NOT(ISERROR(FIND(Stammdaten!$CA$4,LT28,1))),Stammdaten!$CA$4,IF(ME28&lt;&gt;Stammdaten!$CC$3,MB28,""))</f>
        <v>nicht durchgeführt</v>
      </c>
      <c r="ME28" s="91" t="str">
        <f ca="1">IF(LX28=$A$2,Stammdaten!$CC$3,LY28)</f>
        <v/>
      </c>
      <c r="MF28" s="91" t="str" cm="1">
        <f t="array" aca="1" ref="MF28" ca="1">IFERROR(INDIRECT(ADDRESS(ROW($JR$5),LG28)),LG28)</f>
        <v>Drittes Gerät nicht durchgeführt</v>
      </c>
      <c r="MG28" s="97" t="str">
        <f ca="1">IFERROR(INDEX(INDIRECT(MG$5),MATCH(MF28,INDIRECT(MG$4),0)),"")</f>
        <v/>
      </c>
      <c r="MH28" s="97" t="str" cm="1">
        <f t="array" aca="1" ref="MH28" ca="1">IFERROR(IF(INDIRECT(INDEX(INDIRECT(MH$5),MATCH(MF28,INDIRECT(MH$4),0)))&lt;&gt;"",INDEX(INDIRECT(MH$5),MATCH(MF28,INDIRECT(MH$4),0)),INDEX(INDIRECT(MH$6),MATCH(MF28,INDIRECT(MH$4),0))),"")</f>
        <v/>
      </c>
      <c r="MI28" s="97" t="str">
        <f ca="1">IFERROR(INDEX(INDIRECT(MI$5),MATCH(MF28,INDIRECT(MI$4),0)),"")</f>
        <v/>
      </c>
      <c r="MJ28" s="97" t="str" cm="1">
        <f t="array" aca="1" ref="MJ28" ca="1">IFERROR(INDIRECT(MH28),"")</f>
        <v/>
      </c>
      <c r="MK28" s="97" t="str">
        <f ca="1">IF(MJ28="","",IF(AND(MG28=Stammdaten!$BX$20,MI28="0",MJ28=1),SUBSTITUTE(TEXT(MJ28,MI28)&amp;" "&amp;LEFT(MG28,LEN(MG28)-1),".",","),SUBSTITUTE(TEXT(MJ28,MI28)&amp;" "&amp;MG28,".",",")))</f>
        <v/>
      </c>
      <c r="ML28" s="97" t="str">
        <f t="shared" ref="ML28:ML57" ca="1" si="78">IFERROR(INDEX(INDIRECT(ML$5),MATCH(MF28,INDIRECT(ML$4),0)),"")</f>
        <v/>
      </c>
      <c r="MM28" s="97" t="str" cm="1">
        <f t="array" aca="1" ref="MM28" ca="1">IFERROR(LEFT(INDIRECT(ML28),1)&amp;"]","")</f>
        <v/>
      </c>
      <c r="MN28" s="97" t="str">
        <f t="shared" ref="MN28:MN57" ca="1" si="79">IFERROR(INDEX(INDIRECT(LEFT(MN$5,LEN(MN$5)-2)&amp;MM28),MATCH(MF28,INDIRECT(MN$4),0)),"")</f>
        <v/>
      </c>
      <c r="MO28" s="97" t="str">
        <f ca="1">IFERROR(LEFT(MF28,FIND(Stammdaten!$CA$4,MF28,1)-2),IFERROR(LEFT(MF28,FIND(Stammdaten!$CC$3,MF28,1)-2),MF28))</f>
        <v>Drittes Gerät</v>
      </c>
      <c r="MP28" s="97" t="str">
        <f ca="1">IF(NOT(ISERROR(FIND(Stammdaten!$CA$4,MF28,1))),Stammdaten!$CA$4,IF(MQ28&lt;&gt;Stammdaten!$CC$3,MN28,""))</f>
        <v>nicht durchgeführt</v>
      </c>
      <c r="MQ28" s="91" t="str">
        <f ca="1">IF(MJ28=$A$2,Stammdaten!$CC$3,MK28)</f>
        <v/>
      </c>
      <c r="MR28" s="97">
        <f t="shared" ref="MR28:MR57" ca="1" si="80">SUM(JX28:JZ28)</f>
        <v>0</v>
      </c>
      <c r="MS28" s="108">
        <f ca="1">COUNT($JR28:$JW28)</f>
        <v>0</v>
      </c>
      <c r="MT28" s="108">
        <f ca="1">COUNT($KV28:$LA28)</f>
        <v>0</v>
      </c>
      <c r="MU28" s="108">
        <f ca="1">COUNT($KP28:$KU28)</f>
        <v>0</v>
      </c>
      <c r="MV28" s="108" t="str">
        <f ca="1">IF(SUM(MS28:MU28)&lt;MV$25,"",IF(AND(MS28+MT28=0,MU28&gt;=MV$25),$A$2,IF(MS28+MT28&gt;=MV$25,MV$25,MS28+MT28)))</f>
        <v/>
      </c>
      <c r="MW28" s="97" t="str">
        <f ca="1">IF(MV28="",Stammdaten!$BZ$1,IF(AND(MS28+MT28=0,MU28&gt;=MV$25),$A$3,MR28))</f>
        <v>Zu wenige Werte</v>
      </c>
      <c r="MX28" s="310"/>
      <c r="MY28" s="91" t="str">
        <f t="shared" ref="MY28:MY57" ca="1" si="81">IF(OR($MW28=0,$MW28=""),"",IFERROR(IF(AND(MY$25=0.5,AND($MW28&gt;0,$MW28&lt;=0.5)),0.5,IF(AND(MY$25&lt;&gt;0.5,AND($MW28&gt;0,$MW28&lt;=1)),1,MROUND($MW28,MY$25))),""))</f>
        <v/>
      </c>
      <c r="MZ28" s="96" t="str">
        <f>LEFT(Geschlecht[[#This Row],[Geschlecht (Skala)]],1)&amp;$MZ$27</f>
        <v>2</v>
      </c>
      <c r="NA28" s="96" t="str">
        <f t="shared" ref="NA28:NA57" ca="1" si="82">REPLACE(MY$4,MZ$6,1,MZ28)</f>
        <v>Geräteturnen_2[Resultat]</v>
      </c>
      <c r="NB28" s="97" t="str" cm="1">
        <f t="array" aca="1" ref="NB28" ca="1">IF(OR($MW28="",$MW28=Stammdaten!$BZ$1),"",IF($MW28=0,0,IF(OR($MW28=$A$2,$MW28=$A$3),$A$3,IFERROR(INDEX(INDIRECT(NA28),MATCH(INDIRECT(MY$3),INDIRECT(NA28),NA$25)),IFERROR(IF(NA$25=-1,MAX(INDIRECT(NA28)),IF(NA$25=1,MIN(INDIRECT(NA28)))),"")))))</f>
        <v/>
      </c>
      <c r="ND28" s="91" t="str">
        <f t="shared" ref="ND28:ND57" ca="1" si="83">REPLACE(MY$6,MZ$6,1,MZ28)</f>
        <v>Geräteturnen_2[Note]</v>
      </c>
      <c r="NE28" s="97" t="str" cm="1">
        <f t="array" aca="1" ref="NE28" ca="1">IFERROR(INDEX(INDIRECT(ND28),MATCH(INDIRECT(MY$5),INDIRECT(NA28),0)),IF(INDIRECT(MY$5)=0,1,""))</f>
        <v/>
      </c>
      <c r="NF28" s="97"/>
      <c r="NG28" s="307"/>
      <c r="NH28" s="96" t="str">
        <f>IFERROR(IFERROR(SUBSTITUTE(ParkourResultat[[#This Row],[Eingabe]],".",",")*1,SUBSTITUTE(ParkourResultat[[#This Row],[Eingabe]],",",".")*1),"")</f>
        <v/>
      </c>
      <c r="NI28" s="96" t="e">
        <f>INT(ParkourResultat[[#This Row],[Resultat]])=ParkourResultat[[#This Row],[Resultat]]</f>
        <v>#VALUE!</v>
      </c>
      <c r="NJ28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28" s="96"/>
      <c r="NL28" s="91" t="str" cm="1">
        <f t="array" aca="1" ref="NL28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28" s="96" t="str">
        <f ca="1">LEFT(Geschlecht[[#This Row],[Geschlecht (Skala)]],1)&amp;NR$4</f>
        <v>2</v>
      </c>
      <c r="NN28" s="96" t="str">
        <f t="shared" ref="NN28:NN57" ca="1" si="84">REPLACE(NL$4,NM$6,1,NM28)</f>
        <v>Parkour_2[Resultat]</v>
      </c>
      <c r="NO28" s="97" t="str" cm="1">
        <f t="array" aca="1" ref="NO28" ca="1">IF(INDIRECT(NL$1)="","",IF(INDIRECT(NL$2)=0,0,IF(OR(INDIRECT(NL$1)=$A$2,INDIRECT(NL$1)=$A$3),$A$3,IFERROR(INDEX(INDIRECT(NN28),MATCH(INDIRECT(NL$3),INDIRECT(NN28),NN$25)),IFERROR(IF(NN$25=-1,MAX(INDIRECT(NN28)),IF(NN$25=1,MIN(INDIRECT(NN28)))),"")))))</f>
        <v/>
      </c>
      <c r="NQ28" s="91" t="str">
        <f t="shared" ref="NQ28:NQ57" ca="1" si="85">REPLACE(NL$6,NM$6,1,NM28)</f>
        <v>Parkour_2[Note]</v>
      </c>
      <c r="NR28" s="97" t="str" cm="1">
        <f t="array" aca="1" ref="NR28" ca="1">IFERROR(INDEX(INDIRECT(NQ28),MATCH(INDIRECT(NL$5),INDIRECT(NN28),0)),IF(INDIRECT(NL$5)=0,1,""))</f>
        <v/>
      </c>
      <c r="NS28" s="97"/>
      <c r="NT28" s="97" t="str" cm="1">
        <f t="array" aca="1" ref="NT28" ca="1">INDIRECT(NT$5)</f>
        <v/>
      </c>
      <c r="NU28" s="97" t="str" cm="1">
        <f t="array" aca="1" ref="NU28" ca="1">INDIRECT(NU$5)</f>
        <v/>
      </c>
      <c r="NV28" s="97" t="str" cm="1">
        <f t="array" aca="1" ref="NV28" ca="1">INDIRECT(NV$5)</f>
        <v/>
      </c>
      <c r="NW28" s="97" t="str" cm="1">
        <f t="array" aca="1" ref="NW28" ca="1">INDIRECT(NW$5)</f>
        <v/>
      </c>
      <c r="NX28" s="97" t="str">
        <f t="shared" ref="NX28:NX57" ca="1" si="86">IF(AND(NU28="",NW28=""),$NX$4,IF(NU28=$A$3,$NX$5,$NX$17))</f>
        <v>Parkour nicht durchgeführt</v>
      </c>
      <c r="NY28" s="97" t="str">
        <f ca="1">IFERROR(INDEX(INDIRECT(NY$5),MATCH(NX28,INDIRECT(NY$4),0)),"")</f>
        <v/>
      </c>
      <c r="NZ28" s="97" t="str" cm="1">
        <f t="array" aca="1" ref="NZ28" ca="1">IFERROR(IF(INDIRECT(INDEX(INDIRECT(NZ$5),MATCH(NX28,INDIRECT(NZ$4),0)))&lt;&gt;"",INDEX(INDIRECT(NZ$5),MATCH(NX28,INDIRECT(NZ$4),0)),INDEX(INDIRECT(NZ$6),MATCH(NX28,INDIRECT(NZ$4),0))),"")</f>
        <v/>
      </c>
      <c r="OA28" s="97" t="str">
        <f ca="1">IFERROR(INDEX(INDIRECT(OA$5),MATCH(NX28,INDIRECT(OA$4),0)),"")</f>
        <v/>
      </c>
      <c r="OB28" s="97" t="str" cm="1">
        <f t="array" aca="1" ref="OB28" ca="1">IFERROR(INDIRECT(NZ28),IF(NOT(ISERROR(FIND(Stammdaten!$CC$3,NX28,1))),$A$2,""))</f>
        <v/>
      </c>
      <c r="OC28" s="97" t="str">
        <f ca="1">IF(OB28="","",IF(AND(NY28=Stammdaten!$BX$20,OA28="0",OB28=1),SUBSTITUTE(TEXT(OB28,OA28)&amp;" "&amp;LEFT(NY28,LEN(NY28)-1),".",","),SUBSTITUTE(TEXT(OB28,OA28)&amp;" "&amp;NY28,".",",")))</f>
        <v/>
      </c>
      <c r="OD28" s="97" t="str">
        <f t="shared" ref="OD28:OD57" ca="1" si="87">IFERROR(INDEX(INDIRECT(OD$5),MATCH(NX28,INDIRECT(OD$4),0)),"")</f>
        <v/>
      </c>
      <c r="OE28" s="97" t="str" cm="1">
        <f t="array" aca="1" ref="OE28" ca="1">IFERROR(LEFT(INDIRECT(OD28),1)&amp;"]","")</f>
        <v/>
      </c>
      <c r="OF28" s="97" t="str">
        <f t="shared" ref="OF28:OF57" ca="1" si="88">IFERROR(INDEX(INDIRECT(LEFT(OF$5,LEN(OF$5)-2)&amp;OE28),MATCH(NX28,INDIRECT(OF$4),0)),"")</f>
        <v/>
      </c>
      <c r="OG28" s="97" t="str">
        <f ca="1">IFERROR(LEFT(NX28,FIND(Stammdaten!$CA$4,NX28,1)-2),IFERROR(LEFT(NX28,FIND(Stammdaten!$CC$3,NX28,1)-2),NX28))</f>
        <v>Parkour</v>
      </c>
      <c r="OH28" s="97" t="str">
        <f ca="1">IF(NOT(ISERROR(FIND(Stammdaten!$CA$4,NX28,1))),Stammdaten!$CA$4,IF(OI28&lt;&gt;Stammdaten!$CC$3,OF28,""))</f>
        <v>nicht durchgeführt</v>
      </c>
      <c r="OI28" s="91" t="str">
        <f ca="1">IF(OB28=$A$2,Stammdaten!$CC$3,OC28)</f>
        <v/>
      </c>
      <c r="OJ28" s="97" t="str">
        <f t="shared" ref="OJ28:OJ57" ca="1" si="89">NV28</f>
        <v/>
      </c>
      <c r="OK28" s="97" t="str">
        <f t="shared" ref="OK28:OK57" ca="1" si="90">NW28</f>
        <v/>
      </c>
      <c r="OL28" s="97">
        <f ca="1">SUM(OJ28:OK28)</f>
        <v>0</v>
      </c>
      <c r="OM28" s="108">
        <f t="shared" ref="OM28:OM57" ca="1" si="91">COUNT(OJ28:OK28)</f>
        <v>0</v>
      </c>
      <c r="ON28" s="108">
        <f t="shared" ref="ON28:ON57" ca="1" si="92">COUNTIF(NT28:NU28,$A$3)</f>
        <v>0</v>
      </c>
      <c r="OO28" s="108" t="str">
        <f ca="1">IF(SUM(OM28:ON28)&lt;OO$25,"",IF(AND(OM28=0,ON28&gt;=OO$25),$A$2,IF(OM28&gt;=OO$25,OO$25,OM28)))</f>
        <v/>
      </c>
      <c r="OP28" s="97" t="str">
        <f ca="1">IF(OO28="",Stammdaten!$BZ$1,IF(AND(OM28=0,ON28&gt;=OO$25),$A$3,ROUND(SUM(OL28/OO28)/OP$25,0)*OP$25))</f>
        <v>Zu wenige Werte</v>
      </c>
      <c r="OQ28" s="108">
        <f ca="1">IF(AND(LS28=$A$3,ME28=$A$3,MQ28=$A$3,OI28=$A$3),5,IFERROR(INDEX(INDIRECT(OQ$1),MATCH(TEXT(OP28,OQ$11),INDIRECT(OQ$2),0)),6))</f>
        <v>6</v>
      </c>
      <c r="OR28" s="97" t="str">
        <f ca="1">IF(ISNUMBER(OJ28),IF(OR$11&lt;&gt;"",TEXT(OJ28,OR$11)&amp;" / ",OJ28&amp;" / "),"")</f>
        <v/>
      </c>
      <c r="OS28" s="97" t="str">
        <f ca="1">IF(ISNUMBER(OK28),IF(OS$11&lt;&gt;"",TEXT(OK28,OS$11)&amp;" / ",OK28&amp;" / "),"")</f>
        <v/>
      </c>
      <c r="OT28" s="97" t="str">
        <f ca="1">IF(OO28="","",OR28&amp;OS28)</f>
        <v/>
      </c>
      <c r="OU28" s="97" t="str">
        <f ca="1">IF(ON28=0,"g","k")</f>
        <v>g</v>
      </c>
      <c r="OV28" s="97" t="str">
        <f ca="1">IF(OP28&lt;4,"R","")</f>
        <v/>
      </c>
      <c r="OW28" s="97">
        <f ca="1">IF(OU28&amp;OV28="g",1,IF(OU28&amp;OV28="gR",2,IF(OU28&amp;OV28="k",3,4)))</f>
        <v>1</v>
      </c>
      <c r="OX28" s="97" t="str">
        <f ca="1">IF(OR(Geschlecht[[#This Row],[Geschlecht (Skala)]]="",NOT(ISNUMBER(OO28))),"",OW28)</f>
        <v/>
      </c>
      <c r="OY28" s="97" t="str">
        <f ca="1">IFERROR(LEFT($OT28,LEN(OT28)-2),"")</f>
        <v/>
      </c>
      <c r="OZ28" s="97"/>
      <c r="PA28" s="308" t="str">
        <f ca="1">OP28</f>
        <v>Zu wenige Werte</v>
      </c>
      <c r="PB28" s="97"/>
      <c r="PC28" s="307"/>
      <c r="PD28" s="96" t="str">
        <f>IFERROR(IFERROR(SUBSTITUTE(TanzenResultat[[#This Row],[Eingabe]],".",",")*1,SUBSTITUTE(TanzenResultat[[#This Row],[Eingabe]],",",".")*1),"")</f>
        <v/>
      </c>
      <c r="PE28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28" s="96"/>
      <c r="PG28" s="91" t="str" cm="1">
        <f t="array" aca="1" ref="PG28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28" s="96" t="str">
        <f ca="1">LEFT(Geschlecht[[#This Row],[Geschlecht (Skala)]],1)&amp;PM$4</f>
        <v>2</v>
      </c>
      <c r="PI28" s="96" t="str">
        <f t="shared" ref="PI28:PI57" ca="1" si="93">REPLACE(PG$4,PH$6,1,PH28)</f>
        <v>Tanzen_2[Resultat]</v>
      </c>
      <c r="PJ28" s="97" t="str" cm="1">
        <f t="array" aca="1" ref="PJ28" ca="1">IF(INDIRECT(PG$1)="","",IF(INDIRECT(PG$2)=0,0,IF(OR(INDIRECT(PG$1)=$A$2,INDIRECT(PG$1)=$A$3),$A$3,IFERROR(INDEX(INDIRECT(PI28),MATCH(INDIRECT(PG$3),INDIRECT(PI28),PI$25)),IFERROR(IF(PI$25=-1,MAX(INDIRECT(PI28)),IF(PI$25=1,MIN(INDIRECT(PI28)))),"")))))</f>
        <v/>
      </c>
      <c r="PL28" s="91" t="str">
        <f t="shared" ref="PL28:PL57" ca="1" si="94">REPLACE(PG$6,PH$6,1,PH28)</f>
        <v>Tanzen_2[Note]</v>
      </c>
      <c r="PM28" s="97" t="str" cm="1">
        <f t="array" aca="1" ref="PM28" ca="1">IFERROR(INDEX(INDIRECT(PL28),MATCH(INDIRECT(PG$5),INDIRECT(PI28),0)),IF(INDIRECT(PG$5)=0,1,""))</f>
        <v/>
      </c>
      <c r="PN28" s="97"/>
      <c r="PO28" s="307"/>
      <c r="PP28" s="96" t="str">
        <f>IFERROR(IFERROR(SUBSTITUTE(RopeSkippingResultat[[#This Row],[Eingabe]],".",",")*1,SUBSTITUTE(RopeSkippingResultat[[#This Row],[Eingabe]],",",".")*1),"")</f>
        <v/>
      </c>
      <c r="PQ28" s="96" t="e">
        <f>INT(RopeSkippingResultat[[#This Row],[Resultat]])=RopeSkippingResultat[[#This Row],[Resultat]]</f>
        <v>#VALUE!</v>
      </c>
      <c r="PR28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28" s="96"/>
      <c r="PT28" s="91" t="str" cm="1">
        <f t="array" aca="1" ref="PT28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28" s="96" t="str">
        <f ca="1">LEFT(Geschlecht[[#This Row],[Geschlecht (Skala)]],1)&amp;PZ$4</f>
        <v>2</v>
      </c>
      <c r="PV28" s="96" t="str">
        <f t="shared" ref="PV28:PV57" ca="1" si="95">REPLACE(PT$4,PU$6,1,PU28)</f>
        <v>RopeSkipping_2[Resultat]</v>
      </c>
      <c r="PW28" s="97" t="str" cm="1">
        <f t="array" aca="1" ref="PW28" ca="1">IF(INDIRECT(PT$1)="","",IF(INDIRECT(PT$2)=0,0,IF(OR(INDIRECT(PT$1)=$A$2,INDIRECT(PT$1)=$A$3),$A$3,IFERROR(INDEX(INDIRECT(PV28),MATCH(INDIRECT(PT$3),INDIRECT(PV28),PV$25)),IFERROR(IF(PV$25=-1,MAX(INDIRECT(PV28)),IF(PV$25=1,MIN(INDIRECT(PV28)))),"")))))</f>
        <v/>
      </c>
      <c r="PY28" s="91" t="str">
        <f t="shared" ref="PY28:PY57" ca="1" si="96">REPLACE(PT$6,PU$6,1,PU28)</f>
        <v>RopeSkipping_2[Note]</v>
      </c>
      <c r="PZ28" s="97" t="str" cm="1">
        <f t="array" aca="1" ref="PZ28" ca="1">IFERROR(INDEX(INDIRECT(PY28),MATCH(INDIRECT(PT$5),INDIRECT(PV28),0)),IF(INDIRECT(PT$5)=0,1,""))</f>
        <v/>
      </c>
      <c r="QA28" s="97"/>
      <c r="QB28" s="307"/>
      <c r="QC28" s="96" t="str">
        <f>IFERROR(IFERROR(SUBSTITUTE(AerobicResultat[[#This Row],[Eingabe]],".",",")*1,SUBSTITUTE(AerobicResultat[[#This Row],[Eingabe]],",",".")*1),"")</f>
        <v/>
      </c>
      <c r="QD28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28" s="96"/>
      <c r="QF28" s="91" t="str" cm="1">
        <f t="array" aca="1" ref="QF28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28" s="96" t="str">
        <f ca="1">LEFT(Geschlecht[[#This Row],[Geschlecht (Skala)]],1)&amp;QL$4</f>
        <v>2</v>
      </c>
      <c r="QH28" s="96" t="str">
        <f t="shared" ref="QH28:QH57" ca="1" si="97">REPLACE(QF$4,QG$6,1,QG28)</f>
        <v>Aerobic_2[Resultat]</v>
      </c>
      <c r="QI28" s="97" t="str" cm="1">
        <f t="array" aca="1" ref="QI28" ca="1">IF(INDIRECT(QF$1)="","",IF(INDIRECT(QF$2)=0,0,IF(OR(INDIRECT(QF$1)=$A$2,INDIRECT(QF$1)=$A$3),$A$3,IFERROR(INDEX(INDIRECT(QH28),MATCH(INDIRECT(QF$3),INDIRECT(QH28),QH$25)),IFERROR(IF(QH$25=-1,MAX(INDIRECT(QH28)),IF(QH$25=1,MIN(INDIRECT(QH28)))),"")))))</f>
        <v/>
      </c>
      <c r="QK28" s="91" t="str">
        <f t="shared" ref="QK28:QK57" ca="1" si="98">REPLACE(QF$6,QG$6,1,QG28)</f>
        <v>Aerobic_2[Note]</v>
      </c>
      <c r="QL28" s="97" t="str" cm="1">
        <f t="array" aca="1" ref="QL28" ca="1">IFERROR(INDEX(INDIRECT(QK28),MATCH(INDIRECT(QF$5),INDIRECT(QH28),0)),IF(INDIRECT(QF$5)=0,1,""))</f>
        <v/>
      </c>
      <c r="QM28" s="97"/>
      <c r="QN28" s="97" t="str" cm="1">
        <f t="array" aca="1" ref="QN28" ca="1">INDIRECT(QN$5)</f>
        <v/>
      </c>
      <c r="QO28" s="97" t="str" cm="1">
        <f t="array" aca="1" ref="QO28" ca="1">INDIRECT(QO$5)</f>
        <v/>
      </c>
      <c r="QP28" s="97" t="str" cm="1">
        <f t="array" aca="1" ref="QP28" ca="1">INDIRECT(QP$5)</f>
        <v/>
      </c>
      <c r="QQ28" s="97" t="str" cm="1">
        <f t="array" aca="1" ref="QQ28" ca="1">INDIRECT(QQ$5)</f>
        <v/>
      </c>
      <c r="QR28" s="97" t="str" cm="1">
        <f t="array" aca="1" ref="QR28" ca="1">INDIRECT(QR$5)</f>
        <v/>
      </c>
      <c r="QS28" s="97" t="str" cm="1">
        <f t="array" aca="1" ref="QS28" ca="1">INDIRECT(QS$5)</f>
        <v/>
      </c>
      <c r="QT28" s="97" t="str">
        <f t="shared" ref="QT28:QT57" ca="1" si="99">IF(QW28="",QT$4,IF(AND(QU28=0,QV28&gt;=QW$25),QT$5,MAX(QQ28:QS28)))</f>
        <v>Darstellen und Tanzen nicht durchgeführt</v>
      </c>
      <c r="QU28" s="108">
        <f t="shared" ref="QU28:QU57" ca="1" si="100">COUNT(QQ28:QS28)</f>
        <v>0</v>
      </c>
      <c r="QV28" s="108">
        <f t="shared" ref="QV28:QV57" ca="1" si="101">COUNTIF(QN28:QP28,$A$3)</f>
        <v>0</v>
      </c>
      <c r="QW28" s="108" t="str">
        <f ca="1">IF(SUM(QU28:QV28)&lt;QW$25,"",IF(AND(QU28=0,QV28&gt;=QW$25),$A$2,IF(QU28&gt;=QW$25,QW$25,QU28)))</f>
        <v/>
      </c>
      <c r="QX28" s="97" t="str">
        <f ca="1">IFERROR(IF(AND(QT28=1,NOT(ISERROR(MATCH($A$3,QN28:QP28,0)))),INDEX(QN$20:QP$20,MATCH($A$3,QN28:QP28,0)),INDEX(QQ$20:QS$20,MATCH(QT28,QQ28:QS28,0))),QT28)</f>
        <v>Darstellen und Tanzen nicht durchgeführt</v>
      </c>
      <c r="QY28" s="97" t="str">
        <f ca="1">IFERROR(INDEX(INDIRECT(QY$5),MATCH(QX28,INDIRECT(QY$4),0)),"")</f>
        <v/>
      </c>
      <c r="QZ28" s="97" t="str" cm="1">
        <f t="array" aca="1" ref="QZ28" ca="1">IFERROR(IF(INDIRECT(INDEX(INDIRECT(QZ$5),MATCH(QX28,INDIRECT(QZ$4),0)))&lt;&gt;"",INDEX(INDIRECT(QZ$5),MATCH(QX28,INDIRECT(QZ$4),0)),INDEX(INDIRECT(QZ$6),MATCH(QX28,INDIRECT(QZ$4),0))),"")</f>
        <v/>
      </c>
      <c r="RA28" s="97" t="str">
        <f ca="1">IFERROR(INDEX(INDIRECT(RA$5),MATCH(QX28,INDIRECT(RA$4),0)),"")</f>
        <v/>
      </c>
      <c r="RB28" s="97" t="str" cm="1">
        <f t="array" aca="1" ref="RB28" ca="1">IFERROR(INDIRECT(QZ28),IF(NOT(ISERROR(FIND(Stammdaten!$CC$3,QX28,1))),$A$2,""))</f>
        <v/>
      </c>
      <c r="RC28" s="97" t="str">
        <f ca="1">IF(RB28="","",IF(AND(QY28=Stammdaten!$BX$20,RA28="0",RB28=1),SUBSTITUTE(TEXT(RB28,RA28)&amp;" "&amp;LEFT(QY28,LEN(QY28)-1),".",","),SUBSTITUTE(TEXT(RB28,RA28)&amp;" "&amp;QY28,".",",")))</f>
        <v/>
      </c>
      <c r="RD28" s="97" t="str">
        <f t="shared" ref="RD28:RD57" ca="1" si="102">IFERROR(INDEX(INDIRECT(RD$5),MATCH(QX28,INDIRECT(RD$4),0)),"")</f>
        <v/>
      </c>
      <c r="RE28" s="97" t="str" cm="1">
        <f t="array" aca="1" ref="RE28" ca="1">IFERROR(LEFT(INDIRECT(RD28),1)&amp;"]","")</f>
        <v/>
      </c>
      <c r="RF28" s="97" t="str">
        <f t="shared" ref="RF28:RF57" ca="1" si="103">IFERROR(INDEX(INDIRECT(LEFT(RF$5,LEN(RF$5)-2)&amp;RE28),MATCH(QX28,INDIRECT(RF$4),0)),"")</f>
        <v/>
      </c>
      <c r="RG28" s="97" t="str">
        <f ca="1">IFERROR(LEFT(QX28,FIND(Stammdaten!$CA$4,QX28,1)-2),IFERROR(LEFT(QX28,FIND(Stammdaten!$CC$3,QX28,1)-2),QX28))</f>
        <v>Darstellen und Tanzen</v>
      </c>
      <c r="RH28" s="97" t="str">
        <f ca="1">IF(NOT(ISERROR(FIND(Stammdaten!$CA$4,QX28,1))),Stammdaten!$CA$4,IF(RI28&lt;&gt;Stammdaten!$CC$3,RF28,""))</f>
        <v>nicht durchgeführt</v>
      </c>
      <c r="RI28" s="91" t="str">
        <f ca="1">IF(RB28=$A$2,Stammdaten!$CC$3,RC28)</f>
        <v/>
      </c>
      <c r="RJ28" s="108">
        <f ca="1">IF(RI28=$A$3,5,IFERROR(INDEX(INDIRECT(RJ$1),MATCH(TEXT(RL28,RJ$11),INDIRECT(RJ$2),0)),6))</f>
        <v>6</v>
      </c>
      <c r="RK28" s="97"/>
      <c r="RL28" s="308" t="str">
        <f ca="1">IF(QT28=$QT$4,Stammdaten!$BZ$1,IF(QT28=$QT$5,$A$3,QT28))</f>
        <v>Zu wenige Werte</v>
      </c>
      <c r="RM28" s="97"/>
      <c r="RN28" s="307"/>
      <c r="RO28" s="96" t="str">
        <f>IFERROR(IFERROR(SUBSTITUTE(BasketballResultat[[#This Row],[Eingabe]],".",",")*1,SUBSTITUTE(BasketballResultat[[#This Row],[Eingabe]],",",".")*1),"")</f>
        <v/>
      </c>
      <c r="RP28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28" s="96"/>
      <c r="RR28" s="91" t="str" cm="1">
        <f t="array" aca="1" ref="RR28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28" s="96" t="str">
        <f ca="1">LEFT(Geschlecht[[#This Row],[Geschlecht (Skala)]],1)&amp;RX$4</f>
        <v>2</v>
      </c>
      <c r="RT28" s="96" t="str">
        <f t="shared" ref="RT28:RT57" ca="1" si="104">REPLACE(RR$4,RS$6,1,RS28)</f>
        <v>Basketball_2[Resultat]</v>
      </c>
      <c r="RU28" s="97" t="str" cm="1">
        <f t="array" aca="1" ref="RU28" ca="1">IF(INDIRECT(RR$1)="","",IF(INDIRECT(RR$2)=0,0,IF(OR(INDIRECT(RR$1)=$A$2,INDIRECT(RR$1)=$A$3),$A$3,IFERROR(INDEX(INDIRECT(RT28),MATCH(INDIRECT(RR$3),INDIRECT(RT28),RT$25)),IFERROR(IF(RT$25=-1,MAX(INDIRECT(RT28)),IF(RT$25=1,MIN(INDIRECT(RT28)))),"")))))</f>
        <v/>
      </c>
      <c r="RW28" s="91" t="str">
        <f t="shared" ref="RW28:RW57" ca="1" si="105">REPLACE(RR$6,RS$6,1,RS28)</f>
        <v>Basketball_2[Note]</v>
      </c>
      <c r="RX28" s="97" t="str" cm="1">
        <f t="array" aca="1" ref="RX28" ca="1">IFERROR(INDEX(INDIRECT(RW28),MATCH(INDIRECT(RR$5),INDIRECT(RT28),0)),IF(INDIRECT(RR$5)=0,1,""))</f>
        <v/>
      </c>
      <c r="RY28" s="97"/>
      <c r="RZ28" s="307"/>
      <c r="SA28" s="96" t="str">
        <f>IFERROR(IFERROR(SUBSTITUTE(FussballResultat[[#This Row],[Eingabe]],".",",")*1,SUBSTITUTE(FussballResultat[[#This Row],[Eingabe]],",",".")*1),"")</f>
        <v/>
      </c>
      <c r="SB28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28" s="96"/>
      <c r="SD28" s="91" t="str" cm="1">
        <f t="array" aca="1" ref="SD28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28" s="96" t="str">
        <f ca="1">LEFT(Geschlecht[[#This Row],[Geschlecht (Skala)]],1)&amp;SJ$4</f>
        <v>2</v>
      </c>
      <c r="SF28" s="96" t="str">
        <f t="shared" ref="SF28:SF57" ca="1" si="106">REPLACE(SD$4,SE$6,1,SE28)</f>
        <v>Fussball_2[Resultat]</v>
      </c>
      <c r="SG28" s="97" t="str" cm="1">
        <f t="array" aca="1" ref="SG28" ca="1">IF(INDIRECT(SD$1)="","",IF(INDIRECT(SD$2)=0,0,IF(OR(INDIRECT(SD$1)=$A$2,INDIRECT(SD$1)=$A$3),$A$3,IFERROR(INDEX(INDIRECT(SF28),MATCH(INDIRECT(SD$3),INDIRECT(SF28),SF$25)),IFERROR(IF(SF$25=-1,MAX(INDIRECT(SF28)),IF(SF$25=1,MIN(INDIRECT(SF28)))),"")))))</f>
        <v/>
      </c>
      <c r="SI28" s="91" t="str">
        <f t="shared" ref="SI28:SI57" ca="1" si="107">REPLACE(SD$6,SE$6,1,SE28)</f>
        <v>Fussball_2[Note]</v>
      </c>
      <c r="SJ28" s="97" t="str" cm="1">
        <f t="array" aca="1" ref="SJ28" ca="1">IFERROR(INDEX(INDIRECT(SI28),MATCH(INDIRECT(SD$5),INDIRECT(SF28),0)),IF(INDIRECT(SD$5)=0,1,""))</f>
        <v/>
      </c>
      <c r="SK28" s="97"/>
      <c r="SL28" s="307"/>
      <c r="SM28" s="96" t="str">
        <f>IFERROR(IFERROR(SUBSTITUTE(HandballResultat[[#This Row],[Eingabe]],".",",")*1,SUBSTITUTE(HandballResultat[[#This Row],[Eingabe]],",",".")*1),"")</f>
        <v/>
      </c>
      <c r="SN28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28" s="96"/>
      <c r="SP28" s="91" t="str" cm="1">
        <f t="array" aca="1" ref="SP28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28" s="96" t="str">
        <f ca="1">LEFT(Geschlecht[[#This Row],[Geschlecht (Skala)]],1)&amp;SV$4</f>
        <v>2</v>
      </c>
      <c r="SR28" s="96" t="str">
        <f t="shared" ref="SR28:SR57" ca="1" si="108">REPLACE(SP$4,SQ$6,1,SQ28)</f>
        <v>Handball_2[Resultat]</v>
      </c>
      <c r="SS28" s="97" t="str" cm="1">
        <f t="array" aca="1" ref="SS28" ca="1">IF(INDIRECT(SP$1)="","",IF(INDIRECT(SP$2)=0,0,IF(OR(INDIRECT(SP$1)=$A$2,INDIRECT(SP$1)=$A$3),$A$3,IFERROR(INDEX(INDIRECT(SR28),MATCH(INDIRECT(SP$3),INDIRECT(SR28),SR$25)),IFERROR(IF(SR$25=-1,MAX(INDIRECT(SR28)),IF(SR$25=1,MIN(INDIRECT(SR28)))),"")))))</f>
        <v/>
      </c>
      <c r="SU28" s="91" t="str">
        <f t="shared" ref="SU28:SU57" ca="1" si="109">REPLACE(SP$6,SQ$6,1,SQ28)</f>
        <v>Handball_2[Note]</v>
      </c>
      <c r="SV28" s="97" t="str" cm="1">
        <f t="array" aca="1" ref="SV28" ca="1">IFERROR(INDEX(INDIRECT(SU28),MATCH(INDIRECT(SP$5),INDIRECT(SR28),0)),IF(INDIRECT(SP$5)=0,1,""))</f>
        <v/>
      </c>
      <c r="SW28" s="97"/>
      <c r="SX28" s="307"/>
      <c r="SY28" s="96" t="str">
        <f>IFERROR(IFERROR(SUBSTITUTE(UnihockeyResultat[[#This Row],[Eingabe]],".",",")*1,SUBSTITUTE(UnihockeyResultat[[#This Row],[Eingabe]],",",".")*1),"")</f>
        <v/>
      </c>
      <c r="SZ28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28" s="96"/>
      <c r="TB28" s="91" t="str" cm="1">
        <f t="array" aca="1" ref="TB28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28" s="96" t="str">
        <f ca="1">LEFT(Geschlecht[[#This Row],[Geschlecht (Skala)]],1)&amp;TH$4</f>
        <v>2</v>
      </c>
      <c r="TD28" s="96" t="str">
        <f t="shared" ref="TD28:TD57" ca="1" si="110">REPLACE(TB$4,TC$6,1,TC28)</f>
        <v>Unihockey_2[Resultat]</v>
      </c>
      <c r="TE28" s="97" t="str" cm="1">
        <f t="array" aca="1" ref="TE28" ca="1">IF(INDIRECT(TB$1)="","",IF(INDIRECT(TB$2)=0,0,IF(OR(INDIRECT(TB$1)=$A$2,INDIRECT(TB$1)=$A$3),$A$3,IFERROR(INDEX(INDIRECT(TD28),MATCH(INDIRECT(TB$3),INDIRECT(TD28),TD$25)),IFERROR(IF(TD$25=-1,MAX(INDIRECT(TD28)),IF(TD$25=1,MIN(INDIRECT(TD28)))),"")))))</f>
        <v/>
      </c>
      <c r="TG28" s="91" t="str">
        <f t="shared" ref="TG28:TG57" ca="1" si="111">REPLACE(TB$6,TC$6,1,TC28)</f>
        <v>Unihockey_2[Note]</v>
      </c>
      <c r="TH28" s="97" t="str" cm="1">
        <f t="array" aca="1" ref="TH28" ca="1">IFERROR(INDEX(INDIRECT(TG28),MATCH(INDIRECT(TB$5),INDIRECT(TD28),0)),IF(INDIRECT(TB$5)=0,1,""))</f>
        <v/>
      </c>
      <c r="TI28" s="97"/>
      <c r="TJ28" s="307"/>
      <c r="TK28" s="96" t="str">
        <f>IFERROR(IFERROR(SUBSTITUTE(VolleyballResultat[[#This Row],[Eingabe]],".",",")*1,SUBSTITUTE(VolleyballResultat[[#This Row],[Eingabe]],",",".")*1),"")</f>
        <v/>
      </c>
      <c r="TL28" s="96" t="e">
        <f>INT(VolleyballResultat[[#This Row],[Resultat]])=VolleyballResultat[[#This Row],[Resultat]]</f>
        <v>#VALUE!</v>
      </c>
      <c r="TM28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28" s="96"/>
      <c r="TO28" s="91" t="str" cm="1">
        <f t="array" aca="1" ref="TO28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28" s="96" t="str">
        <f ca="1">LEFT(Geschlecht[[#This Row],[Geschlecht (Skala)]],1)&amp;TU$4</f>
        <v>2</v>
      </c>
      <c r="TQ28" s="96" t="str">
        <f t="shared" ref="TQ28:TQ57" ca="1" si="112">REPLACE(TO$4,TP$6,1,TP28)</f>
        <v>Volleyball_2[Resultat]</v>
      </c>
      <c r="TR28" s="97" t="str" cm="1">
        <f t="array" aca="1" ref="TR28" ca="1">IF(INDIRECT(TO$1)="","",IF(INDIRECT(TO$2)=0,0,IF(OR(INDIRECT(TO$1)=$A$2,INDIRECT(TO$1)=$A$3),$A$3,IFERROR(INDEX(INDIRECT(TQ28),MATCH(INDIRECT(TO$3),INDIRECT(TQ28),TQ$25)),IFERROR(IF(TQ$25=-1,MAX(INDIRECT(TQ28)),IF(TQ$25=1,MIN(INDIRECT(TQ28)))),"")))))</f>
        <v/>
      </c>
      <c r="TT28" s="91" t="str">
        <f t="shared" ref="TT28:TT57" ca="1" si="113">REPLACE(TO$6,TP$6,1,TP28)</f>
        <v>Volleyball_2[Note]</v>
      </c>
      <c r="TU28" s="97" t="str" cm="1">
        <f t="array" aca="1" ref="TU28" ca="1">IFERROR(INDEX(INDIRECT(TT28),MATCH(INDIRECT(TO$5),INDIRECT(TQ28),0)),IF(INDIRECT(TO$5)=0,1,""))</f>
        <v/>
      </c>
      <c r="TV28" s="97"/>
      <c r="TW28" s="309" t="str" cm="1">
        <f t="array" aca="1" ref="TW28" ca="1">IF(AND(ISNUMBER(INDIRECT(TW$3)),INDIRECT(TW$3)&gt;1),INDIRECT(TW$3),"")</f>
        <v/>
      </c>
      <c r="TX28" s="309" t="str" cm="1">
        <f t="array" aca="1" ref="TX28" ca="1">IF(AND(ISNUMBER(INDIRECT(TX$3)),INDIRECT(TX$3)&gt;1),INDIRECT(TX$3),"")</f>
        <v/>
      </c>
      <c r="TY28" s="309" t="str" cm="1">
        <f t="array" aca="1" ref="TY28" ca="1">IF(AND(ISNUMBER(INDIRECT(TY$3)),INDIRECT(TY$3)&gt;1),INDIRECT(TY$3),"")</f>
        <v/>
      </c>
      <c r="TZ28" s="309" t="str" cm="1">
        <f t="array" aca="1" ref="TZ28" ca="1">IF(AND(ISNUMBER(INDIRECT(TZ$3)),INDIRECT(TZ$3)&gt;1),INDIRECT(TZ$3),"")</f>
        <v/>
      </c>
      <c r="UA28" s="309" t="str" cm="1">
        <f t="array" aca="1" ref="UA28" ca="1">IF(AND(ISNUMBER(INDIRECT(UA$3)),INDIRECT(UA$3)&gt;1),INDIRECT(UA$3),"")</f>
        <v/>
      </c>
      <c r="UB28" s="309" t="str">
        <f t="shared" ref="UB28:UB57" ca="1" si="114">IFERROR(LARGE($TW28:$UA28,UB$23),"x")</f>
        <v>x</v>
      </c>
      <c r="UC28" s="309" t="str">
        <f t="shared" ref="UC28:UC57" ca="1" si="115">IFERROR(LARGE($TW28:$UA28,UC$23),"y")</f>
        <v>y</v>
      </c>
      <c r="UD28" s="309" t="str">
        <f t="shared" ref="UD28:UD57" ca="1" si="116">IFERROR(LARGE($TW28:$UA28,UD$23),"z")</f>
        <v>z</v>
      </c>
      <c r="UE28" s="309" t="str">
        <f ca="1">IF(AND(UB28=UC28,UC28=UD28),UB28,"a")</f>
        <v>a</v>
      </c>
      <c r="UF28" s="309" t="str" cm="1">
        <f t="array" aca="1" ref="UF28" ca="1">IF(UE28="a","",INDEX($TW$23:$UA$23,,MATCH(UE28,$TW28:$UA28,0)))</f>
        <v/>
      </c>
      <c r="UG28" s="309" t="str" cm="1">
        <f t="array" aca="1" ref="UG28" ca="1">IF(OR(UF28="",UF28&gt;=$UA$23),"",INDEX(INDIRECT(ADDRESS(ROW($TW$23),UF28+1)):$UA$23,,MATCH(UE28,INDIRECT(ADDRESS(ROW(),UF28+1)):$UA28,0)))</f>
        <v/>
      </c>
      <c r="UH28" s="309" t="str" cm="1">
        <f t="array" aca="1" ref="UH28" ca="1">IF(OR(UG28="",UG28&gt;=$UA$23),"",INDEX(INDIRECT(ADDRESS(ROW($TW$23),UG28+1)):$UA$23,,MATCH(UE28,INDIRECT(ADDRESS(ROW(),UG28+1)):$UA28,0)))</f>
        <v/>
      </c>
      <c r="UI28" s="309" t="str">
        <f ca="1">IF(ISNUMBER(UE28),"b",IF(UB28=UC28,UB28,"c"))</f>
        <v>c</v>
      </c>
      <c r="UJ28" s="309" t="str" cm="1">
        <f t="array" aca="1" ref="UJ28" ca="1">IF(OR(UI28="b",UI28="c"),"",INDEX($TW$23:$UA$23,,MATCH(UI28,$TW28:$UA28,0)))</f>
        <v/>
      </c>
      <c r="UK28" s="309" t="str" cm="1">
        <f t="array" aca="1" ref="UK28" ca="1">IF(OR(UJ28="",UJ28&gt;=$UA$23),"",INDEX(INDIRECT(ADDRESS(ROW($TW$23),UJ28+1)):$UA$23,,MATCH(UI28,INDIRECT(ADDRESS(ROW(),UJ28+1)):$UA28,0)))</f>
        <v/>
      </c>
      <c r="UL28" s="309" t="str">
        <f t="shared" ref="UL28:UL57" ca="1" si="117">IF(ISNUMBER(UI28),INDEX($TW$23:$UA$23,MATCH(UD28,$TW28:$UA28,0)),"")</f>
        <v/>
      </c>
      <c r="UM28" s="309" t="str">
        <f ca="1">IF(OR(ISNUMBER(UE28),ISNUMBER(UI28)),"d",IF(UC28=UD28,UC28,"e"))</f>
        <v>e</v>
      </c>
      <c r="UN28" s="309" t="str">
        <f t="shared" ref="UN28:UN57" ca="1" si="118">IF(ISNUMBER(UM28),INDEX($TW$23:$UA$23,MATCH(UB28,$TW28:$UA28,0)),"")</f>
        <v/>
      </c>
      <c r="UO28" s="309" t="str" cm="1">
        <f t="array" aca="1" ref="UO28" ca="1">IF(OR(UM28="d",UM28="e"),"",INDEX($TW$23:$UA$23,,MATCH(UM28,$TW28:$UA28,0)))</f>
        <v/>
      </c>
      <c r="UP28" s="309" t="str" cm="1">
        <f t="array" aca="1" ref="UP28" ca="1">IF(OR(UO28="",UO28&gt;=$UA$23),"",INDEX(INDIRECT(ADDRESS(ROW($TW$23),UO28+1)):$UA$23,,MATCH(UM28,INDIRECT(ADDRESS(ROW(),UO28+1)):$UA28,0)))</f>
        <v/>
      </c>
      <c r="UQ28" s="309" t="str" cm="1">
        <f t="array" aca="1" ref="UQ28" ca="1">IFERROR(IF(ISNUMBER(UF28),UF28,IF(ISNUMBER(UJ28),UJ28,IF(ISNUMBER(UN28),UN28,INDEX($TW$23:$UA$23,,MATCH(UB28,$TW28:$UA28,0))))),"x1")</f>
        <v>x1</v>
      </c>
      <c r="UR28" s="309" t="str" cm="1">
        <f t="array" aca="1" ref="UR28" ca="1">IFERROR(IF(ISNUMBER(UG28),UG28,IF(ISNUMBER(UK28),UK28,IF(ISNUMBER(UO28),UO28,INDEX($TW$23:$UA$23,,MATCH(UC28,$TW28:$UA28,0))))),IF(UQ28="x1","x2","x1"))</f>
        <v>x2</v>
      </c>
      <c r="US28" s="309" t="str" cm="1">
        <f t="array" aca="1" ref="US28" ca="1">IFERROR(IF(ISNUMBER(UH28),UH28,IF(ISNUMBER(UL28),UL28,IF(ISNUMBER(UP28),UP28,INDEX($TW$23:$UA$23,,MATCH(UD28,$TW28:$UA28,0))))),IF(UR28="x1","x2",IF(UR28="x2","x3","x1")))</f>
        <v>x3</v>
      </c>
      <c r="UT28" s="97" t="str" cm="1">
        <f t="array" aca="1" ref="UT28" ca="1">IF(OR(INDIRECT(UT$3)=$A$2,INDIRECT(UT$3)=$A$3),COLUMN(),"")</f>
        <v/>
      </c>
      <c r="UU28" s="97" t="str" cm="1">
        <f t="array" aca="1" ref="UU28" ca="1">IF(OR(INDIRECT(UU$3)=$A$2,INDIRECT(UU$3)=$A$3),COLUMN(),"")</f>
        <v/>
      </c>
      <c r="UV28" s="97" t="str" cm="1">
        <f t="array" aca="1" ref="UV28" ca="1">IF(OR(INDIRECT(UV$3)=$A$2,INDIRECT(UV$3)=$A$3),COLUMN(),"")</f>
        <v/>
      </c>
      <c r="UW28" s="97" t="str" cm="1">
        <f t="array" aca="1" ref="UW28" ca="1">IF(OR(INDIRECT(UW$3)=$A$2,INDIRECT(UW$3)=$A$3),COLUMN(),"")</f>
        <v/>
      </c>
      <c r="UX28" s="97" t="str" cm="1">
        <f t="array" aca="1" ref="UX28" ca="1">IF(OR(INDIRECT(UX$3)=$A$2,INDIRECT(UX$3)=$A$3),COLUMN(),"")</f>
        <v/>
      </c>
      <c r="UY28" s="97" t="str" cm="1">
        <f t="array" aca="1" ref="UY28" ca="1">IF(AND(ISNUMBER(INDIRECT(UY$3)),INDIRECT(UY$3)=0),COLUMN(),"")</f>
        <v/>
      </c>
      <c r="UZ28" s="97" t="str" cm="1">
        <f t="array" aca="1" ref="UZ28" ca="1">IF(AND(ISNUMBER(INDIRECT(UZ$3)),INDIRECT(UZ$3)=0),COLUMN(),"")</f>
        <v/>
      </c>
      <c r="VA28" s="97" t="str" cm="1">
        <f t="array" aca="1" ref="VA28" ca="1">IF(AND(ISNUMBER(INDIRECT(VA$3)),INDIRECT(VA$3)=0),COLUMN(),"")</f>
        <v/>
      </c>
      <c r="VB28" s="97" t="str" cm="1">
        <f t="array" aca="1" ref="VB28" ca="1">IF(AND(ISNUMBER(INDIRECT(VB$3)),INDIRECT(VB$3)=0),COLUMN(),"")</f>
        <v/>
      </c>
      <c r="VC28" s="97" t="str" cm="1">
        <f t="array" aca="1" ref="VC28" ca="1">IF(AND(ISNUMBER(INDIRECT(VC$3)),INDIRECT(VC$3)=0),COLUMN(),"")</f>
        <v/>
      </c>
      <c r="VD28" s="97" t="str">
        <f ca="1">IFERROR(IF(ISNUMBER(UQ28),UQ28,SMALL($UT28:$UX28,VALUE(RIGHT(UQ28,1)))),"x1")</f>
        <v>x1</v>
      </c>
      <c r="VE28" s="97" t="str">
        <f ca="1">IFERROR(IF(ISNUMBER(UR28),UR28,SMALL($UT28:$UX28,VALUE(RIGHT(UR28,1)))),IF(VD28="x1","x2","x1"))</f>
        <v>x2</v>
      </c>
      <c r="VF28" s="97" t="str">
        <f ca="1">IFERROR(IF(ISNUMBER(US28),US28,SMALL($UT28:$UX28,VALUE(RIGHT(US28,1)))),IF(VE28="x1","x2",IF(VE28="x2","x3","x1")))</f>
        <v>x3</v>
      </c>
      <c r="VG28" s="97" t="str">
        <f ca="1">IFERROR(IF(ISNUMBER(VD28),VD28,SMALL($UY28:$VC28,VALUE(RIGHT(VD28,1)))),Stammdaten!$CB$17)</f>
        <v>Erste Spielsportart nicht durchgeführt</v>
      </c>
      <c r="VH28" s="97" t="str">
        <f ca="1">IFERROR(IF(ISNUMBER(VE28),VE28,SMALL($UY28:$VC28,VALUE(RIGHT(VE28,1)))),Stammdaten!$CB$18)</f>
        <v>Zweite Spielsportart nicht durchgeführt</v>
      </c>
      <c r="VI28" s="97" t="str">
        <f ca="1">IFERROR(IF(ISNUMBER(VF28),VF28,SMALL($UY28:$VC28,VALUE(RIGHT(VF28,1)))),Stammdaten!$CB$19)</f>
        <v>Dritte Spielsportart nicht durchgeführt</v>
      </c>
      <c r="VJ28" s="91" t="str" cm="1">
        <f t="array" aca="1" ref="VJ28" ca="1">IFERROR(INDIRECT(ADDRESS(ROW($TW$5),VG28)),VG28)</f>
        <v>Erste Spielsportart nicht durchgeführt</v>
      </c>
      <c r="VK28" s="97" t="str">
        <f ca="1">IFERROR(INDEX(INDIRECT(VK$5),MATCH(VJ28,INDIRECT(VK$4),0)),"")</f>
        <v/>
      </c>
      <c r="VL28" s="97" t="str" cm="1">
        <f t="array" aca="1" ref="VL28" ca="1">IFERROR(IF(INDIRECT(INDEX(INDIRECT(VL$5),MATCH(VJ28,INDIRECT(VL$4),0)))&lt;&gt;"",INDEX(INDIRECT(VL$5),MATCH(VJ28,INDIRECT(VL$4),0)),INDEX(INDIRECT(VL$6),MATCH(VJ28,INDIRECT(VL$4),0))),"")</f>
        <v/>
      </c>
      <c r="VM28" s="97" t="str">
        <f ca="1">IFERROR(INDEX(INDIRECT(VM$5),MATCH(VJ28,INDIRECT(VM$4),0)),"")</f>
        <v/>
      </c>
      <c r="VN28" s="97" t="str" cm="1">
        <f t="array" aca="1" ref="VN28" ca="1">IFERROR(INDIRECT(VL28),"")</f>
        <v/>
      </c>
      <c r="VO28" s="97" t="str">
        <f ca="1">IF(VN28="","",IF(AND(VK28=Stammdaten!$BX$20,VM28="0",VN28=1),SUBSTITUTE(TEXT(VN28,VM28)&amp;" "&amp;LEFT(VK28,LEN(VK28)-1),".",","),SUBSTITUTE(TEXT(VN28,VM28)&amp;" "&amp;VK28,".",",")))</f>
        <v/>
      </c>
      <c r="VP28" s="97" t="str">
        <f t="shared" ref="VP28:VP57" ca="1" si="119">IFERROR(INDEX(INDIRECT(VP$5),MATCH(VJ28,INDIRECT(VP$4),0)),"")</f>
        <v/>
      </c>
      <c r="VQ28" s="97" t="str" cm="1">
        <f t="array" aca="1" ref="VQ28" ca="1">IFERROR(LEFT(INDIRECT(VP28),1)&amp;"]","")</f>
        <v/>
      </c>
      <c r="VR28" s="97" t="str">
        <f t="shared" ref="VR28:VR57" ca="1" si="120">IFERROR(INDEX(INDIRECT(LEFT(VR$5,LEN(VR$5)-2)&amp;VQ28),MATCH(VJ28,INDIRECT(VR$4),0)),"")</f>
        <v/>
      </c>
      <c r="VS28" s="97" t="str">
        <f ca="1">IFERROR(LEFT(VJ28,FIND(Stammdaten!$CA$4,VJ28,1)-2),IFERROR(LEFT(VJ28,FIND(Stammdaten!$CC$3,VJ28,1)-2),VJ28))</f>
        <v>Erste Spielsportart</v>
      </c>
      <c r="VT28" s="97" t="str">
        <f ca="1">IF(NOT(ISERROR(FIND(Stammdaten!$CA$4,VJ28,1))),Stammdaten!$CA$4,IF(VU28&lt;&gt;Stammdaten!$CC$3,VR28,""))</f>
        <v>nicht durchgeführt</v>
      </c>
      <c r="VU28" s="91" t="str">
        <f ca="1">IF(VN28=$A$2,Stammdaten!$CC$3,VO28)</f>
        <v/>
      </c>
      <c r="VV28" s="91" t="str" cm="1">
        <f t="array" aca="1" ref="VV28" ca="1">IFERROR(INDIRECT(ADDRESS(ROW($TW$5),VH28)),VH28)</f>
        <v>Zweite Spielsportart nicht durchgeführt</v>
      </c>
      <c r="VW28" s="97" t="str">
        <f ca="1">IFERROR(INDEX(INDIRECT(VW$5),MATCH(VV28,INDIRECT(VW$4),0)),"")</f>
        <v/>
      </c>
      <c r="VX28" s="97" t="str" cm="1">
        <f t="array" aca="1" ref="VX28" ca="1">IFERROR(IF(INDIRECT(INDEX(INDIRECT(VX$5),MATCH(VV28,INDIRECT(VX$4),0)))&lt;&gt;"",INDEX(INDIRECT(VX$5),MATCH(VV28,INDIRECT(VX$4),0)),INDEX(INDIRECT(VX$6),MATCH(VV28,INDIRECT(VX$4),0))),"")</f>
        <v/>
      </c>
      <c r="VY28" s="97" t="str">
        <f ca="1">IFERROR(INDEX(INDIRECT(VY$5),MATCH(VV28,INDIRECT(VY$4),0)),"")</f>
        <v/>
      </c>
      <c r="VZ28" s="97" t="str" cm="1">
        <f t="array" aca="1" ref="VZ28" ca="1">IFERROR(INDIRECT(VX28),"")</f>
        <v/>
      </c>
      <c r="WA28" s="97" t="str">
        <f ca="1">IF(VZ28="","",IF(AND(VW28=Stammdaten!$BX$20,VY28="0",VZ28=1),SUBSTITUTE(TEXT(VZ28,VY28)&amp;" "&amp;LEFT(VW28,LEN(VW28)-1),".",","),SUBSTITUTE(TEXT(VZ28,VY28)&amp;" "&amp;VW28,".",",")))</f>
        <v/>
      </c>
      <c r="WB28" s="97" t="str">
        <f t="shared" ref="WB28:WB57" ca="1" si="121">IFERROR(INDEX(INDIRECT(WB$5),MATCH(VV28,INDIRECT(WB$4),0)),"")</f>
        <v/>
      </c>
      <c r="WC28" s="97" t="str" cm="1">
        <f t="array" aca="1" ref="WC28" ca="1">IFERROR(LEFT(INDIRECT(WB28),1)&amp;"]","")</f>
        <v/>
      </c>
      <c r="WD28" s="97" t="str">
        <f t="shared" ref="WD28:WD57" ca="1" si="122">IFERROR(INDEX(INDIRECT(LEFT(WD$5,LEN(WD$5)-2)&amp;WC28),MATCH(VV28,INDIRECT(WD$4),0)),"")</f>
        <v/>
      </c>
      <c r="WE28" s="97" t="str">
        <f ca="1">IFERROR(LEFT(VV28,FIND(Stammdaten!$CA$4,VV28,1)-2),IFERROR(LEFT(VV28,FIND(Stammdaten!$CC$3,VV28,1)-2),VV28))</f>
        <v>Zweite Spielsportart</v>
      </c>
      <c r="WF28" s="97" t="str">
        <f ca="1">IF(NOT(ISERROR(FIND(Stammdaten!$CA$4,VV28,1))),Stammdaten!$CA$4,IF(WG28&lt;&gt;Stammdaten!$CC$3,WD28,""))</f>
        <v>nicht durchgeführt</v>
      </c>
      <c r="WG28" s="91" t="str">
        <f ca="1">IF(VZ28=$A$2,Stammdaten!$CC$3,WA28)</f>
        <v/>
      </c>
      <c r="WH28" s="91" t="str" cm="1">
        <f t="array" aca="1" ref="WH28" ca="1">IFERROR(INDIRECT(ADDRESS(ROW($TW$5),VI28)),VI28)</f>
        <v>Dritte Spielsportart nicht durchgeführt</v>
      </c>
      <c r="WI28" s="97" t="str">
        <f ca="1">IFERROR(INDEX(INDIRECT(WI$5),MATCH(WH28,INDIRECT(WI$4),0)),"")</f>
        <v/>
      </c>
      <c r="WJ28" s="97" t="str" cm="1">
        <f t="array" aca="1" ref="WJ28" ca="1">IFERROR(IF(INDIRECT(INDEX(INDIRECT(WJ$5),MATCH(WH28,INDIRECT(WJ$4),0)))&lt;&gt;"",INDEX(INDIRECT(WJ$5),MATCH(WH28,INDIRECT(WJ$4),0)),INDEX(INDIRECT(WJ$6),MATCH(WH28,INDIRECT(WJ$4),0))),"")</f>
        <v/>
      </c>
      <c r="WK28" s="97" t="str">
        <f ca="1">IFERROR(INDEX(INDIRECT(WK$5),MATCH(WH28,INDIRECT(WK$4),0)),"")</f>
        <v/>
      </c>
      <c r="WL28" s="97" t="str" cm="1">
        <f t="array" aca="1" ref="WL28" ca="1">IFERROR(INDIRECT(WJ28),"")</f>
        <v/>
      </c>
      <c r="WM28" s="97" t="str">
        <f ca="1">IF(WL28="","",IF(AND(WI28=Stammdaten!$BX$20,WK28="0",WL28=1),SUBSTITUTE(TEXT(WL28,WK28)&amp;" "&amp;LEFT(WI28,LEN(WI28)-1),".",","),SUBSTITUTE(TEXT(WL28,WK28)&amp;" "&amp;WI28,".",",")))</f>
        <v/>
      </c>
      <c r="WN28" s="97" t="str">
        <f t="shared" ref="WN28:WN57" ca="1" si="123">IFERROR(INDEX(INDIRECT(WN$5),MATCH(WH28,INDIRECT(WN$4),0)),"")</f>
        <v/>
      </c>
      <c r="WO28" s="97" t="str" cm="1">
        <f t="array" aca="1" ref="WO28" ca="1">IFERROR(LEFT(INDIRECT(WN28),1)&amp;"]","")</f>
        <v/>
      </c>
      <c r="WP28" s="97" t="str">
        <f t="shared" ref="WP28:WP57" ca="1" si="124">IFERROR(INDEX(INDIRECT(LEFT(WP$5,LEN(WP$5)-2)&amp;WO28),MATCH(WH28,INDIRECT(WP$4),0)),"")</f>
        <v/>
      </c>
      <c r="WQ28" s="97" t="str">
        <f ca="1">IFERROR(LEFT(WH28,FIND(Stammdaten!$CA$4,WH28,1)-2),IFERROR(LEFT(WH28,FIND(Stammdaten!$CC$3,WH28,1)-2),WH28))</f>
        <v>Dritte Spielsportart</v>
      </c>
      <c r="WR28" s="97" t="str">
        <f ca="1">IF(NOT(ISERROR(FIND(Stammdaten!$CA$4,WH28,1))),Stammdaten!$CA$4,IF(WS28&lt;&gt;Stammdaten!$CC$3,WP28,""))</f>
        <v>nicht durchgeführt</v>
      </c>
      <c r="WS28" s="91" t="str">
        <f ca="1">IF(WL28=$A$2,Stammdaten!$CC$3,WM28)</f>
        <v/>
      </c>
      <c r="WT28" s="97" t="str" cm="1">
        <f t="array" aca="1" ref="WT28" ca="1">INDIRECT(WT$5)</f>
        <v/>
      </c>
      <c r="WU28" s="97" t="str" cm="1">
        <f t="array" aca="1" ref="WU28" ca="1">INDIRECT(WU$5)</f>
        <v/>
      </c>
      <c r="WV28" s="97" t="str" cm="1">
        <f t="array" aca="1" ref="WV28" ca="1">INDIRECT(WV$5)</f>
        <v/>
      </c>
      <c r="WW28" s="97" t="str" cm="1">
        <f t="array" aca="1" ref="WW28" ca="1">INDIRECT(WW$5)</f>
        <v/>
      </c>
      <c r="WX28" s="97" t="str" cm="1">
        <f t="array" aca="1" ref="WX28" ca="1">INDIRECT(WX$5)</f>
        <v/>
      </c>
      <c r="WY28" s="97" cm="1">
        <f t="array" aca="1" ref="WY28" ca="1">IF(INDIRECT(WY$5)&lt;&gt;"",INDIRECT(WY$5),0)</f>
        <v>0</v>
      </c>
      <c r="WZ28" s="97" cm="1">
        <f t="array" aca="1" ref="WZ28" ca="1">IF(INDIRECT(WZ$5)&lt;&gt;"",INDIRECT(WZ$5),0)</f>
        <v>0</v>
      </c>
      <c r="XA28" s="97" cm="1">
        <f t="array" aca="1" ref="XA28" ca="1">IF(INDIRECT(XA$5)&lt;&gt;"",INDIRECT(XA$5),0)</f>
        <v>0</v>
      </c>
      <c r="XB28" s="97" cm="1">
        <f t="array" aca="1" ref="XB28" ca="1">IF(INDIRECT(XB$5)&lt;&gt;"",INDIRECT(XB$5),0)</f>
        <v>0</v>
      </c>
      <c r="XC28" s="97" cm="1">
        <f t="array" aca="1" ref="XC28" ca="1">IF(INDIRECT(XC$5)&lt;&gt;"",INDIRECT(XC$5),0)</f>
        <v>0</v>
      </c>
      <c r="XD28" s="97">
        <f t="shared" ref="XD28:XF57" ca="1" si="125">LARGE($WY28:$XC28,XD$18)</f>
        <v>0</v>
      </c>
      <c r="XE28" s="97">
        <f t="shared" ca="1" si="125"/>
        <v>0</v>
      </c>
      <c r="XF28" s="97">
        <f t="shared" ca="1" si="125"/>
        <v>0</v>
      </c>
      <c r="XG28" s="97">
        <f ca="1">SUM(XD28:XF28)</f>
        <v>0</v>
      </c>
      <c r="XH28" s="108">
        <f ca="1">COUNTIF($WY28:$XC28,"&gt;0")</f>
        <v>0</v>
      </c>
      <c r="XI28" s="108">
        <f t="shared" ref="XI28:XI57" ca="1" si="126">COUNTIF($WT28:$WX28,$A$3)</f>
        <v>0</v>
      </c>
      <c r="XJ28" s="108" t="str">
        <f ca="1">IF(SUM(XH28:XI28)&lt;XJ$25,"",IF(AND(XH28=0,XI28&gt;=XJ$25),$A$2,IF(XH28&gt;=XJ$25,XJ$25,XH28)))</f>
        <v/>
      </c>
      <c r="XK28" s="97" t="str">
        <f ca="1">IF(XJ28="",Stammdaten!$BZ$1,IF(AND(XH28=0,XI28&gt;=XJ$25),$A$3,ROUND(SUM(XG28/XJ28)/XK$25,0)*XK$25))</f>
        <v>Zu wenige Werte</v>
      </c>
      <c r="XL28" s="108">
        <f ca="1">IF(AND(VU28=$A$3,WG28=$A$3,WS28=$A$3),5,IFERROR(INDEX(INDIRECT(XL$1),MATCH(TEXT(XK28,XL$11),INDIRECT(XL$2),0)),6))</f>
        <v>6</v>
      </c>
      <c r="XM28" s="97" t="str">
        <f ca="1">IF(XD28&gt;0,TEXT(XD28,XM$11)&amp;" / ","")</f>
        <v/>
      </c>
      <c r="XN28" s="97" t="str">
        <f ca="1">IF(XE28&gt;0,TEXT(XE28,XN$11)&amp;" / ","")</f>
        <v/>
      </c>
      <c r="XO28" s="97" t="str">
        <f ca="1">IF(XF28&gt;0,TEXT(XF28,XO$11)&amp;" / ","")</f>
        <v/>
      </c>
      <c r="XP28" s="97" t="str">
        <f ca="1">IF(XJ28="","",XM28&amp;XN28&amp;XO28)</f>
        <v/>
      </c>
      <c r="XQ28" s="97" t="str">
        <f ca="1">IF(XI28=0,"g","k")</f>
        <v>g</v>
      </c>
      <c r="XR28" s="97" t="str">
        <f ca="1">IF(XK28&lt;4,"R","")</f>
        <v/>
      </c>
      <c r="XS28" s="97">
        <f ca="1">IF(XQ28&amp;XR28="g",1,IF(XQ28&amp;XR28="gR",2,IF(XQ28&amp;XR28="k",3,4)))</f>
        <v>1</v>
      </c>
      <c r="XT28" s="97" t="str">
        <f ca="1">IF(OR(Geschlecht[[#This Row],[Geschlecht (Skala)]]="",NOT(ISNUMBER(XJ28))),"",XS28)</f>
        <v/>
      </c>
      <c r="XU28" s="97" t="str">
        <f ca="1">IFERROR(LEFT(XP28,LEN(XP28)-2),"")</f>
        <v/>
      </c>
      <c r="XV28" s="97"/>
      <c r="XW28" s="308" t="str">
        <f t="shared" ref="XW28:XW57" ca="1" si="127">XK28</f>
        <v>Zu wenige Werte</v>
      </c>
      <c r="XX28" s="97"/>
      <c r="XY28" s="97" t="str">
        <f t="shared" ref="XY28:XY57" ca="1" si="128">HN28</f>
        <v>Zu wenige Werte</v>
      </c>
      <c r="XZ28" s="97" t="str">
        <f t="shared" ref="XZ28:XZ57" ca="1" si="129">PA28</f>
        <v>Zu wenige Werte</v>
      </c>
      <c r="YA28" s="97" t="str">
        <f t="shared" ref="YA28:YA57" ca="1" si="130">RL28</f>
        <v>Zu wenige Werte</v>
      </c>
      <c r="YB28" s="97" t="str">
        <f t="shared" ref="YB28:YB57" ca="1" si="131">XW28</f>
        <v>Zu wenige Werte</v>
      </c>
      <c r="YC28" s="97">
        <f ca="1">SUM(XY28:YB28)</f>
        <v>0</v>
      </c>
      <c r="YD28" s="108">
        <f ca="1">COUNT(XY28:YB28)</f>
        <v>0</v>
      </c>
      <c r="YE28" s="108">
        <f ca="1">COUNTIF(XY28:YB28,$A$3)</f>
        <v>0</v>
      </c>
      <c r="YF28" s="108" t="str">
        <f ca="1">IF(SUM(YD28:YE28)&lt;YF$25,"",YD28)</f>
        <v/>
      </c>
      <c r="YG28" s="97" t="str">
        <f ca="1">IF(YF28="",Stammdaten!$BZ$1,IF(YE28=YF$25,$A$3,ROUND(SUM(YC28/YF28)/YG$25,0)*YG$25))</f>
        <v>Zu wenige Werte</v>
      </c>
      <c r="YH28" s="97" t="str">
        <f ca="1">IF(NOT(ISNUMBER(XY28)),"",IF(YH$11&lt;&gt;"2+",TEXT(XY28,YH$11)&amp;" / ",IF(RIGHT(XY28*100,2)="00",TEXT(XY28,"0"&amp;Stammdaten!$AZ$3&amp;"0")&amp;" / ",XY28&amp;" / ")))</f>
        <v/>
      </c>
      <c r="YI28" s="97" t="str">
        <f ca="1">IF(NOT(ISNUMBER(XZ28)),"",IF(YI$11&lt;&gt;"2+",TEXT(XZ28,YI$11)&amp;" / ",IF(RIGHT(XZ28*100,2)="00",TEXT(XZ28,"0"&amp;Stammdaten!$AZ$3&amp;"0")&amp;" / ",XZ28&amp;" / ")))</f>
        <v/>
      </c>
      <c r="YJ28" s="97" t="str">
        <f ca="1">IF(NOT(ISNUMBER(YA28)),"",IF(YJ$11&lt;&gt;"2+",TEXT(YA28,YJ$11)&amp;" / ",IF(RIGHT(YA28*100,2)="00",TEXT(YA28,"0"&amp;Stammdaten!$AZ$3&amp;"0")&amp;" / ",YA28&amp;" / ")))</f>
        <v/>
      </c>
      <c r="YK28" s="97" t="str">
        <f ca="1">IF(NOT(ISNUMBER(YB28)),"",IF(YK$11&lt;&gt;"2+",TEXT(YB28,YK$11)&amp;" / ",IF(RIGHT(YB28*100,2)="00",TEXT(YB28,"0"&amp;Stammdaten!$AZ$3&amp;"0")&amp;" / ",YB28&amp;" / ")))</f>
        <v/>
      </c>
      <c r="YL28" s="97" t="str">
        <f ca="1">IF(YF28="","",YH28&amp;YI28&amp;YJ28&amp;YK28)</f>
        <v/>
      </c>
      <c r="YM28" s="97" t="str">
        <f>IF(Geschlecht[[#This Row],[Geschlecht (Skala)]]="","",IF(ISNUMBER(XY28),1,IF(XY28=$A$3,$A$2,"R")))</f>
        <v/>
      </c>
      <c r="YN28" s="97" t="str">
        <f>IF(Geschlecht[[#This Row],[Geschlecht (Skala)]]="","",IF(ISNUMBER(XZ28),1,IF(XZ28=$A$3,$A$2,"R")))</f>
        <v/>
      </c>
      <c r="YO28" s="97" t="str">
        <f>IF(Geschlecht[[#This Row],[Geschlecht (Skala)]]="","",IF(ISNUMBER(YA28),1,IF(YA28=$A$3,$A$2,"R")))</f>
        <v/>
      </c>
      <c r="YP28" s="97" t="str">
        <f>IF(Geschlecht[[#This Row],[Geschlecht (Skala)]]="","",IF(ISNUMBER(YB28),1,IF(YB28=$A$3,$A$2,"R")))</f>
        <v/>
      </c>
      <c r="YQ28" s="97" t="str">
        <f>IFERROR(MATCH($A$2,YM28:YP28,0),"g")</f>
        <v>g</v>
      </c>
      <c r="YR28" s="97" t="str">
        <f ca="1">IF(YG28&lt;4,"R","")</f>
        <v/>
      </c>
      <c r="YS28" s="97">
        <f ca="1">IF(YQ28&amp;YR28="g",1,IF(YQ28&amp;YR28="gR",2,IF(AND(ISNUMBER(YQ28),YR28=""),3,4)))</f>
        <v>1</v>
      </c>
      <c r="YT28" s="97" t="str">
        <f ca="1">IF(OR(Geschlecht[[#This Row],[Geschlecht (Skala)]]="",NOT(ISNUMBER(YG28))),"",YS28)</f>
        <v/>
      </c>
      <c r="YU28" s="97"/>
      <c r="YV28" s="311" t="str">
        <f>$A$2</f>
        <v>D</v>
      </c>
      <c r="YW28" s="302"/>
      <c r="YX28" s="311" t="str">
        <f>$A$2</f>
        <v>D</v>
      </c>
      <c r="YY28" s="302"/>
      <c r="YZ28" s="311" t="str">
        <f>$A$2</f>
        <v>D</v>
      </c>
      <c r="ZA28" s="302"/>
      <c r="ZB28" s="311" t="str">
        <f>$A$2</f>
        <v>D</v>
      </c>
      <c r="ZC28" s="97"/>
      <c r="ZD28" s="97" t="str">
        <f t="shared" ref="ZD28:ZD57" ca="1" si="132">IFERROR(LEFT(YL28,LEN(YL28)-2),"")</f>
        <v/>
      </c>
      <c r="ZE28" s="97"/>
      <c r="ZF28" s="308" t="str">
        <f ca="1">YG28</f>
        <v>Zu wenige Werte</v>
      </c>
      <c r="ZG28" s="312"/>
      <c r="ZH28" s="313" t="s">
        <v>134</v>
      </c>
      <c r="ZJ28" s="91" t="str" cm="1">
        <f t="array" ref="ZJ28">IF(OR(Geschlecht[[#This Row],[Geschlecht (Skala)]]="",ZH28="",ZH28=Stammdaten!$BZ$5),"",REPLACE(INDEX(StdDisziplinen[TabÜberschriftNote],ZH$3),FIND("X",INDEX(StdDisziplinen[TabÜberschriftNote],ZH$3),1),1,Geschlecht[[#This Row],[Geschlecht (Skala)]]))</f>
        <v/>
      </c>
      <c r="ZK28" s="314"/>
      <c r="ZM28" s="315"/>
      <c r="ZN28" s="97" t="str">
        <f>IFERROR(IFERROR(SUBSTITUTE(SchwimmenResultatMin[[#This Row],[Min]],".",",")*1,SUBSTITUTE(SchwimmenResultatMin[[#This Row],[Min]],",",".")*1),"")</f>
        <v/>
      </c>
      <c r="ZO28" s="91" t="e">
        <f>INT(SchwimmenResultatMin[[#This Row],[Resultat]])=SchwimmenResultatMin[[#This Row],[Resultat]]</f>
        <v>#VALUE!</v>
      </c>
      <c r="ZP28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28" s="315"/>
      <c r="ZS28" s="97" t="str">
        <f>IFERROR(IFERROR(SUBSTITUTE(SchwimmenResultatSek[[#This Row],[Sek]],".",",")*1,SUBSTITUTE(SchwimmenResultatSek[[#This Row],[Sek]],",",".")*1),"")</f>
        <v/>
      </c>
      <c r="ZT28" s="108" t="e">
        <f>INT(SchwimmenResultatSek[[#This Row],[Resultat]])=SchwimmenResultatSek[[#This Row],[Resultat]]</f>
        <v>#VALUE!</v>
      </c>
      <c r="ZU28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28" s="97" t="str" cm="1">
        <f t="array" aca="1" ref="ZW28" ca="1">IF(AND(INDIRECT(ZW$2)="",INDIRECT(ZX$2)=""),"",IFERROR((INDIRECT(ZW$2)*$ZW$25)+INDIRECT(ZX$2),""))</f>
        <v/>
      </c>
      <c r="ZX28" s="91" t="str">
        <f ca="1">REPLACE(ZW$4,ZX$6,1,Geschlecht[[#This Row],[Geschlecht (Skala)]])</f>
        <v>Schwimmen_[Resultat]</v>
      </c>
      <c r="ZY28" s="91" t="str">
        <f ca="1">IFERROR(REPLACE($ZX28,FIND(Stammdaten!$V$2,$ZX28,1),LEN(Stammdaten!$V$2),Stammdaten!$BZ$9),"")</f>
        <v>Schwimmen_[Anzeige]</v>
      </c>
      <c r="ZZ28" s="97" t="str" cm="1">
        <f t="array" aca="1" ref="ZZ28" ca="1">IF(INDIRECT(ZW$3)="","",IF(INDIRECT(ZW$3)=0,0,IF(OR(INDIRECT(ZW$1)=$A$2,INDIRECT(ZW$1)=$A$3),$A$3,IFERROR(INDEX(INDIRECT(ZX28),MATCH(INDIRECT(ZW$3),INDIRECT(ZX28),ZY$25)),IFERROR(IF(ZY$25=-1,MAX(INDIRECT(ZX28)),IF(ZY$25=1,MIN(INDIRECT(ZX28)))),"")))))</f>
        <v/>
      </c>
      <c r="AAA28" s="97" t="str" cm="1">
        <f t="array" aca="1" ref="AAA28" ca="1">IF(INDIRECT(ZX$5)=0,0,IF(OR(INDIRECT(ZW$1)=$A$2,INDIRECT(ZW$1)=$A$3),$A$3,IFERROR(INDEX(INDIRECT($ZY28),MATCH(INDIRECT(ZX$5),INDIRECT($ZX28),0)),"")))</f>
        <v/>
      </c>
      <c r="AAC28" s="91" t="str">
        <f ca="1">REPLACE(ZW$6,ZX$6,1,Geschlecht[[#This Row],[Geschlecht (Skala)]])</f>
        <v>Schwimmen_[Note]</v>
      </c>
      <c r="AAD28" s="97" t="str" cm="1">
        <f t="array" aca="1" ref="AAD28" ca="1">IFERROR(INDEX(INDIRECT(AAC28),MATCH(INDIRECT(ZX$5),INDIRECT(ZX28),0)),IF(INDIRECT(ZX$5)=0,1,""))</f>
        <v/>
      </c>
      <c r="AAE28" s="97"/>
      <c r="AAF28" s="96" t="str">
        <f>ZwölfMinLaufHalleResultat[[#This Row],[Resultat]]</f>
        <v/>
      </c>
      <c r="AAG28" s="96"/>
      <c r="AAH28" s="97" t="str">
        <f ca="1">ZwölfMinLaufHalleSkalawert[[#This Row],[Skala-Wert]]</f>
        <v/>
      </c>
      <c r="AAJ28" s="97" t="str">
        <f ca="1">ZwölfMinLaufHalleNote[[#This Row],[Note]]</f>
        <v/>
      </c>
      <c r="AAK28" s="97"/>
      <c r="AAL28" s="96" t="str">
        <f>ZwölfMinLaufimFreienResultat[[#This Row],[Resultat]]</f>
        <v/>
      </c>
      <c r="AAM28" s="96"/>
      <c r="AAN28" s="97" t="str">
        <f ca="1">ZwölfMinLaufimFreienSkalawert[[#This Row],[Skala-Wert]]</f>
        <v/>
      </c>
      <c r="AAP28" s="97" t="str">
        <f ca="1">ZwölfMinLaufimFreienNote[[#This Row],[Note]]</f>
        <v/>
      </c>
      <c r="AAQ28" s="97"/>
      <c r="AAR28" s="307"/>
      <c r="AAS28" s="96" t="str">
        <f>IFERROR(IFERROR(SUBSTITUTE(BeweglichkeitResultat[[#This Row],[Eingabe]],".",",")*1,SUBSTITUTE(BeweglichkeitResultat[[#This Row],[Eingabe]],",",".")*1),"")</f>
        <v/>
      </c>
      <c r="AAT28" s="96" t="e">
        <f>INT(BeweglichkeitResultat[[#This Row],[Resultat]])=BeweglichkeitResultat[[#This Row],[Resultat]]</f>
        <v>#VALUE!</v>
      </c>
      <c r="AAU28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28" s="96"/>
      <c r="AAW28" s="91" t="str" cm="1">
        <f t="array" aca="1" ref="AAW28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28" s="96" t="str">
        <f ca="1">REPLACE(AAW$4,AAX$6,1,Geschlecht[[#This Row],[Geschlecht (Skala)]])</f>
        <v>Beweglichkeit_[Resultat]</v>
      </c>
      <c r="AAY28" s="97" t="str" cm="1">
        <f t="array" aca="1" ref="AAY28" ca="1">IF(OR(INDIRECT(AAW$1)=$A$2,INDIRECT(AAW$1)=$A$3),$A$3,IF(OR(INDIRECT(AAW$2)="",AND(Geschlecht[[#This Row],[Geschlecht (Skala)]]=Stammdaten!$D$7,INDIRECT(AAW$2)&lt;0)),"",IFERROR(INDEX(INDIRECT(AAX28),MATCH(INDIRECT(AAW$3),INDIRECT(AAX28),AAX$25)),IFERROR(IF(AAX$25=-1,MAX(INDIRECT(AAX28)),IF(AAX$25=1,MIN(INDIRECT(AAX28)))),""))))</f>
        <v/>
      </c>
      <c r="AAZ28" s="97" t="str" cm="1">
        <f t="array" aca="1" ref="AAZ28" ca="1">IF(INDIRECT(AAW$1)="","",IF(INDIRECT(AAW$1)=0,0,IF(OR(INDIRECT(AAW$1)=$A$2,INDIRECT(AAW$1)=$A$3),$A$3,IFERROR(INDEX(INDIRECT(AAY28),MATCH(INDIRECT(AAW$3),INDIRECT(AAY28),AAY$27)),IFERROR(IF(AAY$27=-1,MAX(INDIRECT(AAY28)),IF(AAY$27=1,MIN(INDIRECT(AAY28)))),"")))))</f>
        <v/>
      </c>
      <c r="ABA28" s="96" t="str">
        <f ca="1">REPLACE(AAW$6,AAX$6,1,Geschlecht[[#This Row],[Geschlecht (Skala)]])</f>
        <v>Beweglichkeit_[Note]</v>
      </c>
      <c r="ABB28" s="97" t="str" cm="1">
        <f t="array" aca="1" ref="ABB28" ca="1">IFERROR(INDEX(INDIRECT(ABA28),MATCH(INDIRECT(AAW$5),INDIRECT(AAX28),0)),"")</f>
        <v/>
      </c>
      <c r="ABC28" s="97" t="str" cm="1">
        <f t="array" aca="1" ref="ABC28" ca="1">IFERROR(INDEX(INDIRECT(ABB28),MATCH(INDIRECT(AAW$5),INDIRECT(AAY28),0)),"")</f>
        <v/>
      </c>
      <c r="ABD28" s="307"/>
      <c r="ABE28" s="96" t="str">
        <f>IFERROR(IFERROR(SUBSTITUTE(RumpfkraftResultat[[#This Row],[Eingabe]],".",",")*1,SUBSTITUTE(RumpfkraftResultat[[#This Row],[Eingabe]],",",".")*1),"")</f>
        <v/>
      </c>
      <c r="ABF28" s="96" t="e">
        <f>INT(RumpfkraftResultat[[#This Row],[Resultat]])=RumpfkraftResultat[[#This Row],[Resultat]]</f>
        <v>#VALUE!</v>
      </c>
      <c r="ABG28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28" s="96"/>
      <c r="ABI28" s="91" t="str" cm="1">
        <f t="array" aca="1" ref="ABI28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28" s="96" t="str">
        <f ca="1">REPLACE(ABI$4,ABJ$6,1,Geschlecht[[#This Row],[Geschlecht (Skala)]])</f>
        <v>Rumpfkraft_[Resultat]</v>
      </c>
      <c r="ABK28" s="97" t="str" cm="1">
        <f t="array" aca="1" ref="ABK28" ca="1">IF(INDIRECT(ABI$1)="","",IF(OR(INDIRECT(ABI$1)=$A$2,INDIRECT(ABI$1)=$A$3),$A$3,IFERROR(INDEX(INDIRECT(ABJ28),MATCH(INDIRECT(ABI$3),INDIRECT(ABJ28),ABJ$25)),IFERROR(IF(ABJ$25=-1,MAX(INDIRECT(ABJ28)),IF(ABJ$25=1,MIN(INDIRECT(ABJ28)))),""))))</f>
        <v/>
      </c>
      <c r="ABM28" s="91" t="str">
        <f ca="1">REPLACE(ABI$6,ABJ$6,1,Geschlecht[[#This Row],[Geschlecht (Skala)]])</f>
        <v>Rumpfkraft_[Note]</v>
      </c>
      <c r="ABN28" s="97" t="str" cm="1">
        <f t="array" aca="1" ref="ABN28" ca="1">IFERROR(INDEX(INDIRECT(ABM28),MATCH(INDIRECT(ABI$5),INDIRECT(ABJ28),0)),"")</f>
        <v/>
      </c>
      <c r="ABO28" s="97"/>
      <c r="ABP28" s="96" t="str">
        <f>SechzigmLaufResultat[[#This Row],[Resultat]]</f>
        <v/>
      </c>
      <c r="ABQ28" s="96"/>
      <c r="ABR28" s="97" t="str">
        <f ca="1">SechzigmLaufSkalawert[[#This Row],[Skala-Wert]]</f>
        <v/>
      </c>
      <c r="ABT28" s="97" t="str">
        <f ca="1">SechzigmLaufNote[[#This Row],[Note]]</f>
        <v/>
      </c>
      <c r="ABU28" s="97"/>
      <c r="ABV28" s="96" t="str">
        <f>AchtzigmLaufResultat[[#This Row],[Resultat]]</f>
        <v/>
      </c>
      <c r="ABW28" s="96"/>
      <c r="ABX28" s="97" t="str">
        <f ca="1">AchtzigmLaufSkalawert[[#This Row],[Skala-Wert]]</f>
        <v/>
      </c>
      <c r="ABZ28" s="97" t="str">
        <f ca="1">AchtzigmLaufNote[[#This Row],[Note]]</f>
        <v/>
      </c>
      <c r="ACA28" s="97"/>
      <c r="ACB28" s="307"/>
      <c r="ACC28" s="96" t="str">
        <f>IFERROR(IFERROR(SUBSTITUTE(KonditionsparcoursResultat[[#This Row],[Eingabe]],".",",")*1,SUBSTITUTE(KonditionsparcoursResultat[[#This Row],[Eingabe]],",",".")*1),"")</f>
        <v/>
      </c>
      <c r="ACD28" s="96" t="e">
        <f>INT(KonditionsparcoursResultat[[#This Row],[Resultat]])=KonditionsparcoursResultat[[#This Row],[Resultat]]</f>
        <v>#VALUE!</v>
      </c>
      <c r="ACE28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28" s="96"/>
      <c r="ACG28" s="91" t="str" cm="1">
        <f t="array" aca="1" ref="ACG28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28" s="96" t="str">
        <f ca="1">LEFT(Geschlecht[[#This Row],[Geschlecht (Skala)]],1)&amp;ACM$4</f>
        <v>2</v>
      </c>
      <c r="ACI28" s="96" t="str">
        <f t="shared" ref="ACI28:ACI57" ca="1" si="133">REPLACE(ACG$4,ACH$6,1,ACH28)</f>
        <v>Konditionsparcours_2[Resultat]</v>
      </c>
      <c r="ACJ28" s="97" t="str" cm="1">
        <f t="array" aca="1" ref="ACJ28" ca="1">IF(INDIRECT(ACG$1)="","",IF(OR(INDIRECT(ACG$1)=$A$2,INDIRECT(ACG$1)=$A$3),$A$3,IFERROR(INDEX(INDIRECT(ACI28),MATCH(INDIRECT(ACG$3),INDIRECT(ACI28),ACI$25)),IFERROR(IF(ACI$25=-1,MAX(INDIRECT(ACI28)),IF(ACI$25=1,MIN(INDIRECT(ACI28)))),""))))</f>
        <v/>
      </c>
      <c r="ACL28" s="91" t="str">
        <f t="shared" ref="ACL28:ACL57" ca="1" si="134">REPLACE(ACG$6,ACH$6,1,ACH28)</f>
        <v>Konditionsparcours_2[Note]</v>
      </c>
      <c r="ACM28" s="97" t="str" cm="1">
        <f t="array" aca="1" ref="ACM28" ca="1">IFERROR(INDEX(INDIRECT(ACL28),MATCH(INDIRECT(ACG$5),INDIRECT(ACI28),0)),"")</f>
        <v/>
      </c>
      <c r="ACN28" s="102"/>
    </row>
    <row r="29" spans="1:768">
      <c r="A29" s="305">
        <v>2</v>
      </c>
      <c r="B29" s="133"/>
      <c r="C29" s="133"/>
      <c r="E29" s="306"/>
      <c r="G29" s="307"/>
      <c r="H29" s="96" t="str">
        <f>IFERROR(IFERROR(SUBSTITUTE(SechzigmLaufResultat[[#This Row],[Eingabe]],".",",")*1,SUBSTITUTE(SechzigmLaufResultat[[#This Row],[Eingabe]],",",".")*1),"")</f>
        <v/>
      </c>
      <c r="I29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29" s="96"/>
      <c r="K29" s="91" t="str" cm="1">
        <f t="array" aca="1" ref="K29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29" s="96" t="str">
        <f ca="1">LEFT(Geschlecht[[#This Row],[Geschlecht (Skala)]],1)&amp;Q$4</f>
        <v>2</v>
      </c>
      <c r="M29" s="96" t="str">
        <f t="shared" ca="1" si="37"/>
        <v>SechzigmLauf_2[Resultat]</v>
      </c>
      <c r="N29" s="97" t="str" cm="1">
        <f t="array" aca="1" ref="N29" ca="1">IF(INDIRECT(K$1)="","",IF(INDIRECT(K$2)=0,0,IF(OR(INDIRECT(K$1)=$A$2,INDIRECT(K$1)=$A$3),$A$3,IFERROR(INDEX(INDIRECT(M29),MATCH(INDIRECT(K$3),INDIRECT(M29),M$25)),IFERROR(IF(M$25=-1,MAX(INDIRECT(M29)),IF(M$25=1,MIN(INDIRECT(M29)))),"")))))</f>
        <v/>
      </c>
      <c r="P29" s="91" t="str">
        <f t="shared" ca="1" si="38"/>
        <v>SechzigmLauf_2[Note]</v>
      </c>
      <c r="Q29" s="97" t="str" cm="1">
        <f t="array" aca="1" ref="Q29" ca="1">IFERROR(INDEX(INDIRECT(P29),MATCH(INDIRECT(K$5),INDIRECT(M29),0)),IF(INDIRECT(K$5)=0,1,""))</f>
        <v/>
      </c>
      <c r="R29" s="97"/>
      <c r="S29" s="307"/>
      <c r="T29" s="96" t="str">
        <f>IFERROR(IFERROR(SUBSTITUTE(AchtzigmLaufResultat[[#This Row],[Eingabe]],".",",")*1,SUBSTITUTE(AchtzigmLaufResultat[[#This Row],[Eingabe]],",",".")*1),"")</f>
        <v/>
      </c>
      <c r="U29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29" s="96"/>
      <c r="W29" s="91" t="str" cm="1">
        <f t="array" aca="1" ref="W29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29" s="96" t="str">
        <f ca="1">LEFT(Geschlecht[[#This Row],[Geschlecht (Skala)]],1)&amp;AC$4</f>
        <v>2</v>
      </c>
      <c r="Y29" s="96" t="str">
        <f t="shared" ca="1" si="39"/>
        <v>AchtzigmLauf_2[Resultat]</v>
      </c>
      <c r="Z29" s="97" t="str" cm="1">
        <f t="array" aca="1" ref="Z29" ca="1">IF(INDIRECT(W$1)="","",IF(INDIRECT(W$2)=0,0,IF(OR(INDIRECT(W$1)=$A$2,INDIRECT(W$1)=$A$3),$A$3,IFERROR(INDEX(INDIRECT(Y29),MATCH(INDIRECT(W$3),INDIRECT(Y29),Y$25)),IFERROR(IF(Y$25=-1,MAX(INDIRECT(Y29)),IF(Y$25=1,MIN(INDIRECT(Y29)))),"")))))</f>
        <v/>
      </c>
      <c r="AB29" s="91" t="str">
        <f t="shared" ca="1" si="40"/>
        <v>AchtzigmLauf_2[Note]</v>
      </c>
      <c r="AC29" s="97" t="str" cm="1">
        <f t="array" aca="1" ref="AC29" ca="1">IFERROR(INDEX(INDIRECT(AB29),MATCH(INDIRECT(W$5),INDIRECT(Y29),0)),IF(INDIRECT(W$5)=0,1,""))</f>
        <v/>
      </c>
      <c r="AD29" s="97"/>
      <c r="AE29" s="307"/>
      <c r="AF29" s="96" t="str">
        <f>IFERROR(IFERROR(SUBSTITUTE(ZwölfMinLaufHalleResultat[[#This Row],[Eingabe]],".",",")*1,SUBSTITUTE(ZwölfMinLaufHalleResultat[[#This Row],[Eingabe]],",",".")*1),"")</f>
        <v/>
      </c>
      <c r="AG29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29" s="96"/>
      <c r="AI29" s="91" t="str" cm="1">
        <f t="array" aca="1" ref="AI29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29" s="96" t="str">
        <f ca="1">LEFT(Geschlecht[[#This Row],[Geschlecht (Skala)]],1)&amp;AO$4</f>
        <v>2</v>
      </c>
      <c r="AK29" s="96" t="str">
        <f t="shared" ca="1" si="41"/>
        <v>ZwölfMinLaufHalle_2[Resultat]</v>
      </c>
      <c r="AL29" s="97" t="str" cm="1">
        <f t="array" aca="1" ref="AL29" ca="1">IF(INDIRECT(AI$1)="","",IF(INDIRECT(AI$2)=0,0,IF(OR(INDIRECT(AI$1)=$A$2,INDIRECT(AI$1)=$A$3),$A$3,IFERROR(INDEX(INDIRECT(AK29),MATCH(INDIRECT(AI$3),INDIRECT(AK29),AK$25)),IFERROR(IF(AK$25=-1,MAX(INDIRECT(AK29)),IF(AK$25=1,MIN(INDIRECT(AK29)))),"")))))</f>
        <v/>
      </c>
      <c r="AN29" s="91" t="str">
        <f t="shared" ca="1" si="42"/>
        <v>ZwölfMinLaufHalle_2[Note]</v>
      </c>
      <c r="AO29" s="97" t="str" cm="1">
        <f t="array" aca="1" ref="AO29" ca="1">IFERROR(INDEX(INDIRECT(AN29),MATCH(INDIRECT(AI$5),INDIRECT(AK29),0)),IF(INDIRECT(AI$5)=0,1,""))</f>
        <v/>
      </c>
      <c r="AP29" s="97"/>
      <c r="AQ29" s="307"/>
      <c r="AR29" s="96" t="str">
        <f>IFERROR(IFERROR(SUBSTITUTE(ZwölfMinLaufimFreienResultat[[#This Row],[Eingabe]],".",",")*1,SUBSTITUTE(ZwölfMinLaufimFreienResultat[[#This Row],[Eingabe]],",",".")*1),"")</f>
        <v/>
      </c>
      <c r="AS29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29" s="96"/>
      <c r="AU29" s="91" t="str" cm="1">
        <f t="array" aca="1" ref="AU29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29" s="96" t="str">
        <f ca="1">LEFT(Geschlecht[[#This Row],[Geschlecht (Skala)]],1)&amp;BA$4</f>
        <v>2</v>
      </c>
      <c r="AW29" s="96" t="str">
        <f t="shared" ca="1" si="43"/>
        <v>ZwölfMinLaufimFreien_2[Resultat]</v>
      </c>
      <c r="AX29" s="97" t="str" cm="1">
        <f t="array" aca="1" ref="AX29" ca="1">IF(INDIRECT(AU$1)="","",IF(INDIRECT(AU$2)=0,0,IF(OR(INDIRECT(AU$1)=$A$2,INDIRECT(AU$1)=$A$3),$A$3,IFERROR(INDEX(INDIRECT(AW29),MATCH(INDIRECT(AU$3),INDIRECT(AW29),AW$25)),IFERROR(IF(AW$25=-1,MAX(INDIRECT(AW29)),IF(AW$25=1,MIN(INDIRECT(AW29)))),"")))))</f>
        <v/>
      </c>
      <c r="AZ29" s="91" t="str">
        <f t="shared" ca="1" si="44"/>
        <v>ZwölfMinLaufimFreien_2[Note]</v>
      </c>
      <c r="BA29" s="97" t="str" cm="1">
        <f t="array" aca="1" ref="BA29" ca="1">IFERROR(INDEX(INDIRECT(AZ29),MATCH(INDIRECT(AU$5),INDIRECT(AW29),0)),IF(INDIRECT(AU$5)=0,1,""))</f>
        <v/>
      </c>
      <c r="BB29" s="97"/>
      <c r="BC29" s="307"/>
      <c r="BD29" s="96" t="str">
        <f>IFERROR(IFERROR(SUBSTITUTE(HochsprungResultat[[#This Row],[Eingabe]],".",",")*1,SUBSTITUTE(HochsprungResultat[[#This Row],[Eingabe]],",",".")*1),"")</f>
        <v/>
      </c>
      <c r="BE29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29" s="96"/>
      <c r="BG29" s="91" t="str" cm="1">
        <f t="array" aca="1" ref="BG29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29" s="96" t="str">
        <f ca="1">LEFT(Geschlecht[[#This Row],[Geschlecht (Skala)]],1)&amp;BM$4</f>
        <v>2</v>
      </c>
      <c r="BI29" s="96" t="str">
        <f t="shared" ca="1" si="45"/>
        <v>Hochsprung_2[Resultat]</v>
      </c>
      <c r="BJ29" s="97" t="str" cm="1">
        <f t="array" aca="1" ref="BJ29" ca="1">IF(INDIRECT(BG$1)="","",IF(INDIRECT(BG$2)=0,0,IF(OR(INDIRECT(BG$1)=$A$2,INDIRECT(BG$1)=$A$3),$A$3,IFERROR(INDEX(INDIRECT(BI29),MATCH(INDIRECT(BG$3),INDIRECT(BI29),BI$25)),IFERROR(IF(BI$25=-1,MAX(INDIRECT(BI29)),IF(BI$25=1,MIN(INDIRECT(BI29)))),"")))))</f>
        <v/>
      </c>
      <c r="BL29" s="91" t="str">
        <f t="shared" ca="1" si="46"/>
        <v>Hochsprung_2[Note]</v>
      </c>
      <c r="BM29" s="97" t="str" cm="1">
        <f t="array" aca="1" ref="BM29" ca="1">IFERROR(INDEX(INDIRECT(BL29),MATCH(INDIRECT(BG$5),INDIRECT(BI29),0)),IF(INDIRECT(BG$5)=0,1,""))</f>
        <v/>
      </c>
      <c r="BN29" s="97"/>
      <c r="BO29" s="307"/>
      <c r="BP29" s="96" t="str">
        <f>IFERROR(IFERROR(SUBSTITUTE(WeitsprungResultat[[#This Row],[Eingabe]],".",",")*1,SUBSTITUTE(WeitsprungResultat[[#This Row],[Eingabe]],",",".")*1),"")</f>
        <v/>
      </c>
      <c r="BQ29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29" s="96"/>
      <c r="BS29" s="91" t="str" cm="1">
        <f t="array" aca="1" ref="BS29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29" s="96" t="str">
        <f ca="1">LEFT(Geschlecht[[#This Row],[Geschlecht (Skala)]],1)&amp;BY$4</f>
        <v>2</v>
      </c>
      <c r="BU29" s="96" t="str">
        <f t="shared" ca="1" si="47"/>
        <v>Weitsprung_2[Resultat]</v>
      </c>
      <c r="BV29" s="97" t="str" cm="1">
        <f t="array" aca="1" ref="BV29" ca="1">IF(INDIRECT(BS$1)="","",IF(INDIRECT(BS$2)=0,0,IF(OR(INDIRECT(BS$1)=$A$2,INDIRECT(BS$1)=$A$3),$A$3,IFERROR(INDEX(INDIRECT(BU29),MATCH(INDIRECT(BS$3),INDIRECT(BU29),BU$25)),IFERROR(IF(BU$25=-1,MAX(INDIRECT(BU29)),IF(BU$25=1,MIN(INDIRECT(BU29)))),"")))))</f>
        <v/>
      </c>
      <c r="BX29" s="91" t="str">
        <f t="shared" ca="1" si="48"/>
        <v>Weitsprung_2[Note]</v>
      </c>
      <c r="BY29" s="97" t="str" cm="1">
        <f t="array" aca="1" ref="BY29" ca="1">IFERROR(INDEX(INDIRECT(BX29),MATCH(INDIRECT(BS$5),INDIRECT(BU29),0)),IF(INDIRECT(BS$5)=0,1,""))</f>
        <v/>
      </c>
      <c r="BZ29" s="97"/>
      <c r="CA29" s="307"/>
      <c r="CB29" s="96" t="str">
        <f>IFERROR(IFERROR(SUBSTITUTE(BallwurfResultat[[#This Row],[Eingabe]],".",",")*1,SUBSTITUTE(BallwurfResultat[[#This Row],[Eingabe]],",",".")*1),"")</f>
        <v/>
      </c>
      <c r="CC29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29" s="96"/>
      <c r="CE29" s="91" t="str" cm="1">
        <f t="array" aca="1" ref="CE29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29" s="96" t="str">
        <f ca="1">LEFT(Geschlecht[[#This Row],[Geschlecht (Skala)]],1)&amp;CK$4</f>
        <v>2</v>
      </c>
      <c r="CG29" s="96" t="str">
        <f t="shared" ca="1" si="49"/>
        <v>Ballwurf_2[Resultat]</v>
      </c>
      <c r="CH29" s="97" t="str" cm="1">
        <f t="array" aca="1" ref="CH29" ca="1">IF(INDIRECT(CE$1)="","",IF(INDIRECT(CE$2)=0,0,IF(OR(INDIRECT(CE$1)=$A$2,INDIRECT(CE$1)=$A$3),$A$3,IFERROR(INDEX(INDIRECT(CG29),MATCH(INDIRECT(CE$3),INDIRECT(CG29),CG$25)),IFERROR(IF(CG$25=-1,MAX(INDIRECT(CG29)),IF(CG$25=1,MIN(INDIRECT(CG29)))),"")))))</f>
        <v/>
      </c>
      <c r="CJ29" s="91" t="str">
        <f t="shared" ca="1" si="50"/>
        <v>Ballwurf_2[Note]</v>
      </c>
      <c r="CK29" s="97" t="str" cm="1">
        <f t="array" aca="1" ref="CK29" ca="1">IFERROR(INDEX(INDIRECT(CJ29),MATCH(INDIRECT(CE$5),INDIRECT(CG29),0)),IF(INDIRECT(CE$5)=0,1,""))</f>
        <v/>
      </c>
      <c r="CL29" s="97"/>
      <c r="CM29" s="307"/>
      <c r="CN29" s="96" t="str">
        <f>IFERROR(IFERROR(SUBSTITUTE(KugelstossenResultat[[#This Row],[Eingabe]],".",",")*1,SUBSTITUTE(KugelstossenResultat[[#This Row],[Eingabe]],",",".")*1),"")</f>
        <v/>
      </c>
      <c r="CO29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29" s="96"/>
      <c r="CQ29" s="91" t="str" cm="1">
        <f t="array" aca="1" ref="CQ29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29" s="96" t="str">
        <f ca="1">LEFT(Geschlecht[[#This Row],[Geschlecht (Skala)]],1)&amp;CW$4</f>
        <v>2</v>
      </c>
      <c r="CS29" s="96" t="str">
        <f t="shared" ca="1" si="51"/>
        <v>Kugelstossen_2[Resultat]</v>
      </c>
      <c r="CT29" s="97" t="str" cm="1">
        <f t="array" aca="1" ref="CT29" ca="1">IF(INDIRECT(CQ$1)="","",IF(INDIRECT(CQ$2)=0,0,IF(OR(INDIRECT(CQ$1)=$A$2,INDIRECT(CQ$1)=$A$3),$A$3,IFERROR(INDEX(INDIRECT(CS29),MATCH(INDIRECT(CQ$3),INDIRECT(CS29),CS$25)),IFERROR(IF(CS$25=-1,MAX(INDIRECT(CS29)),IF(CS$25=1,MIN(INDIRECT(CS29)))),"")))))</f>
        <v/>
      </c>
      <c r="CV29" s="91" t="str">
        <f t="shared" ca="1" si="52"/>
        <v>Kugelstossen_2[Note]</v>
      </c>
      <c r="CW29" s="97" t="str" cm="1">
        <f t="array" aca="1" ref="CW29" ca="1">IFERROR(INDEX(INDIRECT(CV29),MATCH(INDIRECT(CQ$5),INDIRECT(CS29),0)),IF(INDIRECT(CQ$5)=0,1,""))</f>
        <v/>
      </c>
      <c r="CX29" s="97"/>
      <c r="CY29" s="307"/>
      <c r="CZ29" s="96" t="str">
        <f>IFERROR(IFERROR(SUBSTITUTE(SpeerwurfResultat[[#This Row],[Eingabe]],".",",")*1,SUBSTITUTE(SpeerwurfResultat[[#This Row],[Eingabe]],",",".")*1),"")</f>
        <v/>
      </c>
      <c r="DA29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29" s="96"/>
      <c r="DC29" s="91" t="str" cm="1">
        <f t="array" aca="1" ref="DC29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29" s="96" t="str">
        <f ca="1">LEFT(Geschlecht[[#This Row],[Geschlecht (Skala)]],1)&amp;DI$4</f>
        <v>2</v>
      </c>
      <c r="DE29" s="96" t="str">
        <f t="shared" ca="1" si="53"/>
        <v>Speerwurf_2[Resultat]</v>
      </c>
      <c r="DF29" s="97" t="str" cm="1">
        <f t="array" aca="1" ref="DF29" ca="1">IF(INDIRECT(DC$1)="","",IF(INDIRECT(DC$2)=0,0,IF(OR(INDIRECT(DC$1)=$A$2,INDIRECT(DC$1)=$A$3),$A$3,IFERROR(INDEX(INDIRECT(DE29),MATCH(INDIRECT(DC$3),INDIRECT(DE29),DE$25)),IFERROR(IF(DE$25=-1,MAX(INDIRECT(DE29)),IF(DE$25=1,MIN(INDIRECT(DE29)))),"")))))</f>
        <v/>
      </c>
      <c r="DH29" s="91" t="str">
        <f t="shared" ca="1" si="54"/>
        <v>Speerwurf_2[Note]</v>
      </c>
      <c r="DI29" s="97" t="str" cm="1">
        <f t="array" aca="1" ref="DI29" ca="1">IFERROR(INDEX(INDIRECT(DH29),MATCH(INDIRECT(DC$5),INDIRECT(DE29),0)),IF(INDIRECT(DC$5)=0,1,""))</f>
        <v/>
      </c>
      <c r="DJ29" s="97"/>
      <c r="DK29" s="97" t="str" cm="1">
        <f t="array" aca="1" ref="DK29" ca="1">INDIRECT(DK$5)</f>
        <v/>
      </c>
      <c r="DL29" s="97" t="str" cm="1">
        <f t="array" aca="1" ref="DL29" ca="1">INDIRECT(DL$5)</f>
        <v/>
      </c>
      <c r="DM29" s="97" t="str" cm="1">
        <f t="array" aca="1" ref="DM29" ca="1">INDIRECT(DM$5)</f>
        <v/>
      </c>
      <c r="DN29" s="97" t="str" cm="1">
        <f t="array" aca="1" ref="DN29" ca="1">INDIRECT(DN$5)</f>
        <v/>
      </c>
      <c r="DO29" s="97" t="str">
        <f t="shared" ref="DO29:DO57" ca="1" si="135">IF(DS29="",DO$4,IF(AND(DQ29=0,DR29&gt;=DS$25),DO$5,MAX(DM29:DN29)))</f>
        <v>Sprintdisziplinen nicht durchgeführt</v>
      </c>
      <c r="DP29" s="97" t="str">
        <f t="shared" ref="DP29:DP57" ca="1" si="136">IF(DS29=$A$2,$A$2,"")</f>
        <v/>
      </c>
      <c r="DQ29" s="108">
        <f t="shared" ref="DQ29:DQ57" ca="1" si="137">COUNT(DM29:DN29)</f>
        <v>0</v>
      </c>
      <c r="DR29" s="108">
        <f t="shared" ref="DR29:DR57" ca="1" si="138">COUNTIF(DK29:DL29,$A$3)</f>
        <v>0</v>
      </c>
      <c r="DS29" s="108" t="str">
        <f t="shared" ref="DS29:DS57" ca="1" si="139">IF(SUM(DQ29:DR29)&lt;DS$25,"",IF(AND(DQ29=0,DR29&gt;=DS$25),$A$2,IF(DQ29&gt;=DS$25,DS$25,DQ29)))</f>
        <v/>
      </c>
      <c r="DT29" s="97" t="str">
        <f t="shared" ref="DT29:DT57" ca="1" si="140">IFERROR(IF(AND(DO29=1,NOT(ISERROR(MATCH($A$3,DK29:DL29,0)))),INDEX(DK$20:DL$20,MATCH($A$3,DK29:DL29,0)),INDEX(DM$20:DN$20,MATCH(DO29,DM29:DN29,0))),DO29)</f>
        <v>Sprintdisziplinen nicht durchgeführt</v>
      </c>
      <c r="DU29" s="97" t="str">
        <f t="shared" ref="DU29:DU57" ca="1" si="141">IFERROR(INDEX(INDIRECT(DU$5),MATCH(DT29,INDIRECT(DU$4),0)),"")</f>
        <v/>
      </c>
      <c r="DV29" s="97" t="str" cm="1">
        <f t="array" aca="1" ref="DV29" ca="1">IFERROR(IF(INDIRECT(INDEX(INDIRECT(DV$5),MATCH(DT29,INDIRECT(DV$4),0)))&lt;&gt;"",INDEX(INDIRECT(DV$5),MATCH(DT29,INDIRECT(DV$4),0)),INDEX(INDIRECT(DV$6),MATCH(DT29,INDIRECT(DV$4),0))),"")</f>
        <v/>
      </c>
      <c r="DW29" s="97" t="str">
        <f t="shared" ref="DW29:DW57" ca="1" si="142">IFERROR(INDEX(INDIRECT(DW$5),MATCH(DT29,INDIRECT(DW$4),0)),"")</f>
        <v/>
      </c>
      <c r="DX29" s="97" t="str" cm="1">
        <f t="array" aca="1" ref="DX29" ca="1">IFERROR(INDIRECT(DV29),IF(NOT(ISERROR(FIND(Stammdaten!$CC$3,DT29,1))),$A$2,""))</f>
        <v/>
      </c>
      <c r="DY29" s="97" t="str">
        <f ca="1">IF(DX29="","",IF(AND(DU29=Stammdaten!$BX$20,DW29="0",DX29=1),SUBSTITUTE(TEXT(DX29,DW29)&amp;" "&amp;LEFT(DU29,LEN(DU29)-1),".",","),SUBSTITUTE(TEXT(DX29,DW29)&amp;" "&amp;DU29,".",",")))</f>
        <v/>
      </c>
      <c r="DZ29" s="97" t="str">
        <f t="shared" ca="1" si="55"/>
        <v/>
      </c>
      <c r="EA29" s="97" t="str" cm="1">
        <f t="array" aca="1" ref="EA29" ca="1">IFERROR(LEFT(INDIRECT(DZ29),1)&amp;"]","")</f>
        <v/>
      </c>
      <c r="EB29" s="97" t="str">
        <f t="shared" ca="1" si="56"/>
        <v/>
      </c>
      <c r="EC29" s="97" t="str">
        <f ca="1">IFERROR(LEFT(DT29,FIND(Stammdaten!$CA$4,DT29,1)-2),IFERROR(LEFT(DT29,FIND(Stammdaten!$CC$3,DT29,1)-2),DT29))</f>
        <v>Sprintdisziplinen</v>
      </c>
      <c r="ED29" s="97" t="str">
        <f ca="1">IF(NOT(ISERROR(FIND(Stammdaten!$CA$4,DT29,1))),Stammdaten!$CA$4,IF(EE29&lt;&gt;Stammdaten!$CC$3,EB29,""))</f>
        <v>nicht durchgeführt</v>
      </c>
      <c r="EE29" s="91" t="str">
        <f ca="1">IF(DX29=$A$2,Stammdaten!$CC$3,DY29)</f>
        <v/>
      </c>
      <c r="EF29" s="97" t="str" cm="1">
        <f t="array" aca="1" ref="EF29" ca="1">INDIRECT(EF$5)</f>
        <v/>
      </c>
      <c r="EG29" s="97" t="str" cm="1">
        <f t="array" aca="1" ref="EG29" ca="1">INDIRECT(EG$5)</f>
        <v/>
      </c>
      <c r="EH29" s="97" t="str" cm="1">
        <f t="array" aca="1" ref="EH29" ca="1">INDIRECT(EH$5)</f>
        <v/>
      </c>
      <c r="EI29" s="97" t="str" cm="1">
        <f t="array" aca="1" ref="EI29" ca="1">INDIRECT(EI$5)</f>
        <v/>
      </c>
      <c r="EJ29" s="97" t="str">
        <f t="shared" ref="EJ29:EJ57" ca="1" si="143">IF(EN29="",EJ$4,IF(AND(EL29=0,EM29&gt;=EN$25),EJ$5,MAX(EH29:EI29)))</f>
        <v>Ausdauerdisziplinen nicht durchgeführt</v>
      </c>
      <c r="EK29" s="97" t="str">
        <f t="shared" ref="EK29:EK57" ca="1" si="144">IF(EN29=$A$2,$A$2,"")</f>
        <v/>
      </c>
      <c r="EL29" s="108">
        <f t="shared" ref="EL29:EL57" ca="1" si="145">COUNT(EH29:EI29)</f>
        <v>0</v>
      </c>
      <c r="EM29" s="108">
        <f t="shared" ref="EM29:EM57" ca="1" si="146">COUNTIF(EF29:EG29,$A$3)</f>
        <v>0</v>
      </c>
      <c r="EN29" s="108" t="str">
        <f t="shared" ref="EN29:EN57" ca="1" si="147">IF(SUM(EL29:EM29)&lt;EN$25,"",IF(AND(EL29=0,EM29&gt;=EN$25),$A$2,IF(EL29&gt;=EN$25,EN$25,EL29)))</f>
        <v/>
      </c>
      <c r="EO29" s="97" t="str">
        <f t="shared" ref="EO29:EO57" ca="1" si="148">IFERROR(IF(AND(EJ29=1,NOT(ISERROR(MATCH($A$3,EF29:EG29,0)))),INDEX(EF$20:EG$20,MATCH($A$3,EF29:EG29,0)),INDEX(EH$20:EI$20,MATCH(EJ29,EH29:EI29,0))),EJ29)</f>
        <v>Ausdauerdisziplinen nicht durchgeführt</v>
      </c>
      <c r="EP29" s="97" t="str">
        <f t="shared" ref="EP29:EP57" ca="1" si="149">IFERROR(INDEX(INDIRECT(EP$5),MATCH(EO29,INDIRECT(EP$4),0)),"")</f>
        <v/>
      </c>
      <c r="EQ29" s="97" t="str" cm="1">
        <f t="array" aca="1" ref="EQ29" ca="1">IFERROR(IF(INDIRECT(INDEX(INDIRECT(EQ$5),MATCH(EO29,INDIRECT(EQ$4),0)))&lt;&gt;"",INDEX(INDIRECT(EQ$5),MATCH(EO29,INDIRECT(EQ$4),0)),INDEX(INDIRECT(EQ$6),MATCH(EO29,INDIRECT(EQ$4),0))),"")</f>
        <v/>
      </c>
      <c r="ER29" s="97" t="str">
        <f t="shared" ref="ER29:ER57" ca="1" si="150">IFERROR(INDEX(INDIRECT(ER$5),MATCH(EO29,INDIRECT(ER$4),0)),"")</f>
        <v/>
      </c>
      <c r="ES29" s="97" t="str" cm="1">
        <f t="array" aca="1" ref="ES29" ca="1">IFERROR(INDIRECT(EQ29),IF(NOT(ISERROR(FIND(Stammdaten!$CC$3,EO29,1))),$A$2,""))</f>
        <v/>
      </c>
      <c r="ET29" s="97" t="str">
        <f ca="1">IF(ES29="","",IF(AND(EP29=Stammdaten!$BX$20,ER29="0",ES29=1),SUBSTITUTE(TEXT(ES29,ER29)&amp;" "&amp;LEFT(EP29,LEN(EP29)-1),".",","),SUBSTITUTE(TEXT(ES29,ER29)&amp;" "&amp;EP29,".",",")))</f>
        <v/>
      </c>
      <c r="EU29" s="97" t="str">
        <f t="shared" ca="1" si="57"/>
        <v/>
      </c>
      <c r="EV29" s="97" t="str" cm="1">
        <f t="array" aca="1" ref="EV29" ca="1">IFERROR(LEFT(INDIRECT(EU29),1)&amp;"]","")</f>
        <v/>
      </c>
      <c r="EW29" s="97" t="str">
        <f t="shared" ca="1" si="58"/>
        <v/>
      </c>
      <c r="EX29" s="97" t="str">
        <f ca="1">IFERROR(LEFT(EO29,FIND(Stammdaten!$CA$4,EO29,1)-2),IFERROR(LEFT(EO29,FIND(Stammdaten!$CC$3,EO29,1)-2),EO29))</f>
        <v>Ausdauerdisziplinen</v>
      </c>
      <c r="EY29" s="97" t="str">
        <f ca="1">IF(NOT(ISERROR(FIND(Stammdaten!$CA$4,EO29,1))),Stammdaten!$CA$4,IF(EZ29&lt;&gt;Stammdaten!$CC$3,EW29,""))</f>
        <v>nicht durchgeführt</v>
      </c>
      <c r="EZ29" s="91" t="str">
        <f ca="1">IF(ES29=$A$2,Stammdaten!$CC$3,ET29)</f>
        <v/>
      </c>
      <c r="FA29" s="97" t="str" cm="1">
        <f t="array" aca="1" ref="FA29" ca="1">INDIRECT(FA$5)</f>
        <v/>
      </c>
      <c r="FB29" s="97" t="str" cm="1">
        <f t="array" aca="1" ref="FB29" ca="1">INDIRECT(FB$5)</f>
        <v/>
      </c>
      <c r="FC29" s="97" t="str" cm="1">
        <f t="array" aca="1" ref="FC29" ca="1">INDIRECT(FC$5)</f>
        <v/>
      </c>
      <c r="FD29" s="97" t="str" cm="1">
        <f t="array" aca="1" ref="FD29" ca="1">INDIRECT(FD$5)</f>
        <v/>
      </c>
      <c r="FE29" s="97" t="str">
        <f t="shared" ref="FE29:FE57" ca="1" si="151">IF(FI29="",FE$4,IF(AND(FG29=0,FH29&gt;=FI$25),FE$5,MAX(FC29:FD29)))</f>
        <v>Sprungdisziplinen nicht durchgeführt</v>
      </c>
      <c r="FF29" s="97" t="str">
        <f t="shared" ref="FF29:FF57" ca="1" si="152">IF(FI29=$A$2,$A$2,"")</f>
        <v/>
      </c>
      <c r="FG29" s="108">
        <f t="shared" ref="FG29:FG57" ca="1" si="153">COUNT(FC29:FD29)</f>
        <v>0</v>
      </c>
      <c r="FH29" s="108">
        <f t="shared" ref="FH29:FH57" ca="1" si="154">COUNTIF(FA29:FB29,$A$3)</f>
        <v>0</v>
      </c>
      <c r="FI29" s="108" t="str">
        <f t="shared" ref="FI29:FI57" ca="1" si="155">IF(SUM(FG29:FH29)&lt;FI$25,"",IF(AND(FG29=0,FH29&gt;=FI$25),$A$2,IF(FG29&gt;=FI$25,FI$25,FG29)))</f>
        <v/>
      </c>
      <c r="FJ29" s="97" t="str">
        <f t="shared" ref="FJ29:FJ57" ca="1" si="156">IFERROR(IF(AND(FE29=1,NOT(ISERROR(MATCH($A$3,FA29:FB29,0)))),INDEX(FA$20:FB$20,MATCH($A$3,FA29:FB29,0)),INDEX(FC$20:FD$20,MATCH(FE29,FC29:FD29,0))),FE29)</f>
        <v>Sprungdisziplinen nicht durchgeführt</v>
      </c>
      <c r="FK29" s="97" t="str">
        <f t="shared" ref="FK29:FK57" ca="1" si="157">IFERROR(INDEX(INDIRECT(FK$5),MATCH(FJ29,INDIRECT(FK$4),0)),"")</f>
        <v/>
      </c>
      <c r="FL29" s="97" t="str" cm="1">
        <f t="array" aca="1" ref="FL29" ca="1">IFERROR(IF(INDIRECT(INDEX(INDIRECT(FL$5),MATCH(FJ29,INDIRECT(FL$4),0)))&lt;&gt;"",INDEX(INDIRECT(FL$5),MATCH(FJ29,INDIRECT(FL$4),0)),INDEX(INDIRECT(FL$6),MATCH(FJ29,INDIRECT(FL$4),0))),"")</f>
        <v/>
      </c>
      <c r="FM29" s="97" t="str">
        <f t="shared" ref="FM29:FM57" ca="1" si="158">IFERROR(INDEX(INDIRECT(FM$5),MATCH(FJ29,INDIRECT(FM$4),0)),"")</f>
        <v/>
      </c>
      <c r="FN29" s="97" t="str" cm="1">
        <f t="array" aca="1" ref="FN29" ca="1">IFERROR(INDIRECT(FL29),IF(NOT(ISERROR(FIND(Stammdaten!$CC$3,FJ29,1))),$A$2,""))</f>
        <v/>
      </c>
      <c r="FO29" s="97" t="str">
        <f ca="1">IF(FN29="","",IF(AND(FK29=Stammdaten!$BX$20,FM29="0",FN29=1),SUBSTITUTE(TEXT(FN29,FM29)&amp;" "&amp;LEFT(FK29,LEN(FK29)-1),".",","),SUBSTITUTE(TEXT(FN29,FM29)&amp;" "&amp;FK29,".",",")))</f>
        <v/>
      </c>
      <c r="FP29" s="97" t="str">
        <f t="shared" ca="1" si="59"/>
        <v/>
      </c>
      <c r="FQ29" s="97" t="str" cm="1">
        <f t="array" aca="1" ref="FQ29" ca="1">IFERROR(LEFT(INDIRECT(FP29),1)&amp;"]","")</f>
        <v/>
      </c>
      <c r="FR29" s="97" t="str">
        <f t="shared" ca="1" si="60"/>
        <v/>
      </c>
      <c r="FS29" s="97" t="str">
        <f ca="1">IFERROR(LEFT(FJ29,FIND(Stammdaten!$CA$4,FJ29,1)-2),IFERROR(LEFT(FJ29,FIND(Stammdaten!$CC$3,FJ29,1)-2),FJ29))</f>
        <v>Sprungdisziplinen</v>
      </c>
      <c r="FT29" s="97" t="str">
        <f ca="1">IF(NOT(ISERROR(FIND(Stammdaten!$CA$4,FJ29,1))),Stammdaten!$CA$4,IF(FU29&lt;&gt;Stammdaten!$CC$3,FR29,""))</f>
        <v>nicht durchgeführt</v>
      </c>
      <c r="FU29" s="91" t="str">
        <f ca="1">IF(FN29=$A$2,Stammdaten!$CC$3,FO29)</f>
        <v/>
      </c>
      <c r="FV29" s="97" t="str" cm="1">
        <f t="array" aca="1" ref="FV29" ca="1">INDIRECT(FV$5)</f>
        <v/>
      </c>
      <c r="FW29" s="97" t="str" cm="1">
        <f t="array" aca="1" ref="FW29" ca="1">INDIRECT(FW$5)</f>
        <v/>
      </c>
      <c r="FX29" s="97" t="str" cm="1">
        <f t="array" aca="1" ref="FX29" ca="1">INDIRECT(FX$5)</f>
        <v/>
      </c>
      <c r="FY29" s="97" t="str" cm="1">
        <f t="array" aca="1" ref="FY29" ca="1">INDIRECT(FY$5)</f>
        <v/>
      </c>
      <c r="FZ29" s="97" t="str" cm="1">
        <f t="array" aca="1" ref="FZ29" ca="1">INDIRECT(FZ$5)</f>
        <v/>
      </c>
      <c r="GA29" s="97" t="str" cm="1">
        <f t="array" aca="1" ref="GA29" ca="1">INDIRECT(GA$5)</f>
        <v/>
      </c>
      <c r="GB29" s="97" t="str">
        <f t="shared" ref="GB29:GB57" ca="1" si="159">IF(GF29="",GB$4,IF(AND(GD29=0,GE29&gt;=GF$25),GB$5,MAX(FY29:GA29)))</f>
        <v>Wurfdisziplinen nicht durchgeführt</v>
      </c>
      <c r="GC29" s="97" t="str">
        <f t="shared" ref="GC29:GC57" ca="1" si="160">IF(GF29=$A$2,$A$2,"")</f>
        <v/>
      </c>
      <c r="GD29" s="108">
        <f t="shared" ref="GD29:GD57" ca="1" si="161">COUNT(FY29:GA29)</f>
        <v>0</v>
      </c>
      <c r="GE29" s="108">
        <f t="shared" ref="GE29:GE57" ca="1" si="162">COUNTIF(FV29:FX29,$A$3)</f>
        <v>0</v>
      </c>
      <c r="GF29" s="108" t="str">
        <f t="shared" ref="GF29:GF57" ca="1" si="163">IF(SUM(GD29:GE29)&lt;GF$25,"",IF(AND(GD29=0,GE29&gt;=GF$25),$A$2,IF(GD29&gt;=GF$25,GF$25,GD29)))</f>
        <v/>
      </c>
      <c r="GG29" s="97" t="str">
        <f t="shared" ref="GG29:GG57" ca="1" si="164">IFERROR(IF(AND(GB29=1,NOT(ISERROR(MATCH($A$3,FV29:FX29,0)))),INDEX(FV$20:FX$20,MATCH($A$3,FV29:FX29,0)),INDEX(FY$20:GA$20,MATCH(GB29,FY29:GA29,0))),GB29)</f>
        <v>Wurfdisziplinen nicht durchgeführt</v>
      </c>
      <c r="GH29" s="97" t="str">
        <f t="shared" ref="GH29:GH57" ca="1" si="165">IFERROR(INDEX(INDIRECT(GH$5),MATCH(GG29,INDIRECT(GH$4),0)),"")</f>
        <v/>
      </c>
      <c r="GI29" s="97" t="str" cm="1">
        <f t="array" aca="1" ref="GI29" ca="1">IFERROR(IF(INDIRECT(INDEX(INDIRECT(GI$5),MATCH(GG29,INDIRECT(GI$4),0)))&lt;&gt;"",INDEX(INDIRECT(GI$5),MATCH(GG29,INDIRECT(GI$4),0)),INDEX(INDIRECT(GI$6),MATCH(GG29,INDIRECT(GI$4),0))),"")</f>
        <v/>
      </c>
      <c r="GJ29" s="97" t="str">
        <f t="shared" ref="GJ29:GJ57" ca="1" si="166">IFERROR(INDEX(INDIRECT(GJ$5),MATCH(GG29,INDIRECT(GJ$4),0)),"")</f>
        <v/>
      </c>
      <c r="GK29" s="97" t="str" cm="1">
        <f t="array" aca="1" ref="GK29" ca="1">IFERROR(INDIRECT(GI29),IF(NOT(ISERROR(FIND(Stammdaten!$CC$3,GG29,1))),$A$2,""))</f>
        <v/>
      </c>
      <c r="GL29" s="97" t="str">
        <f ca="1">IF(GK29="","",IF(AND(GH29=Stammdaten!$BX$20,GJ29="0",GK29=1),SUBSTITUTE(TEXT(GK29,GJ29)&amp;" "&amp;LEFT(GH29,LEN(GH29)-1),".",","),SUBSTITUTE(TEXT(GK29,GJ29)&amp;" "&amp;GH29,".",",")))</f>
        <v/>
      </c>
      <c r="GM29" s="97" t="str">
        <f t="shared" ca="1" si="61"/>
        <v/>
      </c>
      <c r="GN29" s="97" t="str" cm="1">
        <f t="array" aca="1" ref="GN29" ca="1">IFERROR(LEFT(INDIRECT(GM29),1)&amp;"]","")</f>
        <v/>
      </c>
      <c r="GO29" s="97" t="str">
        <f t="shared" ca="1" si="62"/>
        <v/>
      </c>
      <c r="GP29" s="97" t="str">
        <f ca="1">IFERROR(LEFT(GG29,FIND(Stammdaten!$CA$4,GG29,1)-2),IFERROR(LEFT(GG29,FIND(Stammdaten!$CC$3,GG29,1)-2),GG29))</f>
        <v>Wurfdisziplinen</v>
      </c>
      <c r="GQ29" s="97" t="str">
        <f ca="1">IF(NOT(ISERROR(FIND(Stammdaten!$CA$4,GG29,1))),Stammdaten!$CA$4,IF(GR29&lt;&gt;Stammdaten!$CC$3,GO29,""))</f>
        <v>nicht durchgeführt</v>
      </c>
      <c r="GR29" s="91" t="str">
        <f ca="1">IF(GK29=$A$2,Stammdaten!$CC$3,GL29)</f>
        <v/>
      </c>
      <c r="GS29" s="97" t="str">
        <f t="shared" ca="1" si="63"/>
        <v/>
      </c>
      <c r="GT29" s="97" t="str">
        <f t="shared" ca="1" si="64"/>
        <v/>
      </c>
      <c r="GU29" s="97" t="str">
        <f t="shared" ca="1" si="65"/>
        <v/>
      </c>
      <c r="GV29" s="97" t="str">
        <f t="shared" ca="1" si="66"/>
        <v/>
      </c>
      <c r="GW29" s="97">
        <f t="shared" ref="GW29:GW57" ca="1" si="167">SUM(GS29:GV29)</f>
        <v>0</v>
      </c>
      <c r="GX29" s="108">
        <f t="shared" ref="GX29:GX57" ca="1" si="168">COUNT(GS29:GV29)</f>
        <v>0</v>
      </c>
      <c r="GY29" s="108">
        <f t="shared" ref="GY29:GY57" ca="1" si="169">LEN(DP29&amp;EK29&amp;FF29&amp;GC29)</f>
        <v>0</v>
      </c>
      <c r="GZ29" s="108" t="str">
        <f t="shared" ref="GZ29:GZ57" ca="1" si="170">IF(SUM(GX29:GY29)&lt;GZ$25,"",IF(AND(GX29=0,GY29&gt;=GZ$25),$A$2,IF(GX29&gt;=GZ$25,GZ$25,GX29)))</f>
        <v/>
      </c>
      <c r="HA29" s="97" t="str">
        <f ca="1">IF(GZ29="",Stammdaten!$BZ$1,IF(AND(GX29=0,GY29&gt;=GZ$25),$A$3,ROUND(SUM(GW29/GZ29)/HA$25,0)*HA$25))</f>
        <v>Zu wenige Werte</v>
      </c>
      <c r="HB29" s="108">
        <f t="shared" ref="HB29:HB57" ca="1" si="171">IF(AND(EE29=$A$3,EZ29=$A$3,FU29=$A$3,GR29=$A$3),5,IFERROR(INDEX(INDIRECT(HB$1),MATCH(TEXT(HA29,HB$11),INDIRECT(HB$2),0)),6))</f>
        <v>6</v>
      </c>
      <c r="HC29" s="97" t="str">
        <f t="shared" ref="HC29:HC57" ca="1" si="172">IF(ISNUMBER(GS29),TEXT(GS29,HC$11)&amp;" / ","")</f>
        <v/>
      </c>
      <c r="HD29" s="97" t="str">
        <f t="shared" ref="HD29:HD57" ca="1" si="173">IF(ISNUMBER(GT29),TEXT(GT29,HD$11)&amp;" / ","")</f>
        <v/>
      </c>
      <c r="HE29" s="97" t="str">
        <f t="shared" ref="HE29:HE57" ca="1" si="174">IF(ISNUMBER(GU29),TEXT(GU29,HE$11)&amp;" / ","")</f>
        <v/>
      </c>
      <c r="HF29" s="97" t="str">
        <f t="shared" ref="HF29:HF57" ca="1" si="175">IF(ISNUMBER(GV29),TEXT(GV29,HF$11)&amp;" / ","")</f>
        <v/>
      </c>
      <c r="HG29" s="97" t="str">
        <f t="shared" ref="HG29:HG57" ca="1" si="176">IF(GZ29="","",HC29&amp;HD29&amp;HE29&amp;HF29)</f>
        <v/>
      </c>
      <c r="HH29" s="97" t="str">
        <f t="shared" ref="HH29:HH57" ca="1" si="177">IF(GY29=0,"g","k")</f>
        <v>g</v>
      </c>
      <c r="HI29" s="97" t="str">
        <f t="shared" ref="HI29:HI57" ca="1" si="178">IF(HA29&lt;4,"R","")</f>
        <v/>
      </c>
      <c r="HJ29" s="97">
        <f t="shared" ref="HJ29:HJ57" ca="1" si="179">IF(HH29&amp;HI29="g",1,IF(HH29&amp;HI29="gR",2,IF(HH29&amp;HI29="k",3,4)))</f>
        <v>1</v>
      </c>
      <c r="HK29" s="97" t="str">
        <f ca="1">IF(OR(Geschlecht[[#This Row],[Geschlecht (Skala)]]="",NOT(ISNUMBER(GZ29))),"",HJ29)</f>
        <v/>
      </c>
      <c r="HL29" s="97" t="str">
        <f t="shared" ref="HL29:HL57" ca="1" si="180">IFERROR(LEFT(HG29,LEN(HG29)-2),"")</f>
        <v/>
      </c>
      <c r="HM29" s="97"/>
      <c r="HN29" s="308" t="str">
        <f t="shared" ca="1" si="68"/>
        <v>Zu wenige Werte</v>
      </c>
      <c r="HO29" s="97"/>
      <c r="HP29" s="307"/>
      <c r="HQ29" s="96" t="str">
        <f>IFERROR(IFERROR(SUBSTITUTE(ReckResultat[[#This Row],[Eingabe]],".",",")*1,SUBSTITUTE(ReckResultat[[#This Row],[Eingabe]],",",".")*1),"")</f>
        <v/>
      </c>
      <c r="HR29" s="96" t="e">
        <f>INT(ReckResultat[[#This Row],[Resultat]])=ReckResultat[[#This Row],[Resultat]]</f>
        <v>#VALUE!</v>
      </c>
      <c r="HS29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29" s="96"/>
      <c r="HX29" s="97"/>
      <c r="HY29" s="307"/>
      <c r="HZ29" s="96" t="str">
        <f>IFERROR(IFERROR(SUBSTITUTE(BodenResultat[[#This Row],[Eingabe]],".",",")*1,SUBSTITUTE(BodenResultat[[#This Row],[Eingabe]],",",".")*1),"")</f>
        <v/>
      </c>
      <c r="IA29" s="96" t="e">
        <f>INT(BodenResultat[[#This Row],[Resultat]])=BodenResultat[[#This Row],[Resultat]]</f>
        <v>#VALUE!</v>
      </c>
      <c r="IB29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29" s="96"/>
      <c r="IG29" s="97"/>
      <c r="IH29" s="307"/>
      <c r="II29" s="96" t="str">
        <f>IFERROR(IFERROR(SUBSTITUTE(StufenbarrenResultat[[#This Row],[Eingabe]],".",",")*1,SUBSTITUTE(StufenbarrenResultat[[#This Row],[Eingabe]],",",".")*1),"")</f>
        <v/>
      </c>
      <c r="IJ29" s="96" t="e">
        <f>INT(StufenbarrenResultat[[#This Row],[Resultat]])=StufenbarrenResultat[[#This Row],[Resultat]]</f>
        <v>#VALUE!</v>
      </c>
      <c r="IK29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29" s="96"/>
      <c r="IP29" s="97"/>
      <c r="IQ29" s="307"/>
      <c r="IR29" s="96" t="str">
        <f>IFERROR(IFERROR(SUBSTITUTE(ParallelbarrenResultat[[#This Row],[Eingabe]],".",",")*1,SUBSTITUTE(ParallelbarrenResultat[[#This Row],[Eingabe]],",",".")*1),"")</f>
        <v/>
      </c>
      <c r="IS29" s="96" t="e">
        <f>INT(ParallelbarrenResultat[[#This Row],[Resultat]])=ParallelbarrenResultat[[#This Row],[Resultat]]</f>
        <v>#VALUE!</v>
      </c>
      <c r="IT29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29" s="96"/>
      <c r="IY29" s="97"/>
      <c r="IZ29" s="307"/>
      <c r="JA29" s="96" t="str">
        <f>IFERROR(IFERROR(SUBSTITUTE(SchaukelringeResultat[[#This Row],[Eingabe]],".",",")*1,SUBSTITUTE(SchaukelringeResultat[[#This Row],[Eingabe]],",",".")*1),"")</f>
        <v/>
      </c>
      <c r="JB29" s="96" t="e">
        <f>INT(SchaukelringeResultat[[#This Row],[Resultat]])=SchaukelringeResultat[[#This Row],[Resultat]]</f>
        <v>#VALUE!</v>
      </c>
      <c r="JC29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29" s="96"/>
      <c r="JH29" s="97"/>
      <c r="JI29" s="307"/>
      <c r="JJ29" s="96" t="str">
        <f>IFERROR(IFERROR(SUBSTITUTE(SprungResultat[[#This Row],[Eingabe]],".",",")*1,SUBSTITUTE(SprungResultat[[#This Row],[Eingabe]],",",".")*1),"")</f>
        <v/>
      </c>
      <c r="JK29" s="96" t="e">
        <f>INT(SprungResultat[[#This Row],[Resultat]])=SprungResultat[[#This Row],[Resultat]]</f>
        <v>#VALUE!</v>
      </c>
      <c r="JL29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29" s="96"/>
      <c r="JQ29" s="97"/>
      <c r="JR29" s="309" t="str" cm="1">
        <f t="array" aca="1" ref="JR29" ca="1">IF(AND(ISNUMBER(INDIRECT(JR$3)),INDIRECT(JR$3)&gt;0),INDIRECT(JR$3),"")</f>
        <v/>
      </c>
      <c r="JS29" s="309" t="str" cm="1">
        <f t="array" aca="1" ref="JS29" ca="1">IF(AND(ISNUMBER(INDIRECT(JS$3)),INDIRECT(JS$3)&gt;0),INDIRECT(JS$3),"")</f>
        <v/>
      </c>
      <c r="JT29" s="309" t="str" cm="1">
        <f t="array" aca="1" ref="JT29" ca="1">IF(AND(ISNUMBER(INDIRECT(JT$3)),INDIRECT(JT$3)&gt;0),INDIRECT(JT$3),"")</f>
        <v/>
      </c>
      <c r="JU29" s="309" t="str" cm="1">
        <f t="array" aca="1" ref="JU29" ca="1">IF(AND(ISNUMBER(INDIRECT(JU$3)),INDIRECT(JU$3)&gt;0),INDIRECT(JU$3),"")</f>
        <v/>
      </c>
      <c r="JV29" s="309" t="str" cm="1">
        <f t="array" aca="1" ref="JV29" ca="1">IF(AND(ISNUMBER(INDIRECT(JV$3)),INDIRECT(JV$3)&gt;0),INDIRECT(JV$3),"")</f>
        <v/>
      </c>
      <c r="JW29" s="309" t="str" cm="1">
        <f t="array" aca="1" ref="JW29" ca="1">IF(AND(ISNUMBER(INDIRECT(JW$3)),INDIRECT(JW$3)&gt;0),INDIRECT(JW$3),"")</f>
        <v/>
      </c>
      <c r="JX29" s="309" t="str">
        <f t="shared" ca="1" si="69"/>
        <v>x</v>
      </c>
      <c r="JY29" s="309" t="str">
        <f t="shared" ca="1" si="70"/>
        <v>y</v>
      </c>
      <c r="JZ29" s="309" t="str">
        <f t="shared" ca="1" si="71"/>
        <v>z</v>
      </c>
      <c r="KA29" s="309" t="str">
        <f t="shared" ref="KA29:KA57" ca="1" si="181">IF(AND(JX29=JY29,JY29=JZ29),JX29,"a")</f>
        <v>a</v>
      </c>
      <c r="KB29" s="309" t="str" cm="1">
        <f t="array" aca="1" ref="KB29" ca="1">IF(KA29="a","",INDEX($JR$23:$JW$23,,MATCH(KA29,$JR29:$JW29,0)))</f>
        <v/>
      </c>
      <c r="KC29" s="309" t="str" cm="1">
        <f t="array" aca="1" ref="KC29" ca="1">IF(OR(KB29="",KB29&gt;=$JW$23),"",INDEX(INDIRECT(ADDRESS(ROW($JR$23),KB29+1)):$JW$23,,MATCH(KA29,INDIRECT(ADDRESS(ROW(),KB29+1)):$JW29,0)))</f>
        <v/>
      </c>
      <c r="KD29" s="309" t="str" cm="1">
        <f t="array" aca="1" ref="KD29" ca="1">IF(OR(KC29="",KC29&gt;=$JW$23),"",INDEX(INDIRECT(ADDRESS(ROW($JR$23),KC29+1)):$JW$23,,MATCH(KA29,INDIRECT(ADDRESS(ROW(),KC29+1)):$JW29,0)))</f>
        <v/>
      </c>
      <c r="KE29" s="309" t="str">
        <f t="shared" ref="KE29:KE57" ca="1" si="182">IF(ISNUMBER(KA29),"b",IF(JX29=JY29,JX29,"c"))</f>
        <v>c</v>
      </c>
      <c r="KF29" s="309" t="str" cm="1">
        <f t="array" aca="1" ref="KF29" ca="1">IF(OR(KE29="b",KE29="c"),"",INDEX($JR$23:$JW$23,,MATCH(KE29,$JR29:$JW29,0)))</f>
        <v/>
      </c>
      <c r="KG29" s="309" t="str" cm="1">
        <f t="array" aca="1" ref="KG29" ca="1">IF(OR(KF29="",KF29&gt;=$JW$23),"",INDEX(INDIRECT(ADDRESS(ROW($JR$23),KF29+1)):$JW$23,,MATCH(KE29,INDIRECT(ADDRESS(ROW(),KF29+1)):$JW29,0)))</f>
        <v/>
      </c>
      <c r="KH29" s="309" t="str">
        <f t="shared" ca="1" si="72"/>
        <v/>
      </c>
      <c r="KI29" s="309" t="str">
        <f t="shared" ref="KI29:KI57" ca="1" si="183">IF(OR(ISNUMBER(KA29),ISNUMBER(KE29)),"d",IF(JY29=JZ29,JY29,"e"))</f>
        <v>e</v>
      </c>
      <c r="KJ29" s="309" t="str">
        <f t="shared" ca="1" si="73"/>
        <v/>
      </c>
      <c r="KK29" s="309" t="str" cm="1">
        <f t="array" aca="1" ref="KK29" ca="1">IF(OR(KI29="d",KI29="e"),"",INDEX($JR$23:$JW$23,,MATCH(KI29,$JR29:$JW29,0)))</f>
        <v/>
      </c>
      <c r="KL29" s="309" t="str" cm="1">
        <f t="array" aca="1" ref="KL29" ca="1">IF(OR(KK29="",KK29&gt;=$JW$23),"",INDEX(INDIRECT(ADDRESS(ROW($JR$23),KK29+1)):$JW$23,,MATCH(KI29,INDIRECT(ADDRESS(ROW(),KK29+1)):$JW29,0)))</f>
        <v/>
      </c>
      <c r="KM29" s="309" t="str" cm="1">
        <f t="array" aca="1" ref="KM29" ca="1">IFERROR(IF(ISNUMBER(KB29),KB29,IF(ISNUMBER(KF29),KF29,IF(ISNUMBER(KJ29),KJ29,INDEX($JR$23:$JW$23,,MATCH(JX29,$JR29:$JW29,0))))),"x1")</f>
        <v>x1</v>
      </c>
      <c r="KN29" s="309" t="str" cm="1">
        <f t="array" aca="1" ref="KN29" ca="1">IFERROR(IF(ISNUMBER(KC29),KC29,IF(ISNUMBER(KG29),KG29,IF(ISNUMBER(KK29),KK29,INDEX($JR$23:$JW$23,,MATCH(JY29,$JR29:$JW29,0))))),IF(KM29="x1","x2","x1"))</f>
        <v>x2</v>
      </c>
      <c r="KO29" s="309" t="str" cm="1">
        <f t="array" aca="1" ref="KO29" ca="1">IFERROR(IF(ISNUMBER(KD29),KD29,IF(ISNUMBER(KH29),KH29,IF(ISNUMBER(KL29),KL29,INDEX($JR$23:$JW$23,,MATCH(JZ29,$JR29:$JW29,0))))),IF(KN29="x1","x2",IF(KN29="x2","x3","x1")))</f>
        <v>x3</v>
      </c>
      <c r="KP29" s="97" t="str" cm="1">
        <f t="array" aca="1" ref="KP29" ca="1">IF(OR(INDIRECT(KP$3)=$A$2,INDIRECT(KP$3)=$A$3),COLUMN(),"")</f>
        <v/>
      </c>
      <c r="KQ29" s="97" t="str" cm="1">
        <f t="array" aca="1" ref="KQ29" ca="1">IF(OR(INDIRECT(KQ$3)=$A$2,INDIRECT(KQ$3)=$A$3),COLUMN(),"")</f>
        <v/>
      </c>
      <c r="KR29" s="97" t="str" cm="1">
        <f t="array" aca="1" ref="KR29" ca="1">IF(OR(INDIRECT(KR$3)=$A$2,INDIRECT(KR$3)=$A$3),COLUMN(),"")</f>
        <v/>
      </c>
      <c r="KS29" s="97" t="str" cm="1">
        <f t="array" aca="1" ref="KS29" ca="1">IF(OR(INDIRECT(KS$3)=$A$2,INDIRECT(KS$3)=$A$3),COLUMN(),"")</f>
        <v/>
      </c>
      <c r="KT29" s="97" t="str" cm="1">
        <f t="array" aca="1" ref="KT29" ca="1">IF(OR(INDIRECT(KT$3)=$A$2,INDIRECT(KT$3)=$A$3),COLUMN(),"")</f>
        <v/>
      </c>
      <c r="KU29" s="97" t="str" cm="1">
        <f t="array" aca="1" ref="KU29" ca="1">IF(OR(INDIRECT(KU$3)=$A$2,INDIRECT(KU$3)=$A$3),COLUMN(),"")</f>
        <v/>
      </c>
      <c r="KV29" s="97" t="str" cm="1">
        <f t="array" aca="1" ref="KV29" ca="1">IF(AND(ISNUMBER(INDIRECT(KV$3)),INDIRECT(KV$3)=0),COLUMN(),"")</f>
        <v/>
      </c>
      <c r="KW29" s="97" t="str" cm="1">
        <f t="array" aca="1" ref="KW29" ca="1">IF(AND(ISNUMBER(INDIRECT(KW$3)),INDIRECT(KW$3)=0),COLUMN(),"")</f>
        <v/>
      </c>
      <c r="KX29" s="97" t="str" cm="1">
        <f t="array" aca="1" ref="KX29" ca="1">IF(AND(ISNUMBER(INDIRECT(KX$3)),INDIRECT(KX$3)=0),COLUMN(),"")</f>
        <v/>
      </c>
      <c r="KY29" s="97" t="str" cm="1">
        <f t="array" aca="1" ref="KY29" ca="1">IF(AND(ISNUMBER(INDIRECT(KY$3)),INDIRECT(KY$3)=0),COLUMN(),"")</f>
        <v/>
      </c>
      <c r="KZ29" s="97" t="str" cm="1">
        <f t="array" aca="1" ref="KZ29" ca="1">IF(AND(ISNUMBER(INDIRECT(KZ$3)),INDIRECT(KZ$3)=0),COLUMN(),"")</f>
        <v/>
      </c>
      <c r="LA29" s="97" t="str" cm="1">
        <f t="array" aca="1" ref="LA29" ca="1">IF(AND(ISNUMBER(INDIRECT(LA$3)),INDIRECT(LA$3)=0),COLUMN(),"")</f>
        <v/>
      </c>
      <c r="LB29" s="97" t="str">
        <f t="shared" ref="LB29:LB57" ca="1" si="184">IFERROR(IF(ISNUMBER(KM29),KM29,SMALL($KP29:$KU29,VALUE(RIGHT(KM29,1)))),"x1")</f>
        <v>x1</v>
      </c>
      <c r="LC29" s="97" t="str">
        <f t="shared" ref="LC29:LC57" ca="1" si="185">IFERROR(IF(ISNUMBER(KN29),KN29,SMALL($KP29:$KU29,VALUE(RIGHT(KN29,1)))),IF(LB29="x1","x2","x1"))</f>
        <v>x2</v>
      </c>
      <c r="LD29" s="97" t="str">
        <f t="shared" ref="LD29:LD57" ca="1" si="186">IFERROR(IF(ISNUMBER(KO29),KO29,SMALL($KP29:$KU29,VALUE(RIGHT(KO29,1)))),IF(LC29="x1","x2",IF(LC29="x2","x3","x1")))</f>
        <v>x3</v>
      </c>
      <c r="LE29" s="97" t="str">
        <f ca="1">IFERROR(IF(ISNUMBER(LB29),LB29,SMALL($KV29:$LA29,VALUE(RIGHT(LB29,1)))),Stammdaten!$CA$17)</f>
        <v>Erstes Gerät nicht durchgeführt</v>
      </c>
      <c r="LF29" s="97" t="str">
        <f ca="1">IFERROR(IF(ISNUMBER(LC29),LC29,SMALL($KV29:$LA29,VALUE(RIGHT(LC29,1)))),Stammdaten!$CA$18)</f>
        <v>Zweites Gerät nicht durchgeführt</v>
      </c>
      <c r="LG29" s="97" t="str">
        <f ca="1">IFERROR(IF(ISNUMBER(LD29),LD29,SMALL($KV29:$LA29,VALUE(RIGHT(LD29,1)))),Stammdaten!$CA$19)</f>
        <v>Drittes Gerät nicht durchgeführt</v>
      </c>
      <c r="LH29" s="91" t="str" cm="1">
        <f t="array" aca="1" ref="LH29" ca="1">IFERROR(INDIRECT(ADDRESS(ROW($JR$5),LE29)),LE29)</f>
        <v>Erstes Gerät nicht durchgeführt</v>
      </c>
      <c r="LI29" s="97" t="str">
        <f t="shared" ref="LI29:LI57" ca="1" si="187">IFERROR(INDEX(INDIRECT(LI$5),MATCH(LH29,INDIRECT(LI$4),0)),"")</f>
        <v/>
      </c>
      <c r="LJ29" s="97" t="str" cm="1">
        <f t="array" aca="1" ref="LJ29" ca="1">IFERROR(IF(INDIRECT(INDEX(INDIRECT(LJ$5),MATCH(LH29,INDIRECT(LJ$4),0)))&lt;&gt;"",INDEX(INDIRECT(LJ$5),MATCH(LH29,INDIRECT(LJ$4),0)),INDEX(INDIRECT(LJ$6),MATCH(LH29,INDIRECT(LJ$4),0))),"")</f>
        <v/>
      </c>
      <c r="LK29" s="97" t="str">
        <f t="shared" ref="LK29:LK57" ca="1" si="188">IFERROR(INDEX(INDIRECT(LK$5),MATCH(LH29,INDIRECT(LK$4),0)),"")</f>
        <v/>
      </c>
      <c r="LL29" s="97" t="str" cm="1">
        <f t="array" aca="1" ref="LL29" ca="1">IFERROR(INDIRECT(LJ29),"")</f>
        <v/>
      </c>
      <c r="LM29" s="97" t="str">
        <f ca="1">IF(LL29="","",IF(AND(LI29=Stammdaten!$BX$20,LK29="0",LL29=1),SUBSTITUTE(TEXT(LL29,LK29)&amp;" "&amp;LEFT(LI29,LEN(LI29)-1),".",","),SUBSTITUTE(TEXT(LL29,LK29)&amp;" "&amp;LI29,".",",")))</f>
        <v/>
      </c>
      <c r="LN29" s="97" t="str">
        <f t="shared" ca="1" si="74"/>
        <v/>
      </c>
      <c r="LO29" s="97" t="str" cm="1">
        <f t="array" aca="1" ref="LO29" ca="1">IFERROR(LEFT(INDIRECT(LN29),1)&amp;"]","")</f>
        <v/>
      </c>
      <c r="LP29" s="97" t="str">
        <f t="shared" ca="1" si="75"/>
        <v/>
      </c>
      <c r="LQ29" s="97" t="str">
        <f ca="1">IFERROR(LEFT(LH29,FIND(Stammdaten!$CA$4,LH29,1)-2),IFERROR(LEFT(LH29,FIND(Stammdaten!$CC$3,LH29,1)-2),LH29))</f>
        <v>Erstes Gerät</v>
      </c>
      <c r="LR29" s="97" t="str">
        <f ca="1">IF(NOT(ISERROR(FIND(Stammdaten!$CA$4,LH29,1))),Stammdaten!$CA$4,IF(LS29&lt;&gt;Stammdaten!$CC$3,LP29,""))</f>
        <v>nicht durchgeführt</v>
      </c>
      <c r="LS29" s="91" t="str">
        <f ca="1">IF(LL29=$A$2,Stammdaten!$CC$3,LM29)</f>
        <v/>
      </c>
      <c r="LT29" s="91" t="str" cm="1">
        <f t="array" aca="1" ref="LT29" ca="1">IFERROR(INDIRECT(ADDRESS(ROW($JR$5),LF29)),LF29)</f>
        <v>Zweites Gerät nicht durchgeführt</v>
      </c>
      <c r="LU29" s="97" t="str">
        <f t="shared" ref="LU29:LU57" ca="1" si="189">IFERROR(INDEX(INDIRECT(LU$5),MATCH(LT29,INDIRECT(LU$4),0)),"")</f>
        <v/>
      </c>
      <c r="LV29" s="97" t="str" cm="1">
        <f t="array" aca="1" ref="LV29" ca="1">IFERROR(IF(INDIRECT(INDEX(INDIRECT(LV$5),MATCH(LT29,INDIRECT(LV$4),0)))&lt;&gt;"",INDEX(INDIRECT(LV$5),MATCH(LT29,INDIRECT(LV$4),0)),INDEX(INDIRECT(LV$6),MATCH(LT29,INDIRECT(LV$4),0))),"")</f>
        <v/>
      </c>
      <c r="LW29" s="97" t="str">
        <f t="shared" ref="LW29:LW57" ca="1" si="190">IFERROR(INDEX(INDIRECT(LW$5),MATCH(LT29,INDIRECT(LW$4),0)),"")</f>
        <v/>
      </c>
      <c r="LX29" s="97" t="str" cm="1">
        <f t="array" aca="1" ref="LX29" ca="1">IFERROR(INDIRECT(LV29),"")</f>
        <v/>
      </c>
      <c r="LY29" s="97" t="str">
        <f ca="1">IF(LX29="","",IF(AND(LU29=Stammdaten!$BX$20,LW29="0",LX29=1),SUBSTITUTE(TEXT(LX29,LW29)&amp;" "&amp;LEFT(LU29,LEN(LU29)-1),".",","),SUBSTITUTE(TEXT(LX29,LW29)&amp;" "&amp;LU29,".",",")))</f>
        <v/>
      </c>
      <c r="LZ29" s="97" t="str">
        <f t="shared" ca="1" si="76"/>
        <v/>
      </c>
      <c r="MA29" s="97" t="str" cm="1">
        <f t="array" aca="1" ref="MA29" ca="1">IFERROR(LEFT(INDIRECT(LZ29),1)&amp;"]","")</f>
        <v/>
      </c>
      <c r="MB29" s="97" t="str">
        <f t="shared" ca="1" si="77"/>
        <v/>
      </c>
      <c r="MC29" s="97" t="str">
        <f ca="1">IFERROR(LEFT(LT29,FIND(Stammdaten!$CA$4,LT29,1)-2),IFERROR(LEFT(LT29,FIND(Stammdaten!$CC$3,LT29,1)-2),LT29))</f>
        <v>Zweites Gerät</v>
      </c>
      <c r="MD29" s="97" t="str">
        <f ca="1">IF(NOT(ISERROR(FIND(Stammdaten!$CA$4,LT29,1))),Stammdaten!$CA$4,IF(ME29&lt;&gt;Stammdaten!$CC$3,MB29,""))</f>
        <v>nicht durchgeführt</v>
      </c>
      <c r="ME29" s="91" t="str">
        <f ca="1">IF(LX29=$A$2,Stammdaten!$CC$3,LY29)</f>
        <v/>
      </c>
      <c r="MF29" s="91" t="str" cm="1">
        <f t="array" aca="1" ref="MF29" ca="1">IFERROR(INDIRECT(ADDRESS(ROW($JR$5),LG29)),LG29)</f>
        <v>Drittes Gerät nicht durchgeführt</v>
      </c>
      <c r="MG29" s="97" t="str">
        <f t="shared" ref="MG29:MG57" ca="1" si="191">IFERROR(INDEX(INDIRECT(MG$5),MATCH(MF29,INDIRECT(MG$4),0)),"")</f>
        <v/>
      </c>
      <c r="MH29" s="97" t="str" cm="1">
        <f t="array" aca="1" ref="MH29" ca="1">IFERROR(IF(INDIRECT(INDEX(INDIRECT(MH$5),MATCH(MF29,INDIRECT(MH$4),0)))&lt;&gt;"",INDEX(INDIRECT(MH$5),MATCH(MF29,INDIRECT(MH$4),0)),INDEX(INDIRECT(MH$6),MATCH(MF29,INDIRECT(MH$4),0))),"")</f>
        <v/>
      </c>
      <c r="MI29" s="97" t="str">
        <f t="shared" ref="MI29:MI57" ca="1" si="192">IFERROR(INDEX(INDIRECT(MI$5),MATCH(MF29,INDIRECT(MI$4),0)),"")</f>
        <v/>
      </c>
      <c r="MJ29" s="97" t="str" cm="1">
        <f t="array" aca="1" ref="MJ29" ca="1">IFERROR(INDIRECT(MH29),"")</f>
        <v/>
      </c>
      <c r="MK29" s="97" t="str">
        <f ca="1">IF(MJ29="","",IF(AND(MG29=Stammdaten!$BX$20,MI29="0",MJ29=1),SUBSTITUTE(TEXT(MJ29,MI29)&amp;" "&amp;LEFT(MG29,LEN(MG29)-1),".",","),SUBSTITUTE(TEXT(MJ29,MI29)&amp;" "&amp;MG29,".",",")))</f>
        <v/>
      </c>
      <c r="ML29" s="97" t="str">
        <f t="shared" ca="1" si="78"/>
        <v/>
      </c>
      <c r="MM29" s="97" t="str" cm="1">
        <f t="array" aca="1" ref="MM29" ca="1">IFERROR(LEFT(INDIRECT(ML29),1)&amp;"]","")</f>
        <v/>
      </c>
      <c r="MN29" s="97" t="str">
        <f t="shared" ca="1" si="79"/>
        <v/>
      </c>
      <c r="MO29" s="97" t="str">
        <f ca="1">IFERROR(LEFT(MF29,FIND(Stammdaten!$CA$4,MF29,1)-2),IFERROR(LEFT(MF29,FIND(Stammdaten!$CC$3,MF29,1)-2),MF29))</f>
        <v>Drittes Gerät</v>
      </c>
      <c r="MP29" s="97" t="str">
        <f ca="1">IF(NOT(ISERROR(FIND(Stammdaten!$CA$4,MF29,1))),Stammdaten!$CA$4,IF(MQ29&lt;&gt;Stammdaten!$CC$3,MN29,""))</f>
        <v>nicht durchgeführt</v>
      </c>
      <c r="MQ29" s="91" t="str">
        <f ca="1">IF(MJ29=$A$2,Stammdaten!$CC$3,MK29)</f>
        <v/>
      </c>
      <c r="MR29" s="97">
        <f t="shared" ca="1" si="80"/>
        <v>0</v>
      </c>
      <c r="MS29" s="108">
        <f t="shared" ref="MS29:MS57" ca="1" si="193">COUNT($JR29:$JW29)</f>
        <v>0</v>
      </c>
      <c r="MT29" s="108">
        <f t="shared" ref="MT29:MT57" ca="1" si="194">COUNT($KV29:$LA29)</f>
        <v>0</v>
      </c>
      <c r="MU29" s="108">
        <f t="shared" ref="MU29:MU57" ca="1" si="195">COUNT($KP29:$KU29)</f>
        <v>0</v>
      </c>
      <c r="MV29" s="108" t="str">
        <f t="shared" ref="MV29:MV57" ca="1" si="196">IF(SUM(MS29:MU29)&lt;MV$25,"",IF(AND(MS29+MT29=0,MU29&gt;=MV$25),$A$2,IF(MS29+MT29&gt;=MV$25,MV$25,MS29+MT29)))</f>
        <v/>
      </c>
      <c r="MW29" s="97" t="str">
        <f ca="1">IF(MV29="",Stammdaten!$BZ$1,IF(AND(MS29+MT29=0,MU29&gt;=MV$25),$A$3,MR29))</f>
        <v>Zu wenige Werte</v>
      </c>
      <c r="MX29" s="97"/>
      <c r="MY29" s="91" t="str">
        <f t="shared" ca="1" si="81"/>
        <v/>
      </c>
      <c r="MZ29" s="96" t="str">
        <f>LEFT(Geschlecht[[#This Row],[Geschlecht (Skala)]],1)&amp;$MZ$27</f>
        <v>2</v>
      </c>
      <c r="NA29" s="96" t="str">
        <f t="shared" ca="1" si="82"/>
        <v>Geräteturnen_2[Resultat]</v>
      </c>
      <c r="NB29" s="97" t="str" cm="1">
        <f t="array" aca="1" ref="NB29" ca="1">IF(OR($MW29="",$MW29=Stammdaten!$BZ$1),"",IF($MW29=0,0,IF(OR($MW29=$A$2,$MW29=$A$3),$A$3,IFERROR(INDEX(INDIRECT(NA29),MATCH(INDIRECT(MY$3),INDIRECT(NA29),NA$25)),IFERROR(IF(NA$25=-1,MAX(INDIRECT(NA29)),IF(NA$25=1,MIN(INDIRECT(NA29)))),"")))))</f>
        <v/>
      </c>
      <c r="ND29" s="91" t="str">
        <f t="shared" ca="1" si="83"/>
        <v>Geräteturnen_2[Note]</v>
      </c>
      <c r="NE29" s="97" t="str" cm="1">
        <f t="array" aca="1" ref="NE29" ca="1">IFERROR(INDEX(INDIRECT(ND29),MATCH(INDIRECT(MY$5),INDIRECT(NA29),0)),IF(INDIRECT(MY$5)=0,1,""))</f>
        <v/>
      </c>
      <c r="NF29" s="97"/>
      <c r="NG29" s="307"/>
      <c r="NH29" s="96" t="str">
        <f>IFERROR(IFERROR(SUBSTITUTE(ParkourResultat[[#This Row],[Eingabe]],".",",")*1,SUBSTITUTE(ParkourResultat[[#This Row],[Eingabe]],",",".")*1),"")</f>
        <v/>
      </c>
      <c r="NI29" s="96" t="e">
        <f>INT(ParkourResultat[[#This Row],[Resultat]])=ParkourResultat[[#This Row],[Resultat]]</f>
        <v>#VALUE!</v>
      </c>
      <c r="NJ29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29" s="96"/>
      <c r="NL29" s="91" t="str" cm="1">
        <f t="array" aca="1" ref="NL29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29" s="96" t="str">
        <f ca="1">LEFT(Geschlecht[[#This Row],[Geschlecht (Skala)]],1)&amp;NR$4</f>
        <v>2</v>
      </c>
      <c r="NN29" s="96" t="str">
        <f t="shared" ca="1" si="84"/>
        <v>Parkour_2[Resultat]</v>
      </c>
      <c r="NO29" s="97" t="str" cm="1">
        <f t="array" aca="1" ref="NO29" ca="1">IF(INDIRECT(NL$1)="","",IF(INDIRECT(NL$2)=0,0,IF(OR(INDIRECT(NL$1)=$A$2,INDIRECT(NL$1)=$A$3),$A$3,IFERROR(INDEX(INDIRECT(NN29),MATCH(INDIRECT(NL$3),INDIRECT(NN29),NN$25)),IFERROR(IF(NN$25=-1,MAX(INDIRECT(NN29)),IF(NN$25=1,MIN(INDIRECT(NN29)))),"")))))</f>
        <v/>
      </c>
      <c r="NQ29" s="91" t="str">
        <f t="shared" ca="1" si="85"/>
        <v>Parkour_2[Note]</v>
      </c>
      <c r="NR29" s="97" t="str" cm="1">
        <f t="array" aca="1" ref="NR29" ca="1">IFERROR(INDEX(INDIRECT(NQ29),MATCH(INDIRECT(NL$5),INDIRECT(NN29),0)),IF(INDIRECT(NL$5)=0,1,""))</f>
        <v/>
      </c>
      <c r="NS29" s="97"/>
      <c r="NT29" s="97" t="str" cm="1">
        <f t="array" aca="1" ref="NT29" ca="1">INDIRECT(NT$5)</f>
        <v/>
      </c>
      <c r="NU29" s="97" t="str" cm="1">
        <f t="array" aca="1" ref="NU29" ca="1">INDIRECT(NU$5)</f>
        <v/>
      </c>
      <c r="NV29" s="97" t="str" cm="1">
        <f t="array" aca="1" ref="NV29" ca="1">INDIRECT(NV$5)</f>
        <v/>
      </c>
      <c r="NW29" s="97" t="str" cm="1">
        <f t="array" aca="1" ref="NW29" ca="1">INDIRECT(NW$5)</f>
        <v/>
      </c>
      <c r="NX29" s="97" t="str">
        <f t="shared" ca="1" si="86"/>
        <v>Parkour nicht durchgeführt</v>
      </c>
      <c r="NY29" s="97" t="str">
        <f t="shared" ref="NY29:NY57" ca="1" si="197">IFERROR(INDEX(INDIRECT(NY$5),MATCH(NX29,INDIRECT(NY$4),0)),"")</f>
        <v/>
      </c>
      <c r="NZ29" s="97" t="str" cm="1">
        <f t="array" aca="1" ref="NZ29" ca="1">IFERROR(IF(INDIRECT(INDEX(INDIRECT(NZ$5),MATCH(NX29,INDIRECT(NZ$4),0)))&lt;&gt;"",INDEX(INDIRECT(NZ$5),MATCH(NX29,INDIRECT(NZ$4),0)),INDEX(INDIRECT(NZ$6),MATCH(NX29,INDIRECT(NZ$4),0))),"")</f>
        <v/>
      </c>
      <c r="OA29" s="97" t="str">
        <f t="shared" ref="OA29:OA57" ca="1" si="198">IFERROR(INDEX(INDIRECT(OA$5),MATCH(NX29,INDIRECT(OA$4),0)),"")</f>
        <v/>
      </c>
      <c r="OB29" s="97" t="str" cm="1">
        <f t="array" aca="1" ref="OB29" ca="1">IFERROR(INDIRECT(NZ29),IF(NOT(ISERROR(FIND(Stammdaten!$CC$3,NX29,1))),$A$2,""))</f>
        <v/>
      </c>
      <c r="OC29" s="97" t="str">
        <f ca="1">IF(OB29="","",IF(AND(NY29=Stammdaten!$BX$20,OA29="0",OB29=1),SUBSTITUTE(TEXT(OB29,OA29)&amp;" "&amp;LEFT(NY29,LEN(NY29)-1),".",","),SUBSTITUTE(TEXT(OB29,OA29)&amp;" "&amp;NY29,".",",")))</f>
        <v/>
      </c>
      <c r="OD29" s="97" t="str">
        <f t="shared" ca="1" si="87"/>
        <v/>
      </c>
      <c r="OE29" s="97" t="str" cm="1">
        <f t="array" aca="1" ref="OE29" ca="1">IFERROR(LEFT(INDIRECT(OD29),1)&amp;"]","")</f>
        <v/>
      </c>
      <c r="OF29" s="97" t="str">
        <f t="shared" ca="1" si="88"/>
        <v/>
      </c>
      <c r="OG29" s="97" t="str">
        <f ca="1">IFERROR(LEFT(NX29,FIND(Stammdaten!$CA$4,NX29,1)-2),IFERROR(LEFT(NX29,FIND(Stammdaten!$CC$3,NX29,1)-2),NX29))</f>
        <v>Parkour</v>
      </c>
      <c r="OH29" s="97" t="str">
        <f ca="1">IF(NOT(ISERROR(FIND(Stammdaten!$CA$4,NX29,1))),Stammdaten!$CA$4,IF(OI29&lt;&gt;Stammdaten!$CC$3,OF29,""))</f>
        <v>nicht durchgeführt</v>
      </c>
      <c r="OI29" s="91" t="str">
        <f ca="1">IF(OB29=$A$2,Stammdaten!$CC$3,OC29)</f>
        <v/>
      </c>
      <c r="OJ29" s="97" t="str">
        <f t="shared" ca="1" si="89"/>
        <v/>
      </c>
      <c r="OK29" s="97" t="str">
        <f t="shared" ca="1" si="90"/>
        <v/>
      </c>
      <c r="OL29" s="97">
        <f t="shared" ref="OL29:OL57" ca="1" si="199">SUM(OJ29:OK29)</f>
        <v>0</v>
      </c>
      <c r="OM29" s="108">
        <f t="shared" ca="1" si="91"/>
        <v>0</v>
      </c>
      <c r="ON29" s="108">
        <f t="shared" ca="1" si="92"/>
        <v>0</v>
      </c>
      <c r="OO29" s="108" t="str">
        <f t="shared" ref="OO29:OO57" ca="1" si="200">IF(SUM(OM29:ON29)&lt;OO$25,"",IF(AND(OM29=0,ON29&gt;=OO$25),$A$2,IF(OM29&gt;=OO$25,OO$25,OM29)))</f>
        <v/>
      </c>
      <c r="OP29" s="97" t="str">
        <f ca="1">IF(OO29="",Stammdaten!$BZ$1,IF(AND(OM29=0,ON29&gt;=OO$25),$A$3,ROUND(SUM(OL29/OO29)/OP$25,0)*OP$25))</f>
        <v>Zu wenige Werte</v>
      </c>
      <c r="OQ29" s="108">
        <f t="shared" ref="OQ29:OQ57" ca="1" si="201">IF(AND(LS29=$A$3,ME29=$A$3,MQ29=$A$3,OI29=$A$3),5,IFERROR(INDEX(INDIRECT(OQ$1),MATCH(TEXT(OP29,OQ$11),INDIRECT(OQ$2),0)),6))</f>
        <v>6</v>
      </c>
      <c r="OR29" s="97" t="str">
        <f t="shared" ref="OR29:OR57" ca="1" si="202">IF(ISNUMBER(OJ29),IF(OR$11&lt;&gt;"",TEXT(OJ29,OR$11)&amp;" / ",OJ29&amp;" / "),"")</f>
        <v/>
      </c>
      <c r="OS29" s="97" t="str">
        <f t="shared" ref="OS29:OS57" ca="1" si="203">IF(ISNUMBER(OK29),IF(OS$11&lt;&gt;"",TEXT(OK29,OS$11)&amp;" / ",OK29&amp;" / "),"")</f>
        <v/>
      </c>
      <c r="OT29" s="97" t="str">
        <f t="shared" ref="OT29:OT57" ca="1" si="204">IF(OO29="","",OR29&amp;OS29)</f>
        <v/>
      </c>
      <c r="OU29" s="97" t="str">
        <f t="shared" ref="OU29:OU57" ca="1" si="205">IF(ON29=0,"g","k")</f>
        <v>g</v>
      </c>
      <c r="OV29" s="97" t="str">
        <f t="shared" ref="OV29:OV57" ca="1" si="206">IF(OP29&lt;4,"R","")</f>
        <v/>
      </c>
      <c r="OW29" s="97">
        <f t="shared" ref="OW29:OW57" ca="1" si="207">IF(OU29&amp;OV29="g",1,IF(OU29&amp;OV29="gR",2,IF(OU29&amp;OV29="k",3,4)))</f>
        <v>1</v>
      </c>
      <c r="OX29" s="97" t="str">
        <f ca="1">IF(OR(Geschlecht[[#This Row],[Geschlecht (Skala)]]="",NOT(ISNUMBER(OO29))),"",OW29)</f>
        <v/>
      </c>
      <c r="OY29" s="97" t="str">
        <f t="shared" ref="OY29:OY57" ca="1" si="208">IFERROR(LEFT($OT29,LEN(OT29)-2),"")</f>
        <v/>
      </c>
      <c r="OZ29" s="97"/>
      <c r="PA29" s="308" t="str">
        <f t="shared" ref="PA29:PA57" ca="1" si="209">OP29</f>
        <v>Zu wenige Werte</v>
      </c>
      <c r="PB29" s="97"/>
      <c r="PC29" s="307"/>
      <c r="PD29" s="96" t="str">
        <f>IFERROR(IFERROR(SUBSTITUTE(TanzenResultat[[#This Row],[Eingabe]],".",",")*1,SUBSTITUTE(TanzenResultat[[#This Row],[Eingabe]],",",".")*1),"")</f>
        <v/>
      </c>
      <c r="PE29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29" s="96"/>
      <c r="PG29" s="91" t="str" cm="1">
        <f t="array" aca="1" ref="PG29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29" s="96" t="str">
        <f ca="1">LEFT(Geschlecht[[#This Row],[Geschlecht (Skala)]],1)&amp;PM$4</f>
        <v>2</v>
      </c>
      <c r="PI29" s="96" t="str">
        <f t="shared" ca="1" si="93"/>
        <v>Tanzen_2[Resultat]</v>
      </c>
      <c r="PJ29" s="97" t="str" cm="1">
        <f t="array" aca="1" ref="PJ29" ca="1">IF(INDIRECT(PG$1)="","",IF(INDIRECT(PG$2)=0,0,IF(OR(INDIRECT(PG$1)=$A$2,INDIRECT(PG$1)=$A$3),$A$3,IFERROR(INDEX(INDIRECT(PI29),MATCH(INDIRECT(PG$3),INDIRECT(PI29),PI$25)),IFERROR(IF(PI$25=-1,MAX(INDIRECT(PI29)),IF(PI$25=1,MIN(INDIRECT(PI29)))),"")))))</f>
        <v/>
      </c>
      <c r="PL29" s="91" t="str">
        <f t="shared" ca="1" si="94"/>
        <v>Tanzen_2[Note]</v>
      </c>
      <c r="PM29" s="97" t="str" cm="1">
        <f t="array" aca="1" ref="PM29" ca="1">IFERROR(INDEX(INDIRECT(PL29),MATCH(INDIRECT(PG$5),INDIRECT(PI29),0)),IF(INDIRECT(PG$5)=0,1,""))</f>
        <v/>
      </c>
      <c r="PN29" s="97"/>
      <c r="PO29" s="307"/>
      <c r="PP29" s="96" t="str">
        <f>IFERROR(IFERROR(SUBSTITUTE(RopeSkippingResultat[[#This Row],[Eingabe]],".",",")*1,SUBSTITUTE(RopeSkippingResultat[[#This Row],[Eingabe]],",",".")*1),"")</f>
        <v/>
      </c>
      <c r="PQ29" s="96" t="e">
        <f>INT(RopeSkippingResultat[[#This Row],[Resultat]])=RopeSkippingResultat[[#This Row],[Resultat]]</f>
        <v>#VALUE!</v>
      </c>
      <c r="PR29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29" s="96"/>
      <c r="PT29" s="91" t="str" cm="1">
        <f t="array" aca="1" ref="PT29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29" s="96" t="str">
        <f ca="1">LEFT(Geschlecht[[#This Row],[Geschlecht (Skala)]],1)&amp;PZ$4</f>
        <v>2</v>
      </c>
      <c r="PV29" s="96" t="str">
        <f t="shared" ca="1" si="95"/>
        <v>RopeSkipping_2[Resultat]</v>
      </c>
      <c r="PW29" s="97" t="str" cm="1">
        <f t="array" aca="1" ref="PW29" ca="1">IF(INDIRECT(PT$1)="","",IF(INDIRECT(PT$2)=0,0,IF(OR(INDIRECT(PT$1)=$A$2,INDIRECT(PT$1)=$A$3),$A$3,IFERROR(INDEX(INDIRECT(PV29),MATCH(INDIRECT(PT$3),INDIRECT(PV29),PV$25)),IFERROR(IF(PV$25=-1,MAX(INDIRECT(PV29)),IF(PV$25=1,MIN(INDIRECT(PV29)))),"")))))</f>
        <v/>
      </c>
      <c r="PY29" s="91" t="str">
        <f t="shared" ca="1" si="96"/>
        <v>RopeSkipping_2[Note]</v>
      </c>
      <c r="PZ29" s="97" t="str" cm="1">
        <f t="array" aca="1" ref="PZ29" ca="1">IFERROR(INDEX(INDIRECT(PY29),MATCH(INDIRECT(PT$5),INDIRECT(PV29),0)),IF(INDIRECT(PT$5)=0,1,""))</f>
        <v/>
      </c>
      <c r="QA29" s="97"/>
      <c r="QB29" s="307"/>
      <c r="QC29" s="96" t="str">
        <f>IFERROR(IFERROR(SUBSTITUTE(AerobicResultat[[#This Row],[Eingabe]],".",",")*1,SUBSTITUTE(AerobicResultat[[#This Row],[Eingabe]],",",".")*1),"")</f>
        <v/>
      </c>
      <c r="QD29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29" s="96"/>
      <c r="QF29" s="91" t="str" cm="1">
        <f t="array" aca="1" ref="QF29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29" s="96" t="str">
        <f ca="1">LEFT(Geschlecht[[#This Row],[Geschlecht (Skala)]],1)&amp;QL$4</f>
        <v>2</v>
      </c>
      <c r="QH29" s="96" t="str">
        <f t="shared" ca="1" si="97"/>
        <v>Aerobic_2[Resultat]</v>
      </c>
      <c r="QI29" s="97" t="str" cm="1">
        <f t="array" aca="1" ref="QI29" ca="1">IF(INDIRECT(QF$1)="","",IF(INDIRECT(QF$2)=0,0,IF(OR(INDIRECT(QF$1)=$A$2,INDIRECT(QF$1)=$A$3),$A$3,IFERROR(INDEX(INDIRECT(QH29),MATCH(INDIRECT(QF$3),INDIRECT(QH29),QH$25)),IFERROR(IF(QH$25=-1,MAX(INDIRECT(QH29)),IF(QH$25=1,MIN(INDIRECT(QH29)))),"")))))</f>
        <v/>
      </c>
      <c r="QK29" s="91" t="str">
        <f t="shared" ca="1" si="98"/>
        <v>Aerobic_2[Note]</v>
      </c>
      <c r="QL29" s="97" t="str" cm="1">
        <f t="array" aca="1" ref="QL29" ca="1">IFERROR(INDEX(INDIRECT(QK29),MATCH(INDIRECT(QF$5),INDIRECT(QH29),0)),IF(INDIRECT(QF$5)=0,1,""))</f>
        <v/>
      </c>
      <c r="QM29" s="97"/>
      <c r="QN29" s="97" t="str" cm="1">
        <f t="array" aca="1" ref="QN29" ca="1">INDIRECT(QN$5)</f>
        <v/>
      </c>
      <c r="QO29" s="97" t="str" cm="1">
        <f t="array" aca="1" ref="QO29" ca="1">INDIRECT(QO$5)</f>
        <v/>
      </c>
      <c r="QP29" s="97" t="str" cm="1">
        <f t="array" aca="1" ref="QP29" ca="1">INDIRECT(QP$5)</f>
        <v/>
      </c>
      <c r="QQ29" s="97" t="str" cm="1">
        <f t="array" aca="1" ref="QQ29" ca="1">INDIRECT(QQ$5)</f>
        <v/>
      </c>
      <c r="QR29" s="97" t="str" cm="1">
        <f t="array" aca="1" ref="QR29" ca="1">INDIRECT(QR$5)</f>
        <v/>
      </c>
      <c r="QS29" s="97" t="str" cm="1">
        <f t="array" aca="1" ref="QS29" ca="1">INDIRECT(QS$5)</f>
        <v/>
      </c>
      <c r="QT29" s="97" t="str">
        <f t="shared" ca="1" si="99"/>
        <v>Darstellen und Tanzen nicht durchgeführt</v>
      </c>
      <c r="QU29" s="108">
        <f t="shared" ca="1" si="100"/>
        <v>0</v>
      </c>
      <c r="QV29" s="108">
        <f t="shared" ca="1" si="101"/>
        <v>0</v>
      </c>
      <c r="QW29" s="108" t="str">
        <f t="shared" ref="QW29:QW57" ca="1" si="210">IF(SUM(QU29:QV29)&lt;QW$25,"",IF(AND(QU29=0,QV29&gt;=QW$25),$A$2,IF(QU29&gt;=QW$25,QW$25,QU29)))</f>
        <v/>
      </c>
      <c r="QX29" s="97" t="str">
        <f t="shared" ref="QX29:QX57" ca="1" si="211">IFERROR(IF(AND(QT29=1,NOT(ISERROR(MATCH($A$3,QN29:QP29,0)))),INDEX(QN$20:QP$20,MATCH($A$3,QN29:QP29,0)),INDEX(QQ$20:QS$20,MATCH(QT29,QQ29:QS29,0))),QT29)</f>
        <v>Darstellen und Tanzen nicht durchgeführt</v>
      </c>
      <c r="QY29" s="97" t="str">
        <f t="shared" ref="QY29:QY57" ca="1" si="212">IFERROR(INDEX(INDIRECT(QY$5),MATCH(QX29,INDIRECT(QY$4),0)),"")</f>
        <v/>
      </c>
      <c r="QZ29" s="97" t="str" cm="1">
        <f t="array" aca="1" ref="QZ29" ca="1">IFERROR(IF(INDIRECT(INDEX(INDIRECT(QZ$5),MATCH(QX29,INDIRECT(QZ$4),0)))&lt;&gt;"",INDEX(INDIRECT(QZ$5),MATCH(QX29,INDIRECT(QZ$4),0)),INDEX(INDIRECT(QZ$6),MATCH(QX29,INDIRECT(QZ$4),0))),"")</f>
        <v/>
      </c>
      <c r="RA29" s="97" t="str">
        <f t="shared" ref="RA29:RA57" ca="1" si="213">IFERROR(INDEX(INDIRECT(RA$5),MATCH(QX29,INDIRECT(RA$4),0)),"")</f>
        <v/>
      </c>
      <c r="RB29" s="97" t="str" cm="1">
        <f t="array" aca="1" ref="RB29" ca="1">IFERROR(INDIRECT(QZ29),IF(NOT(ISERROR(FIND(Stammdaten!$CC$3,QX29,1))),$A$2,""))</f>
        <v/>
      </c>
      <c r="RC29" s="97" t="str">
        <f ca="1">IF(RB29="","",IF(AND(QY29=Stammdaten!$BX$20,RA29="0",RB29=1),SUBSTITUTE(TEXT(RB29,RA29)&amp;" "&amp;LEFT(QY29,LEN(QY29)-1),".",","),SUBSTITUTE(TEXT(RB29,RA29)&amp;" "&amp;QY29,".",",")))</f>
        <v/>
      </c>
      <c r="RD29" s="97" t="str">
        <f t="shared" ca="1" si="102"/>
        <v/>
      </c>
      <c r="RE29" s="97" t="str" cm="1">
        <f t="array" aca="1" ref="RE29" ca="1">IFERROR(LEFT(INDIRECT(RD29),1)&amp;"]","")</f>
        <v/>
      </c>
      <c r="RF29" s="97" t="str">
        <f t="shared" ca="1" si="103"/>
        <v/>
      </c>
      <c r="RG29" s="97" t="str">
        <f ca="1">IFERROR(LEFT(QX29,FIND(Stammdaten!$CA$4,QX29,1)-2),IFERROR(LEFT(QX29,FIND(Stammdaten!$CC$3,QX29,1)-2),QX29))</f>
        <v>Darstellen und Tanzen</v>
      </c>
      <c r="RH29" s="97" t="str">
        <f ca="1">IF(NOT(ISERROR(FIND(Stammdaten!$CA$4,QX29,1))),Stammdaten!$CA$4,IF(RI29&lt;&gt;Stammdaten!$CC$3,RF29,""))</f>
        <v>nicht durchgeführt</v>
      </c>
      <c r="RI29" s="91" t="str">
        <f ca="1">IF(RB29=$A$2,Stammdaten!$CC$3,RC29)</f>
        <v/>
      </c>
      <c r="RJ29" s="108">
        <f t="shared" ref="RJ29:RJ57" ca="1" si="214">IF(RI29=$A$3,5,IFERROR(INDEX(INDIRECT(RJ$1),MATCH(TEXT(RL29,RJ$11),INDIRECT(RJ$2),0)),6))</f>
        <v>6</v>
      </c>
      <c r="RK29" s="97"/>
      <c r="RL29" s="308" t="str">
        <f ca="1">IF(QT29=$QT$4,Stammdaten!$BZ$1,IF(QT29=$QT$5,$A$3,QT29))</f>
        <v>Zu wenige Werte</v>
      </c>
      <c r="RM29" s="97"/>
      <c r="RN29" s="307"/>
      <c r="RO29" s="96" t="str">
        <f>IFERROR(IFERROR(SUBSTITUTE(BasketballResultat[[#This Row],[Eingabe]],".",",")*1,SUBSTITUTE(BasketballResultat[[#This Row],[Eingabe]],",",".")*1),"")</f>
        <v/>
      </c>
      <c r="RP29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29" s="96"/>
      <c r="RR29" s="91" t="str" cm="1">
        <f t="array" aca="1" ref="RR29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29" s="96" t="str">
        <f ca="1">LEFT(Geschlecht[[#This Row],[Geschlecht (Skala)]],1)&amp;RX$4</f>
        <v>2</v>
      </c>
      <c r="RT29" s="96" t="str">
        <f t="shared" ca="1" si="104"/>
        <v>Basketball_2[Resultat]</v>
      </c>
      <c r="RU29" s="97" t="str" cm="1">
        <f t="array" aca="1" ref="RU29" ca="1">IF(INDIRECT(RR$1)="","",IF(INDIRECT(RR$2)=0,0,IF(OR(INDIRECT(RR$1)=$A$2,INDIRECT(RR$1)=$A$3),$A$3,IFERROR(INDEX(INDIRECT(RT29),MATCH(INDIRECT(RR$3),INDIRECT(RT29),RT$25)),IFERROR(IF(RT$25=-1,MAX(INDIRECT(RT29)),IF(RT$25=1,MIN(INDIRECT(RT29)))),"")))))</f>
        <v/>
      </c>
      <c r="RW29" s="91" t="str">
        <f t="shared" ca="1" si="105"/>
        <v>Basketball_2[Note]</v>
      </c>
      <c r="RX29" s="97" t="str" cm="1">
        <f t="array" aca="1" ref="RX29" ca="1">IFERROR(INDEX(INDIRECT(RW29),MATCH(INDIRECT(RR$5),INDIRECT(RT29),0)),IF(INDIRECT(RR$5)=0,1,""))</f>
        <v/>
      </c>
      <c r="RY29" s="97"/>
      <c r="RZ29" s="307"/>
      <c r="SA29" s="96" t="str">
        <f>IFERROR(IFERROR(SUBSTITUTE(FussballResultat[[#This Row],[Eingabe]],".",",")*1,SUBSTITUTE(FussballResultat[[#This Row],[Eingabe]],",",".")*1),"")</f>
        <v/>
      </c>
      <c r="SB29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29" s="96"/>
      <c r="SD29" s="316" t="str" cm="1">
        <f t="array" aca="1" ref="SD29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29" s="96" t="str">
        <f ca="1">LEFT(Geschlecht[[#This Row],[Geschlecht (Skala)]],1)&amp;SJ$4</f>
        <v>2</v>
      </c>
      <c r="SF29" s="96" t="str">
        <f t="shared" ca="1" si="106"/>
        <v>Fussball_2[Resultat]</v>
      </c>
      <c r="SG29" s="97" t="str" cm="1">
        <f t="array" aca="1" ref="SG29" ca="1">IF(INDIRECT(SD$1)="","",IF(INDIRECT(SD$2)=0,0,IF(OR(INDIRECT(SD$1)=$A$2,INDIRECT(SD$1)=$A$3),$A$3,IFERROR(INDEX(INDIRECT(SF29),MATCH(INDIRECT(SD$3),INDIRECT(SF29),SF$25)),IFERROR(IF(SF$25=-1,MAX(INDIRECT(SF29)),IF(SF$25=1,MIN(INDIRECT(SF29)))),"")))))</f>
        <v/>
      </c>
      <c r="SI29" s="91" t="str">
        <f t="shared" ca="1" si="107"/>
        <v>Fussball_2[Note]</v>
      </c>
      <c r="SJ29" s="97" t="str" cm="1">
        <f t="array" aca="1" ref="SJ29" ca="1">IFERROR(INDEX(INDIRECT(SI29),MATCH(INDIRECT(SD$5),INDIRECT(SF29),0)),IF(INDIRECT(SD$5)=0,1,""))</f>
        <v/>
      </c>
      <c r="SK29" s="97"/>
      <c r="SL29" s="307"/>
      <c r="SM29" s="96" t="str">
        <f>IFERROR(IFERROR(SUBSTITUTE(HandballResultat[[#This Row],[Eingabe]],".",",")*1,SUBSTITUTE(HandballResultat[[#This Row],[Eingabe]],",",".")*1),"")</f>
        <v/>
      </c>
      <c r="SN29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29" s="96"/>
      <c r="SP29" s="91" t="str" cm="1">
        <f t="array" aca="1" ref="SP29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29" s="96" t="str">
        <f ca="1">LEFT(Geschlecht[[#This Row],[Geschlecht (Skala)]],1)&amp;SV$4</f>
        <v>2</v>
      </c>
      <c r="SR29" s="96" t="str">
        <f t="shared" ca="1" si="108"/>
        <v>Handball_2[Resultat]</v>
      </c>
      <c r="SS29" s="97" t="str" cm="1">
        <f t="array" aca="1" ref="SS29" ca="1">IF(INDIRECT(SP$1)="","",IF(INDIRECT(SP$2)=0,0,IF(OR(INDIRECT(SP$1)=$A$2,INDIRECT(SP$1)=$A$3),$A$3,IFERROR(INDEX(INDIRECT(SR29),MATCH(INDIRECT(SP$3),INDIRECT(SR29),SR$25)),IFERROR(IF(SR$25=-1,MAX(INDIRECT(SR29)),IF(SR$25=1,MIN(INDIRECT(SR29)))),"")))))</f>
        <v/>
      </c>
      <c r="SU29" s="91" t="str">
        <f t="shared" ca="1" si="109"/>
        <v>Handball_2[Note]</v>
      </c>
      <c r="SV29" s="97" t="str" cm="1">
        <f t="array" aca="1" ref="SV29" ca="1">IFERROR(INDEX(INDIRECT(SU29),MATCH(INDIRECT(SP$5),INDIRECT(SR29),0)),IF(INDIRECT(SP$5)=0,1,""))</f>
        <v/>
      </c>
      <c r="SW29" s="97"/>
      <c r="SX29" s="307"/>
      <c r="SY29" s="96" t="str">
        <f>IFERROR(IFERROR(SUBSTITUTE(UnihockeyResultat[[#This Row],[Eingabe]],".",",")*1,SUBSTITUTE(UnihockeyResultat[[#This Row],[Eingabe]],",",".")*1),"")</f>
        <v/>
      </c>
      <c r="SZ29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29" s="96"/>
      <c r="TB29" s="91" t="str" cm="1">
        <f t="array" aca="1" ref="TB29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29" s="96" t="str">
        <f ca="1">LEFT(Geschlecht[[#This Row],[Geschlecht (Skala)]],1)&amp;TH$4</f>
        <v>2</v>
      </c>
      <c r="TD29" s="96" t="str">
        <f t="shared" ca="1" si="110"/>
        <v>Unihockey_2[Resultat]</v>
      </c>
      <c r="TE29" s="97" t="str" cm="1">
        <f t="array" aca="1" ref="TE29" ca="1">IF(INDIRECT(TB$1)="","",IF(INDIRECT(TB$2)=0,0,IF(OR(INDIRECT(TB$1)=$A$2,INDIRECT(TB$1)=$A$3),$A$3,IFERROR(INDEX(INDIRECT(TD29),MATCH(INDIRECT(TB$3),INDIRECT(TD29),TD$25)),IFERROR(IF(TD$25=-1,MAX(INDIRECT(TD29)),IF(TD$25=1,MIN(INDIRECT(TD29)))),"")))))</f>
        <v/>
      </c>
      <c r="TG29" s="91" t="str">
        <f t="shared" ca="1" si="111"/>
        <v>Unihockey_2[Note]</v>
      </c>
      <c r="TH29" s="97" t="str" cm="1">
        <f t="array" aca="1" ref="TH29" ca="1">IFERROR(INDEX(INDIRECT(TG29),MATCH(INDIRECT(TB$5),INDIRECT(TD29),0)),IF(INDIRECT(TB$5)=0,1,""))</f>
        <v/>
      </c>
      <c r="TI29" s="97"/>
      <c r="TJ29" s="307"/>
      <c r="TK29" s="96" t="str">
        <f>IFERROR(IFERROR(SUBSTITUTE(VolleyballResultat[[#This Row],[Eingabe]],".",",")*1,SUBSTITUTE(VolleyballResultat[[#This Row],[Eingabe]],",",".")*1),"")</f>
        <v/>
      </c>
      <c r="TL29" s="96" t="e">
        <f>INT(VolleyballResultat[[#This Row],[Resultat]])=VolleyballResultat[[#This Row],[Resultat]]</f>
        <v>#VALUE!</v>
      </c>
      <c r="TM29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29" s="96"/>
      <c r="TO29" s="91" t="str" cm="1">
        <f t="array" aca="1" ref="TO29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29" s="96" t="str">
        <f ca="1">LEFT(Geschlecht[[#This Row],[Geschlecht (Skala)]],1)&amp;TU$4</f>
        <v>2</v>
      </c>
      <c r="TQ29" s="96" t="str">
        <f t="shared" ca="1" si="112"/>
        <v>Volleyball_2[Resultat]</v>
      </c>
      <c r="TR29" s="97" t="str" cm="1">
        <f t="array" aca="1" ref="TR29" ca="1">IF(INDIRECT(TO$1)="","",IF(INDIRECT(TO$2)=0,0,IF(OR(INDIRECT(TO$1)=$A$2,INDIRECT(TO$1)=$A$3),$A$3,IFERROR(INDEX(INDIRECT(TQ29),MATCH(INDIRECT(TO$3),INDIRECT(TQ29),TQ$25)),IFERROR(IF(TQ$25=-1,MAX(INDIRECT(TQ29)),IF(TQ$25=1,MIN(INDIRECT(TQ29)))),"")))))</f>
        <v/>
      </c>
      <c r="TT29" s="91" t="str">
        <f t="shared" ca="1" si="113"/>
        <v>Volleyball_2[Note]</v>
      </c>
      <c r="TU29" s="97" t="str" cm="1">
        <f t="array" aca="1" ref="TU29" ca="1">IFERROR(INDEX(INDIRECT(TT29),MATCH(INDIRECT(TO$5),INDIRECT(TQ29),0)),IF(INDIRECT(TO$5)=0,1,""))</f>
        <v/>
      </c>
      <c r="TV29" s="97"/>
      <c r="TW29" s="309" t="str" cm="1">
        <f t="array" aca="1" ref="TW29" ca="1">IF(AND(ISNUMBER(INDIRECT(TW$3)),INDIRECT(TW$3)&gt;1),INDIRECT(TW$3),"")</f>
        <v/>
      </c>
      <c r="TX29" s="309" t="str" cm="1">
        <f t="array" aca="1" ref="TX29" ca="1">IF(AND(ISNUMBER(INDIRECT(TX$3)),INDIRECT(TX$3)&gt;1),INDIRECT(TX$3),"")</f>
        <v/>
      </c>
      <c r="TY29" s="309" t="str" cm="1">
        <f t="array" aca="1" ref="TY29" ca="1">IF(AND(ISNUMBER(INDIRECT(TY$3)),INDIRECT(TY$3)&gt;1),INDIRECT(TY$3),"")</f>
        <v/>
      </c>
      <c r="TZ29" s="309" t="str" cm="1">
        <f t="array" aca="1" ref="TZ29" ca="1">IF(AND(ISNUMBER(INDIRECT(TZ$3)),INDIRECT(TZ$3)&gt;1),INDIRECT(TZ$3),"")</f>
        <v/>
      </c>
      <c r="UA29" s="309" t="str" cm="1">
        <f t="array" aca="1" ref="UA29" ca="1">IF(AND(ISNUMBER(INDIRECT(UA$3)),INDIRECT(UA$3)&gt;1),INDIRECT(UA$3),"")</f>
        <v/>
      </c>
      <c r="UB29" s="309" t="str">
        <f t="shared" ca="1" si="114"/>
        <v>x</v>
      </c>
      <c r="UC29" s="309" t="str">
        <f t="shared" ca="1" si="115"/>
        <v>y</v>
      </c>
      <c r="UD29" s="309" t="str">
        <f t="shared" ca="1" si="116"/>
        <v>z</v>
      </c>
      <c r="UE29" s="309" t="str">
        <f t="shared" ref="UE29:UE57" ca="1" si="215">IF(AND(UB29=UC29,UC29=UD29),UB29,"a")</f>
        <v>a</v>
      </c>
      <c r="UF29" s="309" t="str" cm="1">
        <f t="array" aca="1" ref="UF29" ca="1">IF(UE29="a","",INDEX($TW$23:$UA$23,,MATCH(UE29,$TW29:$UA29,0)))</f>
        <v/>
      </c>
      <c r="UG29" s="309" t="str" cm="1">
        <f t="array" aca="1" ref="UG29" ca="1">IF(OR(UF29="",UF29&gt;=$UA$23),"",INDEX(INDIRECT(ADDRESS(ROW($TW$23),UF29+1)):$UA$23,,MATCH(UE29,INDIRECT(ADDRESS(ROW(),UF29+1)):$UA29,0)))</f>
        <v/>
      </c>
      <c r="UH29" s="309" t="str" cm="1">
        <f t="array" aca="1" ref="UH29" ca="1">IF(OR(UG29="",UG29&gt;=$UA$23),"",INDEX(INDIRECT(ADDRESS(ROW($TW$23),UG29+1)):$UA$23,,MATCH(UE29,INDIRECT(ADDRESS(ROW(),UG29+1)):$UA29,0)))</f>
        <v/>
      </c>
      <c r="UI29" s="309" t="str">
        <f t="shared" ref="UI29:UI57" ca="1" si="216">IF(ISNUMBER(UE29),"b",IF(UB29=UC29,UB29,"c"))</f>
        <v>c</v>
      </c>
      <c r="UJ29" s="309" t="str" cm="1">
        <f t="array" aca="1" ref="UJ29" ca="1">IF(OR(UI29="b",UI29="c"),"",INDEX($TW$23:$UA$23,,MATCH(UI29,$TW29:$UA29,0)))</f>
        <v/>
      </c>
      <c r="UK29" s="309" t="str" cm="1">
        <f t="array" aca="1" ref="UK29" ca="1">IF(OR(UJ29="",UJ29&gt;=$UA$23),"",INDEX(INDIRECT(ADDRESS(ROW($TW$23),UJ29+1)):$UA$23,,MATCH(UI29,INDIRECT(ADDRESS(ROW(),UJ29+1)):$UA29,0)))</f>
        <v/>
      </c>
      <c r="UL29" s="309" t="str">
        <f t="shared" ca="1" si="117"/>
        <v/>
      </c>
      <c r="UM29" s="309" t="str">
        <f t="shared" ref="UM29:UM57" ca="1" si="217">IF(OR(ISNUMBER(UE29),ISNUMBER(UI29)),"d",IF(UC29=UD29,UC29,"e"))</f>
        <v>e</v>
      </c>
      <c r="UN29" s="309" t="str">
        <f t="shared" ca="1" si="118"/>
        <v/>
      </c>
      <c r="UO29" s="309" t="str" cm="1">
        <f t="array" aca="1" ref="UO29" ca="1">IF(OR(UM29="d",UM29="e"),"",INDEX($TW$23:$UA$23,,MATCH(UM29,$TW29:$UA29,0)))</f>
        <v/>
      </c>
      <c r="UP29" s="309" t="str" cm="1">
        <f t="array" aca="1" ref="UP29" ca="1">IF(OR(UO29="",UO29&gt;=$UA$23),"",INDEX(INDIRECT(ADDRESS(ROW($TW$23),UO29+1)):$UA$23,,MATCH(UM29,INDIRECT(ADDRESS(ROW(),UO29+1)):$UA29,0)))</f>
        <v/>
      </c>
      <c r="UQ29" s="309" t="str" cm="1">
        <f t="array" aca="1" ref="UQ29" ca="1">IFERROR(IF(ISNUMBER(UF29),UF29,IF(ISNUMBER(UJ29),UJ29,IF(ISNUMBER(UN29),UN29,INDEX($TW$23:$UA$23,,MATCH(UB29,$TW29:$UA29,0))))),"x1")</f>
        <v>x1</v>
      </c>
      <c r="UR29" s="309" t="str" cm="1">
        <f t="array" aca="1" ref="UR29" ca="1">IFERROR(IF(ISNUMBER(UG29),UG29,IF(ISNUMBER(UK29),UK29,IF(ISNUMBER(UO29),UO29,INDEX($TW$23:$UA$23,,MATCH(UC29,$TW29:$UA29,0))))),IF(UQ29="x1","x2","x1"))</f>
        <v>x2</v>
      </c>
      <c r="US29" s="309" t="str" cm="1">
        <f t="array" aca="1" ref="US29" ca="1">IFERROR(IF(ISNUMBER(UH29),UH29,IF(ISNUMBER(UL29),UL29,IF(ISNUMBER(UP29),UP29,INDEX($TW$23:$UA$23,,MATCH(UD29,$TW29:$UA29,0))))),IF(UR29="x1","x2",IF(UR29="x2","x3","x1")))</f>
        <v>x3</v>
      </c>
      <c r="UT29" s="97" t="str" cm="1">
        <f t="array" aca="1" ref="UT29" ca="1">IF(OR(INDIRECT(UT$3)=$A$2,INDIRECT(UT$3)=$A$3),COLUMN(),"")</f>
        <v/>
      </c>
      <c r="UU29" s="97" t="str" cm="1">
        <f t="array" aca="1" ref="UU29" ca="1">IF(OR(INDIRECT(UU$3)=$A$2,INDIRECT(UU$3)=$A$3),COLUMN(),"")</f>
        <v/>
      </c>
      <c r="UV29" s="97" t="str" cm="1">
        <f t="array" aca="1" ref="UV29" ca="1">IF(OR(INDIRECT(UV$3)=$A$2,INDIRECT(UV$3)=$A$3),COLUMN(),"")</f>
        <v/>
      </c>
      <c r="UW29" s="97" t="str" cm="1">
        <f t="array" aca="1" ref="UW29" ca="1">IF(OR(INDIRECT(UW$3)=$A$2,INDIRECT(UW$3)=$A$3),COLUMN(),"")</f>
        <v/>
      </c>
      <c r="UX29" s="97" t="str" cm="1">
        <f t="array" aca="1" ref="UX29" ca="1">IF(OR(INDIRECT(UX$3)=$A$2,INDIRECT(UX$3)=$A$3),COLUMN(),"")</f>
        <v/>
      </c>
      <c r="UY29" s="97" t="str" cm="1">
        <f t="array" aca="1" ref="UY29" ca="1">IF(AND(ISNUMBER(INDIRECT(UY$3)),INDIRECT(UY$3)=0),COLUMN(),"")</f>
        <v/>
      </c>
      <c r="UZ29" s="97" t="str" cm="1">
        <f t="array" aca="1" ref="UZ29" ca="1">IF(AND(ISNUMBER(INDIRECT(UZ$3)),INDIRECT(UZ$3)=0),COLUMN(),"")</f>
        <v/>
      </c>
      <c r="VA29" s="97" t="str" cm="1">
        <f t="array" aca="1" ref="VA29" ca="1">IF(AND(ISNUMBER(INDIRECT(VA$3)),INDIRECT(VA$3)=0),COLUMN(),"")</f>
        <v/>
      </c>
      <c r="VB29" s="97" t="str" cm="1">
        <f t="array" aca="1" ref="VB29" ca="1">IF(AND(ISNUMBER(INDIRECT(VB$3)),INDIRECT(VB$3)=0),COLUMN(),"")</f>
        <v/>
      </c>
      <c r="VC29" s="97" t="str" cm="1">
        <f t="array" aca="1" ref="VC29" ca="1">IF(AND(ISNUMBER(INDIRECT(VC$3)),INDIRECT(VC$3)=0),COLUMN(),"")</f>
        <v/>
      </c>
      <c r="VD29" s="97" t="str">
        <f t="shared" ref="VD29:VD57" ca="1" si="218">IFERROR(IF(ISNUMBER(UQ29),UQ29,SMALL($UT29:$UX29,VALUE(RIGHT(UQ29,1)))),"x1")</f>
        <v>x1</v>
      </c>
      <c r="VE29" s="97" t="str">
        <f t="shared" ref="VE29:VE57" ca="1" si="219">IFERROR(IF(ISNUMBER(UR29),UR29,SMALL($UT29:$UX29,VALUE(RIGHT(UR29,1)))),IF(VD29="x1","x2","x1"))</f>
        <v>x2</v>
      </c>
      <c r="VF29" s="97" t="str">
        <f t="shared" ref="VF29:VF57" ca="1" si="220">IFERROR(IF(ISNUMBER(US29),US29,SMALL($UT29:$UX29,VALUE(RIGHT(US29,1)))),IF(VE29="x1","x2",IF(VE29="x2","x3","x1")))</f>
        <v>x3</v>
      </c>
      <c r="VG29" s="97" t="str">
        <f ca="1">IFERROR(IF(ISNUMBER(VD29),VD29,SMALL($UY29:$VC29,VALUE(RIGHT(VD29,1)))),Stammdaten!$CB$17)</f>
        <v>Erste Spielsportart nicht durchgeführt</v>
      </c>
      <c r="VH29" s="97" t="str">
        <f ca="1">IFERROR(IF(ISNUMBER(VE29),VE29,SMALL($UY29:$VC29,VALUE(RIGHT(VE29,1)))),Stammdaten!$CB$18)</f>
        <v>Zweite Spielsportart nicht durchgeführt</v>
      </c>
      <c r="VI29" s="97" t="str">
        <f ca="1">IFERROR(IF(ISNUMBER(VF29),VF29,SMALL($UY29:$VC29,VALUE(RIGHT(VF29,1)))),Stammdaten!$CB$19)</f>
        <v>Dritte Spielsportart nicht durchgeführt</v>
      </c>
      <c r="VJ29" s="91" t="str" cm="1">
        <f t="array" aca="1" ref="VJ29" ca="1">IFERROR(INDIRECT(ADDRESS(ROW($TW$5),VG29)),VG29)</f>
        <v>Erste Spielsportart nicht durchgeführt</v>
      </c>
      <c r="VK29" s="97" t="str">
        <f t="shared" ref="VK29:VK57" ca="1" si="221">IFERROR(INDEX(INDIRECT(VK$5),MATCH(VJ29,INDIRECT(VK$4),0)),"")</f>
        <v/>
      </c>
      <c r="VL29" s="97" t="str" cm="1">
        <f t="array" aca="1" ref="VL29" ca="1">IFERROR(IF(INDIRECT(INDEX(INDIRECT(VL$5),MATCH(VJ29,INDIRECT(VL$4),0)))&lt;&gt;"",INDEX(INDIRECT(VL$5),MATCH(VJ29,INDIRECT(VL$4),0)),INDEX(INDIRECT(VL$6),MATCH(VJ29,INDIRECT(VL$4),0))),"")</f>
        <v/>
      </c>
      <c r="VM29" s="97" t="str">
        <f t="shared" ref="VM29:VM57" ca="1" si="222">IFERROR(INDEX(INDIRECT(VM$5),MATCH(VJ29,INDIRECT(VM$4),0)),"")</f>
        <v/>
      </c>
      <c r="VN29" s="97" t="str" cm="1">
        <f t="array" aca="1" ref="VN29" ca="1">IFERROR(INDIRECT(VL29),"")</f>
        <v/>
      </c>
      <c r="VO29" s="97" t="str">
        <f ca="1">IF(VN29="","",IF(AND(VK29=Stammdaten!$BX$20,VM29="0",VN29=1),SUBSTITUTE(TEXT(VN29,VM29)&amp;" "&amp;LEFT(VK29,LEN(VK29)-1),".",","),SUBSTITUTE(TEXT(VN29,VM29)&amp;" "&amp;VK29,".",",")))</f>
        <v/>
      </c>
      <c r="VP29" s="97" t="str">
        <f t="shared" ca="1" si="119"/>
        <v/>
      </c>
      <c r="VQ29" s="97" t="str" cm="1">
        <f t="array" aca="1" ref="VQ29" ca="1">IFERROR(LEFT(INDIRECT(VP29),1)&amp;"]","")</f>
        <v/>
      </c>
      <c r="VR29" s="97" t="str">
        <f t="shared" ca="1" si="120"/>
        <v/>
      </c>
      <c r="VS29" s="97" t="str">
        <f ca="1">IFERROR(LEFT(VJ29,FIND(Stammdaten!$CA$4,VJ29,1)-2),IFERROR(LEFT(VJ29,FIND(Stammdaten!$CC$3,VJ29,1)-2),VJ29))</f>
        <v>Erste Spielsportart</v>
      </c>
      <c r="VT29" s="97" t="str">
        <f ca="1">IF(NOT(ISERROR(FIND(Stammdaten!$CA$4,VJ29,1))),Stammdaten!$CA$4,IF(VU29&lt;&gt;Stammdaten!$CC$3,VR29,""))</f>
        <v>nicht durchgeführt</v>
      </c>
      <c r="VU29" s="91" t="str">
        <f ca="1">IF(VN29=$A$2,Stammdaten!$CC$3,VO29)</f>
        <v/>
      </c>
      <c r="VV29" s="91" t="str" cm="1">
        <f t="array" aca="1" ref="VV29" ca="1">IFERROR(INDIRECT(ADDRESS(ROW($TW$5),VH29)),VH29)</f>
        <v>Zweite Spielsportart nicht durchgeführt</v>
      </c>
      <c r="VW29" s="97" t="str">
        <f t="shared" ref="VW29:VW57" ca="1" si="223">IFERROR(INDEX(INDIRECT(VW$5),MATCH(VV29,INDIRECT(VW$4),0)),"")</f>
        <v/>
      </c>
      <c r="VX29" s="97" t="str" cm="1">
        <f t="array" aca="1" ref="VX29" ca="1">IFERROR(IF(INDIRECT(INDEX(INDIRECT(VX$5),MATCH(VV29,INDIRECT(VX$4),0)))&lt;&gt;"",INDEX(INDIRECT(VX$5),MATCH(VV29,INDIRECT(VX$4),0)),INDEX(INDIRECT(VX$6),MATCH(VV29,INDIRECT(VX$4),0))),"")</f>
        <v/>
      </c>
      <c r="VY29" s="97" t="str">
        <f t="shared" ref="VY29:VY57" ca="1" si="224">IFERROR(INDEX(INDIRECT(VY$5),MATCH(VV29,INDIRECT(VY$4),0)),"")</f>
        <v/>
      </c>
      <c r="VZ29" s="97" t="str" cm="1">
        <f t="array" aca="1" ref="VZ29" ca="1">IFERROR(INDIRECT(VX29),"")</f>
        <v/>
      </c>
      <c r="WA29" s="97" t="str">
        <f ca="1">IF(VZ29="","",IF(AND(VW29=Stammdaten!$BX$20,VY29="0",VZ29=1),SUBSTITUTE(TEXT(VZ29,VY29)&amp;" "&amp;LEFT(VW29,LEN(VW29)-1),".",","),SUBSTITUTE(TEXT(VZ29,VY29)&amp;" "&amp;VW29,".",",")))</f>
        <v/>
      </c>
      <c r="WB29" s="97" t="str">
        <f t="shared" ca="1" si="121"/>
        <v/>
      </c>
      <c r="WC29" s="97" t="str" cm="1">
        <f t="array" aca="1" ref="WC29" ca="1">IFERROR(LEFT(INDIRECT(WB29),1)&amp;"]","")</f>
        <v/>
      </c>
      <c r="WD29" s="97" t="str">
        <f t="shared" ca="1" si="122"/>
        <v/>
      </c>
      <c r="WE29" s="97" t="str">
        <f ca="1">IFERROR(LEFT(VV29,FIND(Stammdaten!$CA$4,VV29,1)-2),IFERROR(LEFT(VV29,FIND(Stammdaten!$CC$3,VV29,1)-2),VV29))</f>
        <v>Zweite Spielsportart</v>
      </c>
      <c r="WF29" s="97" t="str">
        <f ca="1">IF(NOT(ISERROR(FIND(Stammdaten!$CA$4,VV29,1))),Stammdaten!$CA$4,IF(WG29&lt;&gt;Stammdaten!$CC$3,WD29,""))</f>
        <v>nicht durchgeführt</v>
      </c>
      <c r="WG29" s="91" t="str">
        <f ca="1">IF(VZ29=$A$2,Stammdaten!$CC$3,WA29)</f>
        <v/>
      </c>
      <c r="WH29" s="91" t="str" cm="1">
        <f t="array" aca="1" ref="WH29" ca="1">IFERROR(INDIRECT(ADDRESS(ROW($TW$5),VI29)),VI29)</f>
        <v>Dritte Spielsportart nicht durchgeführt</v>
      </c>
      <c r="WI29" s="97" t="str">
        <f t="shared" ref="WI29:WI57" ca="1" si="225">IFERROR(INDEX(INDIRECT(WI$5),MATCH(WH29,INDIRECT(WI$4),0)),"")</f>
        <v/>
      </c>
      <c r="WJ29" s="97" t="str" cm="1">
        <f t="array" aca="1" ref="WJ29" ca="1">IFERROR(IF(INDIRECT(INDEX(INDIRECT(WJ$5),MATCH(WH29,INDIRECT(WJ$4),0)))&lt;&gt;"",INDEX(INDIRECT(WJ$5),MATCH(WH29,INDIRECT(WJ$4),0)),INDEX(INDIRECT(WJ$6),MATCH(WH29,INDIRECT(WJ$4),0))),"")</f>
        <v/>
      </c>
      <c r="WK29" s="97" t="str">
        <f t="shared" ref="WK29:WK57" ca="1" si="226">IFERROR(INDEX(INDIRECT(WK$5),MATCH(WH29,INDIRECT(WK$4),0)),"")</f>
        <v/>
      </c>
      <c r="WL29" s="97" t="str" cm="1">
        <f t="array" aca="1" ref="WL29" ca="1">IFERROR(INDIRECT(WJ29),"")</f>
        <v/>
      </c>
      <c r="WM29" s="97" t="str">
        <f ca="1">IF(WL29="","",IF(AND(WI29=Stammdaten!$BX$20,WK29="0",WL29=1),SUBSTITUTE(TEXT(WL29,WK29)&amp;" "&amp;LEFT(WI29,LEN(WI29)-1),".",","),SUBSTITUTE(TEXT(WL29,WK29)&amp;" "&amp;WI29,".",",")))</f>
        <v/>
      </c>
      <c r="WN29" s="97" t="str">
        <f t="shared" ca="1" si="123"/>
        <v/>
      </c>
      <c r="WO29" s="97" t="str" cm="1">
        <f t="array" aca="1" ref="WO29" ca="1">IFERROR(LEFT(INDIRECT(WN29),1)&amp;"]","")</f>
        <v/>
      </c>
      <c r="WP29" s="97" t="str">
        <f t="shared" ca="1" si="124"/>
        <v/>
      </c>
      <c r="WQ29" s="97" t="str">
        <f ca="1">IFERROR(LEFT(WH29,FIND(Stammdaten!$CA$4,WH29,1)-2),IFERROR(LEFT(WH29,FIND(Stammdaten!$CC$3,WH29,1)-2),WH29))</f>
        <v>Dritte Spielsportart</v>
      </c>
      <c r="WR29" s="97" t="str">
        <f ca="1">IF(NOT(ISERROR(FIND(Stammdaten!$CA$4,WH29,1))),Stammdaten!$CA$4,IF(WS29&lt;&gt;Stammdaten!$CC$3,WP29,""))</f>
        <v>nicht durchgeführt</v>
      </c>
      <c r="WS29" s="91" t="str">
        <f ca="1">IF(WL29=$A$2,Stammdaten!$CC$3,WM29)</f>
        <v/>
      </c>
      <c r="WT29" s="97" t="str" cm="1">
        <f t="array" aca="1" ref="WT29" ca="1">INDIRECT(WT$5)</f>
        <v/>
      </c>
      <c r="WU29" s="97" t="str" cm="1">
        <f t="array" aca="1" ref="WU29" ca="1">INDIRECT(WU$5)</f>
        <v/>
      </c>
      <c r="WV29" s="97" t="str" cm="1">
        <f t="array" aca="1" ref="WV29" ca="1">INDIRECT(WV$5)</f>
        <v/>
      </c>
      <c r="WW29" s="97" t="str" cm="1">
        <f t="array" aca="1" ref="WW29" ca="1">INDIRECT(WW$5)</f>
        <v/>
      </c>
      <c r="WX29" s="97" t="str" cm="1">
        <f t="array" aca="1" ref="WX29" ca="1">INDIRECT(WX$5)</f>
        <v/>
      </c>
      <c r="WY29" s="97" cm="1">
        <f t="array" aca="1" ref="WY29" ca="1">IF(INDIRECT(WY$5)&lt;&gt;"",INDIRECT(WY$5),0)</f>
        <v>0</v>
      </c>
      <c r="WZ29" s="97" cm="1">
        <f t="array" aca="1" ref="WZ29" ca="1">IF(INDIRECT(WZ$5)&lt;&gt;"",INDIRECT(WZ$5),0)</f>
        <v>0</v>
      </c>
      <c r="XA29" s="97" cm="1">
        <f t="array" aca="1" ref="XA29" ca="1">IF(INDIRECT(XA$5)&lt;&gt;"",INDIRECT(XA$5),0)</f>
        <v>0</v>
      </c>
      <c r="XB29" s="97" cm="1">
        <f t="array" aca="1" ref="XB29" ca="1">IF(INDIRECT(XB$5)&lt;&gt;"",INDIRECT(XB$5),0)</f>
        <v>0</v>
      </c>
      <c r="XC29" s="97" cm="1">
        <f t="array" aca="1" ref="XC29" ca="1">IF(INDIRECT(XC$5)&lt;&gt;"",INDIRECT(XC$5),0)</f>
        <v>0</v>
      </c>
      <c r="XD29" s="97">
        <f t="shared" ca="1" si="125"/>
        <v>0</v>
      </c>
      <c r="XE29" s="97">
        <f t="shared" ca="1" si="125"/>
        <v>0</v>
      </c>
      <c r="XF29" s="97">
        <f t="shared" ca="1" si="125"/>
        <v>0</v>
      </c>
      <c r="XG29" s="97">
        <f t="shared" ref="XG29:XG57" ca="1" si="227">SUM(XD29:XF29)</f>
        <v>0</v>
      </c>
      <c r="XH29" s="108">
        <f t="shared" ref="XH29:XH57" ca="1" si="228">COUNTIF($WY29:$XC29,"&gt;0")</f>
        <v>0</v>
      </c>
      <c r="XI29" s="108">
        <f t="shared" ca="1" si="126"/>
        <v>0</v>
      </c>
      <c r="XJ29" s="108" t="str">
        <f t="shared" ref="XJ29:XJ57" ca="1" si="229">IF(SUM(XH29:XI29)&lt;XJ$25,"",IF(AND(XH29=0,XI29&gt;=XJ$25),$A$2,IF(XH29&gt;=XJ$25,XJ$25,XH29)))</f>
        <v/>
      </c>
      <c r="XK29" s="97" t="str">
        <f ca="1">IF(XJ29="",Stammdaten!$BZ$1,IF(AND(XH29=0,XI29&gt;=XJ$25),$A$3,ROUND(SUM(XG29/XJ29)/XK$25,0)*XK$25))</f>
        <v>Zu wenige Werte</v>
      </c>
      <c r="XL29" s="108">
        <f t="shared" ref="XL29:XL57" ca="1" si="230">IF(AND(VU29=$A$3,WG29=$A$3,WS29=$A$3),5,IFERROR(INDEX(INDIRECT(XL$1),MATCH(TEXT(XK29,XL$11),INDIRECT(XL$2),0)),6))</f>
        <v>6</v>
      </c>
      <c r="XM29" s="97" t="str">
        <f t="shared" ref="XM29:XM57" ca="1" si="231">IF(XD29&gt;0,TEXT(XD29,XM$11)&amp;" / ","")</f>
        <v/>
      </c>
      <c r="XN29" s="97" t="str">
        <f t="shared" ref="XN29:XN57" ca="1" si="232">IF(XE29&gt;0,TEXT(XE29,XN$11)&amp;" / ","")</f>
        <v/>
      </c>
      <c r="XO29" s="97" t="str">
        <f t="shared" ref="XO29:XO57" ca="1" si="233">IF(XF29&gt;0,TEXT(XF29,XO$11)&amp;" / ","")</f>
        <v/>
      </c>
      <c r="XP29" s="97" t="str">
        <f t="shared" ref="XP29:XP57" ca="1" si="234">IF(XJ29="","",XM29&amp;XN29&amp;XO29)</f>
        <v/>
      </c>
      <c r="XQ29" s="97" t="str">
        <f t="shared" ref="XQ29:XQ57" ca="1" si="235">IF(XI29=0,"g","k")</f>
        <v>g</v>
      </c>
      <c r="XR29" s="97" t="str">
        <f t="shared" ref="XR29:XR57" ca="1" si="236">IF(XK29&lt;4,"R","")</f>
        <v/>
      </c>
      <c r="XS29" s="97">
        <f t="shared" ref="XS29:XS57" ca="1" si="237">IF(XQ29&amp;XR29="g",1,IF(XQ29&amp;XR29="gR",2,IF(XQ29&amp;XR29="k",3,4)))</f>
        <v>1</v>
      </c>
      <c r="XT29" s="97" t="str">
        <f ca="1">IF(OR(Geschlecht[[#This Row],[Geschlecht (Skala)]]="",NOT(ISNUMBER(XJ29))),"",XS29)</f>
        <v/>
      </c>
      <c r="XU29" s="97" t="str">
        <f t="shared" ref="XU29:XU57" ca="1" si="238">IFERROR(LEFT(XP29,LEN(XP29)-2),"")</f>
        <v/>
      </c>
      <c r="XV29" s="97"/>
      <c r="XW29" s="308" t="str">
        <f t="shared" ca="1" si="127"/>
        <v>Zu wenige Werte</v>
      </c>
      <c r="XX29" s="97"/>
      <c r="XY29" s="97" t="str">
        <f t="shared" ca="1" si="128"/>
        <v>Zu wenige Werte</v>
      </c>
      <c r="XZ29" s="97" t="str">
        <f t="shared" ca="1" si="129"/>
        <v>Zu wenige Werte</v>
      </c>
      <c r="YA29" s="97" t="str">
        <f t="shared" ca="1" si="130"/>
        <v>Zu wenige Werte</v>
      </c>
      <c r="YB29" s="97" t="str">
        <f t="shared" ca="1" si="131"/>
        <v>Zu wenige Werte</v>
      </c>
      <c r="YC29" s="97">
        <f t="shared" ref="YC29:YC57" ca="1" si="239">SUM(XY29:YB29)</f>
        <v>0</v>
      </c>
      <c r="YD29" s="108">
        <f t="shared" ref="YD29:YD57" ca="1" si="240">COUNT(XY29:YB29)</f>
        <v>0</v>
      </c>
      <c r="YE29" s="108">
        <f t="shared" ref="YE29:YE57" ca="1" si="241">COUNTIF(XY29:YB29,$A$3)</f>
        <v>0</v>
      </c>
      <c r="YF29" s="108" t="str">
        <f t="shared" ref="YF29:YF57" ca="1" si="242">IF(SUM(YD29:YE29)&lt;YF$25,"",YD29)</f>
        <v/>
      </c>
      <c r="YG29" s="97" t="str">
        <f ca="1">IF(YF29="",Stammdaten!$BZ$1,IF(YE29=YF$25,$A$3,ROUND(SUM(YC29/YF29)/YG$25,0)*YG$25))</f>
        <v>Zu wenige Werte</v>
      </c>
      <c r="YH29" s="97" t="str">
        <f ca="1">IF(NOT(ISNUMBER(XY29)),"",IF(YH$11&lt;&gt;"2+",TEXT(XY29,YH$11)&amp;" / ",IF(RIGHT(XY29*100,2)="00",TEXT(XY29,"0"&amp;Stammdaten!$AZ$3&amp;"0")&amp;" / ",XY29&amp;" / ")))</f>
        <v/>
      </c>
      <c r="YI29" s="97" t="str">
        <f ca="1">IF(NOT(ISNUMBER(XZ29)),"",IF(YI$11&lt;&gt;"2+",TEXT(XZ29,YI$11)&amp;" / ",IF(RIGHT(XZ29*100,2)="00",TEXT(XZ29,"0"&amp;Stammdaten!$AZ$3&amp;"0")&amp;" / ",XZ29&amp;" / ")))</f>
        <v/>
      </c>
      <c r="YJ29" s="97" t="str">
        <f ca="1">IF(NOT(ISNUMBER(YA29)),"",IF(YJ$11&lt;&gt;"2+",TEXT(YA29,YJ$11)&amp;" / ",IF(RIGHT(YA29*100,2)="00",TEXT(YA29,"0"&amp;Stammdaten!$AZ$3&amp;"0")&amp;" / ",YA29&amp;" / ")))</f>
        <v/>
      </c>
      <c r="YK29" s="97" t="str">
        <f ca="1">IF(NOT(ISNUMBER(YB29)),"",IF(YK$11&lt;&gt;"2+",TEXT(YB29,YK$11)&amp;" / ",IF(RIGHT(YB29*100,2)="00",TEXT(YB29,"0"&amp;Stammdaten!$AZ$3&amp;"0")&amp;" / ",YB29&amp;" / ")))</f>
        <v/>
      </c>
      <c r="YL29" s="97" t="str">
        <f t="shared" ref="YL29:YL57" ca="1" si="243">IF(YF29="","",YH29&amp;YI29&amp;YJ29&amp;YK29)</f>
        <v/>
      </c>
      <c r="YM29" s="97" t="str">
        <f>IF(Geschlecht[[#This Row],[Geschlecht (Skala)]]="","",IF(ISNUMBER(XY29),1,IF(XY29=$A$3,$A$2,"R")))</f>
        <v/>
      </c>
      <c r="YN29" s="97" t="str">
        <f>IF(Geschlecht[[#This Row],[Geschlecht (Skala)]]="","",IF(ISNUMBER(XZ29),1,IF(XZ29=$A$3,$A$2,"R")))</f>
        <v/>
      </c>
      <c r="YO29" s="97" t="str">
        <f>IF(Geschlecht[[#This Row],[Geschlecht (Skala)]]="","",IF(ISNUMBER(YA29),1,IF(YA29=$A$3,$A$2,"R")))</f>
        <v/>
      </c>
      <c r="YP29" s="97" t="str">
        <f>IF(Geschlecht[[#This Row],[Geschlecht (Skala)]]="","",IF(ISNUMBER(YB29),1,IF(YB29=$A$3,$A$2,"R")))</f>
        <v/>
      </c>
      <c r="YQ29" s="97" t="str">
        <f t="shared" ref="YQ29:YQ57" si="244">IFERROR(MATCH($A$2,YM29:YP29,0),"g")</f>
        <v>g</v>
      </c>
      <c r="YR29" s="97" t="str">
        <f t="shared" ref="YR29:YR57" ca="1" si="245">IF(YG29&lt;4,"R","")</f>
        <v/>
      </c>
      <c r="YS29" s="97">
        <f t="shared" ref="YS29:YS57" ca="1" si="246">IF(YQ29&amp;YR29="g",1,IF(YQ29&amp;YR29="gR",2,IF(AND(ISNUMBER(YQ29),YR29=""),3,4)))</f>
        <v>1</v>
      </c>
      <c r="YT29" s="97" t="str">
        <f ca="1">IF(OR(Geschlecht[[#This Row],[Geschlecht (Skala)]]="",NOT(ISNUMBER(YG29))),"",YS29)</f>
        <v/>
      </c>
      <c r="YU29" s="97"/>
      <c r="YV29" s="311" t="str">
        <f t="shared" ref="YV29:YV57" si="247">$A$2</f>
        <v>D</v>
      </c>
      <c r="YW29" s="302"/>
      <c r="YX29" s="311" t="str">
        <f t="shared" ref="YX29:YX57" si="248">$A$2</f>
        <v>D</v>
      </c>
      <c r="YY29" s="302"/>
      <c r="YZ29" s="311" t="str">
        <f t="shared" ref="YZ29:YZ57" si="249">$A$2</f>
        <v>D</v>
      </c>
      <c r="ZA29" s="302"/>
      <c r="ZB29" s="311" t="str">
        <f t="shared" ref="ZB29:ZB57" si="250">$A$2</f>
        <v>D</v>
      </c>
      <c r="ZC29" s="97"/>
      <c r="ZD29" s="97" t="str">
        <f t="shared" ca="1" si="132"/>
        <v/>
      </c>
      <c r="ZE29" s="97"/>
      <c r="ZF29" s="308" t="str">
        <f t="shared" ref="ZF29:ZF57" ca="1" si="251">YG29</f>
        <v>Zu wenige Werte</v>
      </c>
      <c r="ZG29" s="312"/>
      <c r="ZH29" s="313" t="s">
        <v>134</v>
      </c>
      <c r="ZJ29" s="91" t="str" cm="1">
        <f t="array" ref="ZJ29">IF(OR(Geschlecht[[#This Row],[Geschlecht (Skala)]]="",ZH29="",ZH29=Stammdaten!$BZ$5),"",REPLACE(INDEX(StdDisziplinen[TabÜberschriftNote],ZH$3),FIND("X",INDEX(StdDisziplinen[TabÜberschriftNote],ZH$3),1),1,Geschlecht[[#This Row],[Geschlecht (Skala)]]))</f>
        <v/>
      </c>
      <c r="ZK29" s="314"/>
      <c r="ZM29" s="315"/>
      <c r="ZN29" s="97" t="str">
        <f>IFERROR(IFERROR(SUBSTITUTE(SchwimmenResultatMin[[#This Row],[Min]],".",",")*1,SUBSTITUTE(SchwimmenResultatMin[[#This Row],[Min]],",",".")*1),"")</f>
        <v/>
      </c>
      <c r="ZO29" s="91" t="e">
        <f>INT(SchwimmenResultatMin[[#This Row],[Resultat]])=SchwimmenResultatMin[[#This Row],[Resultat]]</f>
        <v>#VALUE!</v>
      </c>
      <c r="ZP29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29" s="315"/>
      <c r="ZS29" s="97" t="str">
        <f>IFERROR(IFERROR(SUBSTITUTE(SchwimmenResultatSek[[#This Row],[Sek]],".",",")*1,SUBSTITUTE(SchwimmenResultatSek[[#This Row],[Sek]],",",".")*1),"")</f>
        <v/>
      </c>
      <c r="ZT29" s="108" t="e">
        <f>INT(SchwimmenResultatSek[[#This Row],[Resultat]])=SchwimmenResultatSek[[#This Row],[Resultat]]</f>
        <v>#VALUE!</v>
      </c>
      <c r="ZU29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29" s="97" t="str" cm="1">
        <f t="array" aca="1" ref="ZW29" ca="1">IF(AND(INDIRECT(ZW$2)="",INDIRECT(ZX$2)=""),"",IFERROR((INDIRECT(ZW$2)*$ZW$25)+INDIRECT(ZX$2),""))</f>
        <v/>
      </c>
      <c r="ZX29" s="91" t="str">
        <f ca="1">REPLACE(ZW$4,ZX$6,1,Geschlecht[[#This Row],[Geschlecht (Skala)]])</f>
        <v>Schwimmen_[Resultat]</v>
      </c>
      <c r="ZY29" s="91" t="str">
        <f ca="1">IFERROR(REPLACE($ZX29,FIND(Stammdaten!$V$2,$ZX29,1),LEN(Stammdaten!$V$2),Stammdaten!$BZ$9),"")</f>
        <v>Schwimmen_[Anzeige]</v>
      </c>
      <c r="ZZ29" s="97" t="str" cm="1">
        <f t="array" aca="1" ref="ZZ29" ca="1">IF(INDIRECT(ZW$3)="","",IF(INDIRECT(ZW$3)=0,0,IF(OR(INDIRECT(ZW$1)=$A$2,INDIRECT(ZW$1)=$A$3),$A$3,IFERROR(INDEX(INDIRECT(ZX29),MATCH(INDIRECT(ZW$3),INDIRECT(ZX29),ZY$25)),IFERROR(IF(ZY$25=-1,MAX(INDIRECT(ZX29)),IF(ZY$25=1,MIN(INDIRECT(ZX29)))),"")))))</f>
        <v/>
      </c>
      <c r="AAA29" s="97" t="str" cm="1">
        <f t="array" aca="1" ref="AAA29" ca="1">IF(INDIRECT(ZX$5)=0,0,IF(OR(INDIRECT(ZW$1)=$A$2,INDIRECT(ZW$1)=$A$3),$A$3,IFERROR(INDEX(INDIRECT($ZY29),MATCH(INDIRECT(ZX$5),INDIRECT($ZX29),0)),"")))</f>
        <v/>
      </c>
      <c r="AAC29" s="91" t="str">
        <f ca="1">REPLACE(ZW$6,ZX$6,1,Geschlecht[[#This Row],[Geschlecht (Skala)]])</f>
        <v>Schwimmen_[Note]</v>
      </c>
      <c r="AAD29" s="97" t="str" cm="1">
        <f t="array" aca="1" ref="AAD29" ca="1">IFERROR(INDEX(INDIRECT(AAC29),MATCH(INDIRECT(ZX$5),INDIRECT(ZX29),0)),IF(INDIRECT(ZX$5)=0,1,""))</f>
        <v/>
      </c>
      <c r="AAE29" s="97"/>
      <c r="AAF29" s="96" t="str">
        <f>ZwölfMinLaufHalleResultat[[#This Row],[Resultat]]</f>
        <v/>
      </c>
      <c r="AAG29" s="96"/>
      <c r="AAH29" s="97" t="str">
        <f ca="1">ZwölfMinLaufHalleSkalawert[[#This Row],[Skala-Wert]]</f>
        <v/>
      </c>
      <c r="AAJ29" s="97" t="str">
        <f ca="1">ZwölfMinLaufHalleNote[[#This Row],[Note]]</f>
        <v/>
      </c>
      <c r="AAK29" s="97"/>
      <c r="AAL29" s="96" t="str">
        <f>ZwölfMinLaufimFreienResultat[[#This Row],[Resultat]]</f>
        <v/>
      </c>
      <c r="AAM29" s="96"/>
      <c r="AAN29" s="97" t="str">
        <f ca="1">ZwölfMinLaufimFreienSkalawert[[#This Row],[Skala-Wert]]</f>
        <v/>
      </c>
      <c r="AAP29" s="97" t="str">
        <f ca="1">ZwölfMinLaufimFreienNote[[#This Row],[Note]]</f>
        <v/>
      </c>
      <c r="AAQ29" s="97"/>
      <c r="AAR29" s="307"/>
      <c r="AAS29" s="96" t="str">
        <f>IFERROR(IFERROR(SUBSTITUTE(BeweglichkeitResultat[[#This Row],[Eingabe]],".",",")*1,SUBSTITUTE(BeweglichkeitResultat[[#This Row],[Eingabe]],",",".")*1),"")</f>
        <v/>
      </c>
      <c r="AAT29" s="96" t="e">
        <f>INT(BeweglichkeitResultat[[#This Row],[Resultat]])=BeweglichkeitResultat[[#This Row],[Resultat]]</f>
        <v>#VALUE!</v>
      </c>
      <c r="AAU29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29" s="96"/>
      <c r="AAW29" s="91" t="str" cm="1">
        <f t="array" aca="1" ref="AAW29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29" s="96" t="str">
        <f ca="1">REPLACE(AAW$4,AAX$6,1,Geschlecht[[#This Row],[Geschlecht (Skala)]])</f>
        <v>Beweglichkeit_[Resultat]</v>
      </c>
      <c r="AAY29" s="96" t="str" cm="1">
        <f t="array" aca="1" ref="AAY29" ca="1">IF(OR(INDIRECT(AAW$1)=$A$2,INDIRECT(AAW$1)=$A$3),$A$3,IF(OR(INDIRECT(AAW$2)="",AND(Geschlecht[[#This Row],[Geschlecht (Skala)]]=Stammdaten!$D$7,INDIRECT(AAW$2)&lt;0)),"",IFERROR(INDEX(INDIRECT(AAX29),MATCH(INDIRECT(AAW$3),INDIRECT(AAX29),AAX$25)),IFERROR(IF(AAX$25=-1,MAX(INDIRECT(AAX29)),IF(AAX$25=1,MIN(INDIRECT(AAX29)))),""))))</f>
        <v/>
      </c>
      <c r="AAZ29" s="97" t="str" cm="1">
        <f t="array" aca="1" ref="AAZ29" ca="1">IF(INDIRECT(AAW$1)="","",IF(INDIRECT(AAW$1)=0,0,IF(OR(INDIRECT(AAW$1)=$A$2,INDIRECT(AAW$1)=$A$3),$A$3,IFERROR(INDEX(INDIRECT(AAY29),MATCH(INDIRECT(AAW$3),INDIRECT(AAY29),AAY$27)),IFERROR(IF(AAY$27=-1,MAX(INDIRECT(AAY29)),IF(AAY$27=1,MIN(INDIRECT(AAY29)))),"")))))</f>
        <v/>
      </c>
      <c r="ABA29" s="96" t="str">
        <f ca="1">REPLACE(AAW$6,AAX$6,1,Geschlecht[[#This Row],[Geschlecht (Skala)]])</f>
        <v>Beweglichkeit_[Note]</v>
      </c>
      <c r="ABB29" s="91" t="str" cm="1">
        <f t="array" aca="1" ref="ABB29" ca="1">IFERROR(INDEX(INDIRECT(ABA29),MATCH(INDIRECT(AAW$5),INDIRECT(AAX29),0)),"")</f>
        <v/>
      </c>
      <c r="ABC29" s="97" t="str" cm="1">
        <f t="array" aca="1" ref="ABC29" ca="1">IFERROR(INDEX(INDIRECT(ABB29),MATCH(INDIRECT(AAW$5),INDIRECT(AAY29),0)),"")</f>
        <v/>
      </c>
      <c r="ABD29" s="307"/>
      <c r="ABE29" s="96" t="str">
        <f>IFERROR(IFERROR(SUBSTITUTE(RumpfkraftResultat[[#This Row],[Eingabe]],".",",")*1,SUBSTITUTE(RumpfkraftResultat[[#This Row],[Eingabe]],",",".")*1),"")</f>
        <v/>
      </c>
      <c r="ABF29" s="96" t="e">
        <f>INT(RumpfkraftResultat[[#This Row],[Resultat]])=RumpfkraftResultat[[#This Row],[Resultat]]</f>
        <v>#VALUE!</v>
      </c>
      <c r="ABG29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29" s="96"/>
      <c r="ABI29" s="91" t="str" cm="1">
        <f t="array" aca="1" ref="ABI29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29" s="96" t="str">
        <f ca="1">REPLACE(ABI$4,ABJ$6,1,Geschlecht[[#This Row],[Geschlecht (Skala)]])</f>
        <v>Rumpfkraft_[Resultat]</v>
      </c>
      <c r="ABK29" s="97" t="str" cm="1">
        <f t="array" aca="1" ref="ABK29" ca="1">IF(INDIRECT(ABI$1)="","",IF(OR(INDIRECT(ABI$1)=$A$2,INDIRECT(ABI$1)=$A$3),$A$3,IFERROR(INDEX(INDIRECT(ABJ29),MATCH(INDIRECT(ABI$3),INDIRECT(ABJ29),ABJ$25)),IFERROR(IF(ABJ$25=-1,MAX(INDIRECT(ABJ29)),IF(ABJ$25=1,MIN(INDIRECT(ABJ29)))),""))))</f>
        <v/>
      </c>
      <c r="ABM29" s="91" t="str">
        <f ca="1">REPLACE(ABI$6,ABJ$6,1,Geschlecht[[#This Row],[Geschlecht (Skala)]])</f>
        <v>Rumpfkraft_[Note]</v>
      </c>
      <c r="ABN29" s="97" t="str" cm="1">
        <f t="array" aca="1" ref="ABN29" ca="1">IFERROR(INDEX(INDIRECT(ABM29),MATCH(INDIRECT(ABI$5),INDIRECT(ABJ29),0)),"")</f>
        <v/>
      </c>
      <c r="ABO29" s="97"/>
      <c r="ABP29" s="96" t="str">
        <f>SechzigmLaufResultat[[#This Row],[Resultat]]</f>
        <v/>
      </c>
      <c r="ABQ29" s="96"/>
      <c r="ABR29" s="97" t="str">
        <f ca="1">SechzigmLaufSkalawert[[#This Row],[Skala-Wert]]</f>
        <v/>
      </c>
      <c r="ABT29" s="97" t="str">
        <f ca="1">SechzigmLaufNote[[#This Row],[Note]]</f>
        <v/>
      </c>
      <c r="ABU29" s="97"/>
      <c r="ABV29" s="96" t="str">
        <f>AchtzigmLaufResultat[[#This Row],[Resultat]]</f>
        <v/>
      </c>
      <c r="ABW29" s="96"/>
      <c r="ABX29" s="97" t="str">
        <f ca="1">AchtzigmLaufSkalawert[[#This Row],[Skala-Wert]]</f>
        <v/>
      </c>
      <c r="ABZ29" s="97" t="str">
        <f ca="1">AchtzigmLaufNote[[#This Row],[Note]]</f>
        <v/>
      </c>
      <c r="ACA29" s="97"/>
      <c r="ACB29" s="307"/>
      <c r="ACC29" s="96" t="str">
        <f>IFERROR(IFERROR(SUBSTITUTE(KonditionsparcoursResultat[[#This Row],[Eingabe]],".",",")*1,SUBSTITUTE(KonditionsparcoursResultat[[#This Row],[Eingabe]],",",".")*1),"")</f>
        <v/>
      </c>
      <c r="ACD29" s="96" t="e">
        <f>INT(KonditionsparcoursResultat[[#This Row],[Resultat]])=KonditionsparcoursResultat[[#This Row],[Resultat]]</f>
        <v>#VALUE!</v>
      </c>
      <c r="ACE29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29" s="96"/>
      <c r="ACG29" s="91" t="str" cm="1">
        <f t="array" aca="1" ref="ACG29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29" s="96" t="str">
        <f ca="1">LEFT(Geschlecht[[#This Row],[Geschlecht (Skala)]],1)&amp;ACM$4</f>
        <v>2</v>
      </c>
      <c r="ACI29" s="96" t="str">
        <f t="shared" ca="1" si="133"/>
        <v>Konditionsparcours_2[Resultat]</v>
      </c>
      <c r="ACJ29" s="97" t="str" cm="1">
        <f t="array" aca="1" ref="ACJ29" ca="1">IF(INDIRECT(ACG$1)="","",IF(OR(INDIRECT(ACG$1)=$A$2,INDIRECT(ACG$1)=$A$3),$A$3,IFERROR(INDEX(INDIRECT(ACI29),MATCH(INDIRECT(ACG$3),INDIRECT(ACI29),ACI$25)),IFERROR(IF(ACI$25=-1,MAX(INDIRECT(ACI29)),IF(ACI$25=1,MIN(INDIRECT(ACI29)))),""))))</f>
        <v/>
      </c>
      <c r="ACL29" s="91" t="str">
        <f t="shared" ca="1" si="134"/>
        <v>Konditionsparcours_2[Note]</v>
      </c>
      <c r="ACM29" s="97" t="str" cm="1">
        <f t="array" aca="1" ref="ACM29" ca="1">IFERROR(INDEX(INDIRECT(ACL29),MATCH(INDIRECT(ACG$5),INDIRECT(ACI29),0)),"")</f>
        <v/>
      </c>
      <c r="ACN29" s="102"/>
    </row>
    <row r="30" spans="1:768">
      <c r="A30" s="305">
        <v>3</v>
      </c>
      <c r="B30" s="133"/>
      <c r="C30" s="133"/>
      <c r="E30" s="306"/>
      <c r="G30" s="307"/>
      <c r="H30" s="96" t="str">
        <f>IFERROR(IFERROR(SUBSTITUTE(SechzigmLaufResultat[[#This Row],[Eingabe]],".",",")*1,SUBSTITUTE(SechzigmLaufResultat[[#This Row],[Eingabe]],",",".")*1),"")</f>
        <v/>
      </c>
      <c r="I30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0" s="96"/>
      <c r="K30" s="91" t="str" cm="1">
        <f t="array" aca="1" ref="K30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0" s="96" t="str">
        <f ca="1">LEFT(Geschlecht[[#This Row],[Geschlecht (Skala)]],1)&amp;Q$4</f>
        <v>2</v>
      </c>
      <c r="M30" s="96" t="str">
        <f t="shared" ca="1" si="37"/>
        <v>SechzigmLauf_2[Resultat]</v>
      </c>
      <c r="N30" s="97" t="str" cm="1">
        <f t="array" aca="1" ref="N30" ca="1">IF(INDIRECT(K$1)="","",IF(INDIRECT(K$2)=0,0,IF(OR(INDIRECT(K$1)=$A$2,INDIRECT(K$1)=$A$3),$A$3,IFERROR(INDEX(INDIRECT(M30),MATCH(INDIRECT(K$3),INDIRECT(M30),M$25)),IFERROR(IF(M$25=-1,MAX(INDIRECT(M30)),IF(M$25=1,MIN(INDIRECT(M30)))),"")))))</f>
        <v/>
      </c>
      <c r="P30" s="91" t="str">
        <f t="shared" ca="1" si="38"/>
        <v>SechzigmLauf_2[Note]</v>
      </c>
      <c r="Q30" s="97" t="str" cm="1">
        <f t="array" aca="1" ref="Q30" ca="1">IFERROR(INDEX(INDIRECT(P30),MATCH(INDIRECT(K$5),INDIRECT(M30),0)),IF(INDIRECT(K$5)=0,1,""))</f>
        <v/>
      </c>
      <c r="R30" s="97"/>
      <c r="S30" s="307"/>
      <c r="T30" s="96" t="str">
        <f>IFERROR(IFERROR(SUBSTITUTE(AchtzigmLaufResultat[[#This Row],[Eingabe]],".",",")*1,SUBSTITUTE(AchtzigmLaufResultat[[#This Row],[Eingabe]],",",".")*1),"")</f>
        <v/>
      </c>
      <c r="U30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0" s="96"/>
      <c r="W30" s="91" t="str" cm="1">
        <f t="array" aca="1" ref="W30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0" s="96" t="str">
        <f ca="1">LEFT(Geschlecht[[#This Row],[Geschlecht (Skala)]],1)&amp;AC$4</f>
        <v>2</v>
      </c>
      <c r="Y30" s="96" t="str">
        <f t="shared" ca="1" si="39"/>
        <v>AchtzigmLauf_2[Resultat]</v>
      </c>
      <c r="Z30" s="97" t="str" cm="1">
        <f t="array" aca="1" ref="Z30" ca="1">IF(INDIRECT(W$1)="","",IF(INDIRECT(W$2)=0,0,IF(OR(INDIRECT(W$1)=$A$2,INDIRECT(W$1)=$A$3),$A$3,IFERROR(INDEX(INDIRECT(Y30),MATCH(INDIRECT(W$3),INDIRECT(Y30),Y$25)),IFERROR(IF(Y$25=-1,MAX(INDIRECT(Y30)),IF(Y$25=1,MIN(INDIRECT(Y30)))),"")))))</f>
        <v/>
      </c>
      <c r="AB30" s="91" t="str">
        <f t="shared" ca="1" si="40"/>
        <v>AchtzigmLauf_2[Note]</v>
      </c>
      <c r="AC30" s="97" t="str" cm="1">
        <f t="array" aca="1" ref="AC30" ca="1">IFERROR(INDEX(INDIRECT(AB30),MATCH(INDIRECT(W$5),INDIRECT(Y30),0)),IF(INDIRECT(W$5)=0,1,""))</f>
        <v/>
      </c>
      <c r="AD30" s="97"/>
      <c r="AE30" s="307"/>
      <c r="AF30" s="96" t="str">
        <f>IFERROR(IFERROR(SUBSTITUTE(ZwölfMinLaufHalleResultat[[#This Row],[Eingabe]],".",",")*1,SUBSTITUTE(ZwölfMinLaufHalleResultat[[#This Row],[Eingabe]],",",".")*1),"")</f>
        <v/>
      </c>
      <c r="AG30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0" s="96"/>
      <c r="AI30" s="91" t="str" cm="1">
        <f t="array" aca="1" ref="AI30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0" s="96" t="str">
        <f ca="1">LEFT(Geschlecht[[#This Row],[Geschlecht (Skala)]],1)&amp;AO$4</f>
        <v>2</v>
      </c>
      <c r="AK30" s="96" t="str">
        <f t="shared" ca="1" si="41"/>
        <v>ZwölfMinLaufHalle_2[Resultat]</v>
      </c>
      <c r="AL30" s="97" t="str" cm="1">
        <f t="array" aca="1" ref="AL30" ca="1">IF(INDIRECT(AI$1)="","",IF(INDIRECT(AI$2)=0,0,IF(OR(INDIRECT(AI$1)=$A$2,INDIRECT(AI$1)=$A$3),$A$3,IFERROR(INDEX(INDIRECT(AK30),MATCH(INDIRECT(AI$3),INDIRECT(AK30),AK$25)),IFERROR(IF(AK$25=-1,MAX(INDIRECT(AK30)),IF(AK$25=1,MIN(INDIRECT(AK30)))),"")))))</f>
        <v/>
      </c>
      <c r="AN30" s="91" t="str">
        <f t="shared" ca="1" si="42"/>
        <v>ZwölfMinLaufHalle_2[Note]</v>
      </c>
      <c r="AO30" s="97" t="str" cm="1">
        <f t="array" aca="1" ref="AO30" ca="1">IFERROR(INDEX(INDIRECT(AN30),MATCH(INDIRECT(AI$5),INDIRECT(AK30),0)),IF(INDIRECT(AI$5)=0,1,""))</f>
        <v/>
      </c>
      <c r="AP30" s="97"/>
      <c r="AQ30" s="307"/>
      <c r="AR30" s="96" t="str">
        <f>IFERROR(IFERROR(SUBSTITUTE(ZwölfMinLaufimFreienResultat[[#This Row],[Eingabe]],".",",")*1,SUBSTITUTE(ZwölfMinLaufimFreienResultat[[#This Row],[Eingabe]],",",".")*1),"")</f>
        <v/>
      </c>
      <c r="AS30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0" s="96"/>
      <c r="AU30" s="91" t="str" cm="1">
        <f t="array" aca="1" ref="AU30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0" s="96" t="str">
        <f ca="1">LEFT(Geschlecht[[#This Row],[Geschlecht (Skala)]],1)&amp;BA$4</f>
        <v>2</v>
      </c>
      <c r="AW30" s="96" t="str">
        <f t="shared" ca="1" si="43"/>
        <v>ZwölfMinLaufimFreien_2[Resultat]</v>
      </c>
      <c r="AX30" s="97" t="str" cm="1">
        <f t="array" aca="1" ref="AX30" ca="1">IF(INDIRECT(AU$1)="","",IF(INDIRECT(AU$2)=0,0,IF(OR(INDIRECT(AU$1)=$A$2,INDIRECT(AU$1)=$A$3),$A$3,IFERROR(INDEX(INDIRECT(AW30),MATCH(INDIRECT(AU$3),INDIRECT(AW30),AW$25)),IFERROR(IF(AW$25=-1,MAX(INDIRECT(AW30)),IF(AW$25=1,MIN(INDIRECT(AW30)))),"")))))</f>
        <v/>
      </c>
      <c r="AZ30" s="91" t="str">
        <f t="shared" ca="1" si="44"/>
        <v>ZwölfMinLaufimFreien_2[Note]</v>
      </c>
      <c r="BA30" s="97" t="str" cm="1">
        <f t="array" aca="1" ref="BA30" ca="1">IFERROR(INDEX(INDIRECT(AZ30),MATCH(INDIRECT(AU$5),INDIRECT(AW30),0)),IF(INDIRECT(AU$5)=0,1,""))</f>
        <v/>
      </c>
      <c r="BB30" s="97"/>
      <c r="BC30" s="307"/>
      <c r="BD30" s="96" t="str">
        <f>IFERROR(IFERROR(SUBSTITUTE(HochsprungResultat[[#This Row],[Eingabe]],".",",")*1,SUBSTITUTE(HochsprungResultat[[#This Row],[Eingabe]],",",".")*1),"")</f>
        <v/>
      </c>
      <c r="BE30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0" s="96"/>
      <c r="BG30" s="91" t="str" cm="1">
        <f t="array" aca="1" ref="BG30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0" s="96" t="str">
        <f ca="1">LEFT(Geschlecht[[#This Row],[Geschlecht (Skala)]],1)&amp;BM$4</f>
        <v>2</v>
      </c>
      <c r="BI30" s="96" t="str">
        <f t="shared" ca="1" si="45"/>
        <v>Hochsprung_2[Resultat]</v>
      </c>
      <c r="BJ30" s="97" t="str" cm="1">
        <f t="array" aca="1" ref="BJ30" ca="1">IF(INDIRECT(BG$1)="","",IF(INDIRECT(BG$2)=0,0,IF(OR(INDIRECT(BG$1)=$A$2,INDIRECT(BG$1)=$A$3),$A$3,IFERROR(INDEX(INDIRECT(BI30),MATCH(INDIRECT(BG$3),INDIRECT(BI30),BI$25)),IFERROR(IF(BI$25=-1,MAX(INDIRECT(BI30)),IF(BI$25=1,MIN(INDIRECT(BI30)))),"")))))</f>
        <v/>
      </c>
      <c r="BL30" s="91" t="str">
        <f t="shared" ca="1" si="46"/>
        <v>Hochsprung_2[Note]</v>
      </c>
      <c r="BM30" s="97" t="str" cm="1">
        <f t="array" aca="1" ref="BM30" ca="1">IFERROR(INDEX(INDIRECT(BL30),MATCH(INDIRECT(BG$5),INDIRECT(BI30),0)),IF(INDIRECT(BG$5)=0,1,""))</f>
        <v/>
      </c>
      <c r="BN30" s="97"/>
      <c r="BO30" s="307"/>
      <c r="BP30" s="96" t="str">
        <f>IFERROR(IFERROR(SUBSTITUTE(WeitsprungResultat[[#This Row],[Eingabe]],".",",")*1,SUBSTITUTE(WeitsprungResultat[[#This Row],[Eingabe]],",",".")*1),"")</f>
        <v/>
      </c>
      <c r="BQ30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0" s="96"/>
      <c r="BS30" s="91" t="str" cm="1">
        <f t="array" aca="1" ref="BS30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0" s="96" t="str">
        <f ca="1">LEFT(Geschlecht[[#This Row],[Geschlecht (Skala)]],1)&amp;BY$4</f>
        <v>2</v>
      </c>
      <c r="BU30" s="96" t="str">
        <f t="shared" ca="1" si="47"/>
        <v>Weitsprung_2[Resultat]</v>
      </c>
      <c r="BV30" s="97" t="str" cm="1">
        <f t="array" aca="1" ref="BV30" ca="1">IF(INDIRECT(BS$1)="","",IF(INDIRECT(BS$2)=0,0,IF(OR(INDIRECT(BS$1)=$A$2,INDIRECT(BS$1)=$A$3),$A$3,IFERROR(INDEX(INDIRECT(BU30),MATCH(INDIRECT(BS$3),INDIRECT(BU30),BU$25)),IFERROR(IF(BU$25=-1,MAX(INDIRECT(BU30)),IF(BU$25=1,MIN(INDIRECT(BU30)))),"")))))</f>
        <v/>
      </c>
      <c r="BX30" s="91" t="str">
        <f t="shared" ca="1" si="48"/>
        <v>Weitsprung_2[Note]</v>
      </c>
      <c r="BY30" s="97" t="str" cm="1">
        <f t="array" aca="1" ref="BY30" ca="1">IFERROR(INDEX(INDIRECT(BX30),MATCH(INDIRECT(BS$5),INDIRECT(BU30),0)),IF(INDIRECT(BS$5)=0,1,""))</f>
        <v/>
      </c>
      <c r="BZ30" s="97"/>
      <c r="CA30" s="307"/>
      <c r="CB30" s="96" t="str">
        <f>IFERROR(IFERROR(SUBSTITUTE(BallwurfResultat[[#This Row],[Eingabe]],".",",")*1,SUBSTITUTE(BallwurfResultat[[#This Row],[Eingabe]],",",".")*1),"")</f>
        <v/>
      </c>
      <c r="CC30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0" s="96"/>
      <c r="CE30" s="91" t="str" cm="1">
        <f t="array" aca="1" ref="CE30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0" s="96" t="str">
        <f ca="1">LEFT(Geschlecht[[#This Row],[Geschlecht (Skala)]],1)&amp;CK$4</f>
        <v>2</v>
      </c>
      <c r="CG30" s="96" t="str">
        <f t="shared" ca="1" si="49"/>
        <v>Ballwurf_2[Resultat]</v>
      </c>
      <c r="CH30" s="97" t="str" cm="1">
        <f t="array" aca="1" ref="CH30" ca="1">IF(INDIRECT(CE$1)="","",IF(INDIRECT(CE$2)=0,0,IF(OR(INDIRECT(CE$1)=$A$2,INDIRECT(CE$1)=$A$3),$A$3,IFERROR(INDEX(INDIRECT(CG30),MATCH(INDIRECT(CE$3),INDIRECT(CG30),CG$25)),IFERROR(IF(CG$25=-1,MAX(INDIRECT(CG30)),IF(CG$25=1,MIN(INDIRECT(CG30)))),"")))))</f>
        <v/>
      </c>
      <c r="CJ30" s="91" t="str">
        <f t="shared" ca="1" si="50"/>
        <v>Ballwurf_2[Note]</v>
      </c>
      <c r="CK30" s="97" t="str" cm="1">
        <f t="array" aca="1" ref="CK30" ca="1">IFERROR(INDEX(INDIRECT(CJ30),MATCH(INDIRECT(CE$5),INDIRECT(CG30),0)),IF(INDIRECT(CE$5)=0,1,""))</f>
        <v/>
      </c>
      <c r="CL30" s="97"/>
      <c r="CM30" s="307"/>
      <c r="CN30" s="96" t="str">
        <f>IFERROR(IFERROR(SUBSTITUTE(KugelstossenResultat[[#This Row],[Eingabe]],".",",")*1,SUBSTITUTE(KugelstossenResultat[[#This Row],[Eingabe]],",",".")*1),"")</f>
        <v/>
      </c>
      <c r="CO30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0" s="96"/>
      <c r="CQ30" s="91" t="str" cm="1">
        <f t="array" aca="1" ref="CQ30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0" s="96" t="str">
        <f ca="1">LEFT(Geschlecht[[#This Row],[Geschlecht (Skala)]],1)&amp;CW$4</f>
        <v>2</v>
      </c>
      <c r="CS30" s="96" t="str">
        <f t="shared" ca="1" si="51"/>
        <v>Kugelstossen_2[Resultat]</v>
      </c>
      <c r="CT30" s="97" t="str" cm="1">
        <f t="array" aca="1" ref="CT30" ca="1">IF(INDIRECT(CQ$1)="","",IF(INDIRECT(CQ$2)=0,0,IF(OR(INDIRECT(CQ$1)=$A$2,INDIRECT(CQ$1)=$A$3),$A$3,IFERROR(INDEX(INDIRECT(CS30),MATCH(INDIRECT(CQ$3),INDIRECT(CS30),CS$25)),IFERROR(IF(CS$25=-1,MAX(INDIRECT(CS30)),IF(CS$25=1,MIN(INDIRECT(CS30)))),"")))))</f>
        <v/>
      </c>
      <c r="CV30" s="91" t="str">
        <f t="shared" ca="1" si="52"/>
        <v>Kugelstossen_2[Note]</v>
      </c>
      <c r="CW30" s="97" t="str" cm="1">
        <f t="array" aca="1" ref="CW30" ca="1">IFERROR(INDEX(INDIRECT(CV30),MATCH(INDIRECT(CQ$5),INDIRECT(CS30),0)),IF(INDIRECT(CQ$5)=0,1,""))</f>
        <v/>
      </c>
      <c r="CX30" s="97"/>
      <c r="CY30" s="307"/>
      <c r="CZ30" s="96" t="str">
        <f>IFERROR(IFERROR(SUBSTITUTE(SpeerwurfResultat[[#This Row],[Eingabe]],".",",")*1,SUBSTITUTE(SpeerwurfResultat[[#This Row],[Eingabe]],",",".")*1),"")</f>
        <v/>
      </c>
      <c r="DA30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0" s="96"/>
      <c r="DC30" s="91" t="str" cm="1">
        <f t="array" aca="1" ref="DC30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0" s="96" t="str">
        <f ca="1">LEFT(Geschlecht[[#This Row],[Geschlecht (Skala)]],1)&amp;DI$4</f>
        <v>2</v>
      </c>
      <c r="DE30" s="96" t="str">
        <f t="shared" ca="1" si="53"/>
        <v>Speerwurf_2[Resultat]</v>
      </c>
      <c r="DF30" s="97" t="str" cm="1">
        <f t="array" aca="1" ref="DF30" ca="1">IF(INDIRECT(DC$1)="","",IF(INDIRECT(DC$2)=0,0,IF(OR(INDIRECT(DC$1)=$A$2,INDIRECT(DC$1)=$A$3),$A$3,IFERROR(INDEX(INDIRECT(DE30),MATCH(INDIRECT(DC$3),INDIRECT(DE30),DE$25)),IFERROR(IF(DE$25=-1,MAX(INDIRECT(DE30)),IF(DE$25=1,MIN(INDIRECT(DE30)))),"")))))</f>
        <v/>
      </c>
      <c r="DH30" s="91" t="str">
        <f t="shared" ca="1" si="54"/>
        <v>Speerwurf_2[Note]</v>
      </c>
      <c r="DI30" s="97" t="str" cm="1">
        <f t="array" aca="1" ref="DI30" ca="1">IFERROR(INDEX(INDIRECT(DH30),MATCH(INDIRECT(DC$5),INDIRECT(DE30),0)),IF(INDIRECT(DC$5)=0,1,""))</f>
        <v/>
      </c>
      <c r="DJ30" s="97"/>
      <c r="DK30" s="97" t="str" cm="1">
        <f t="array" aca="1" ref="DK30" ca="1">INDIRECT(DK$5)</f>
        <v/>
      </c>
      <c r="DL30" s="97" t="str" cm="1">
        <f t="array" aca="1" ref="DL30" ca="1">INDIRECT(DL$5)</f>
        <v/>
      </c>
      <c r="DM30" s="97" t="str" cm="1">
        <f t="array" aca="1" ref="DM30" ca="1">INDIRECT(DM$5)</f>
        <v/>
      </c>
      <c r="DN30" s="97" t="str" cm="1">
        <f t="array" aca="1" ref="DN30" ca="1">INDIRECT(DN$5)</f>
        <v/>
      </c>
      <c r="DO30" s="97" t="str">
        <f t="shared" ca="1" si="135"/>
        <v>Sprintdisziplinen nicht durchgeführt</v>
      </c>
      <c r="DP30" s="97" t="str">
        <f t="shared" ca="1" si="136"/>
        <v/>
      </c>
      <c r="DQ30" s="108">
        <f t="shared" ca="1" si="137"/>
        <v>0</v>
      </c>
      <c r="DR30" s="108">
        <f t="shared" ca="1" si="138"/>
        <v>0</v>
      </c>
      <c r="DS30" s="108" t="str">
        <f t="shared" ca="1" si="139"/>
        <v/>
      </c>
      <c r="DT30" s="97" t="str">
        <f t="shared" ca="1" si="140"/>
        <v>Sprintdisziplinen nicht durchgeführt</v>
      </c>
      <c r="DU30" s="97" t="str">
        <f t="shared" ca="1" si="141"/>
        <v/>
      </c>
      <c r="DV30" s="97" t="str" cm="1">
        <f t="array" aca="1" ref="DV30" ca="1">IFERROR(IF(INDIRECT(INDEX(INDIRECT(DV$5),MATCH(DT30,INDIRECT(DV$4),0)))&lt;&gt;"",INDEX(INDIRECT(DV$5),MATCH(DT30,INDIRECT(DV$4),0)),INDEX(INDIRECT(DV$6),MATCH(DT30,INDIRECT(DV$4),0))),"")</f>
        <v/>
      </c>
      <c r="DW30" s="97" t="str">
        <f t="shared" ca="1" si="142"/>
        <v/>
      </c>
      <c r="DX30" s="97" t="str" cm="1">
        <f t="array" aca="1" ref="DX30" ca="1">IFERROR(INDIRECT(DV30),IF(NOT(ISERROR(FIND(Stammdaten!$CC$3,DT30,1))),$A$2,""))</f>
        <v/>
      </c>
      <c r="DY30" s="97" t="str">
        <f ca="1">IF(DX30="","",IF(AND(DU30=Stammdaten!$BX$20,DW30="0",DX30=1),SUBSTITUTE(TEXT(DX30,DW30)&amp;" "&amp;LEFT(DU30,LEN(DU30)-1),".",","),SUBSTITUTE(TEXT(DX30,DW30)&amp;" "&amp;DU30,".",",")))</f>
        <v/>
      </c>
      <c r="DZ30" s="97" t="str">
        <f t="shared" ca="1" si="55"/>
        <v/>
      </c>
      <c r="EA30" s="97" t="str" cm="1">
        <f t="array" aca="1" ref="EA30" ca="1">IFERROR(LEFT(INDIRECT(DZ30),1)&amp;"]","")</f>
        <v/>
      </c>
      <c r="EB30" s="97" t="str">
        <f t="shared" ca="1" si="56"/>
        <v/>
      </c>
      <c r="EC30" s="97" t="str">
        <f ca="1">IFERROR(LEFT(DT30,FIND(Stammdaten!$CA$4,DT30,1)-2),IFERROR(LEFT(DT30,FIND(Stammdaten!$CC$3,DT30,1)-2),DT30))</f>
        <v>Sprintdisziplinen</v>
      </c>
      <c r="ED30" s="97" t="str">
        <f ca="1">IF(NOT(ISERROR(FIND(Stammdaten!$CA$4,DT30,1))),Stammdaten!$CA$4,IF(EE30&lt;&gt;Stammdaten!$CC$3,EB30,""))</f>
        <v>nicht durchgeführt</v>
      </c>
      <c r="EE30" s="91" t="str">
        <f ca="1">IF(DX30=$A$2,Stammdaten!$CC$3,DY30)</f>
        <v/>
      </c>
      <c r="EF30" s="97" t="str" cm="1">
        <f t="array" aca="1" ref="EF30" ca="1">INDIRECT(EF$5)</f>
        <v/>
      </c>
      <c r="EG30" s="97" t="str" cm="1">
        <f t="array" aca="1" ref="EG30" ca="1">INDIRECT(EG$5)</f>
        <v/>
      </c>
      <c r="EH30" s="97" t="str" cm="1">
        <f t="array" aca="1" ref="EH30" ca="1">INDIRECT(EH$5)</f>
        <v/>
      </c>
      <c r="EI30" s="97" t="str" cm="1">
        <f t="array" aca="1" ref="EI30" ca="1">INDIRECT(EI$5)</f>
        <v/>
      </c>
      <c r="EJ30" s="97" t="str">
        <f t="shared" ca="1" si="143"/>
        <v>Ausdauerdisziplinen nicht durchgeführt</v>
      </c>
      <c r="EK30" s="97" t="str">
        <f t="shared" ca="1" si="144"/>
        <v/>
      </c>
      <c r="EL30" s="108">
        <f t="shared" ca="1" si="145"/>
        <v>0</v>
      </c>
      <c r="EM30" s="108">
        <f t="shared" ca="1" si="146"/>
        <v>0</v>
      </c>
      <c r="EN30" s="108" t="str">
        <f t="shared" ca="1" si="147"/>
        <v/>
      </c>
      <c r="EO30" s="97" t="str">
        <f t="shared" ca="1" si="148"/>
        <v>Ausdauerdisziplinen nicht durchgeführt</v>
      </c>
      <c r="EP30" s="97" t="str">
        <f t="shared" ca="1" si="149"/>
        <v/>
      </c>
      <c r="EQ30" s="97" t="str" cm="1">
        <f t="array" aca="1" ref="EQ30" ca="1">IFERROR(IF(INDIRECT(INDEX(INDIRECT(EQ$5),MATCH(EO30,INDIRECT(EQ$4),0)))&lt;&gt;"",INDEX(INDIRECT(EQ$5),MATCH(EO30,INDIRECT(EQ$4),0)),INDEX(INDIRECT(EQ$6),MATCH(EO30,INDIRECT(EQ$4),0))),"")</f>
        <v/>
      </c>
      <c r="ER30" s="97" t="str">
        <f t="shared" ca="1" si="150"/>
        <v/>
      </c>
      <c r="ES30" s="97" t="str" cm="1">
        <f t="array" aca="1" ref="ES30" ca="1">IFERROR(INDIRECT(EQ30),IF(NOT(ISERROR(FIND(Stammdaten!$CC$3,EO30,1))),$A$2,""))</f>
        <v/>
      </c>
      <c r="ET30" s="97" t="str">
        <f ca="1">IF(ES30="","",IF(AND(EP30=Stammdaten!$BX$20,ER30="0",ES30=1),SUBSTITUTE(TEXT(ES30,ER30)&amp;" "&amp;LEFT(EP30,LEN(EP30)-1),".",","),SUBSTITUTE(TEXT(ES30,ER30)&amp;" "&amp;EP30,".",",")))</f>
        <v/>
      </c>
      <c r="EU30" s="97" t="str">
        <f t="shared" ca="1" si="57"/>
        <v/>
      </c>
      <c r="EV30" s="97" t="str" cm="1">
        <f t="array" aca="1" ref="EV30" ca="1">IFERROR(LEFT(INDIRECT(EU30),1)&amp;"]","")</f>
        <v/>
      </c>
      <c r="EW30" s="97" t="str">
        <f t="shared" ca="1" si="58"/>
        <v/>
      </c>
      <c r="EX30" s="97" t="str">
        <f ca="1">IFERROR(LEFT(EO30,FIND(Stammdaten!$CA$4,EO30,1)-2),IFERROR(LEFT(EO30,FIND(Stammdaten!$CC$3,EO30,1)-2),EO30))</f>
        <v>Ausdauerdisziplinen</v>
      </c>
      <c r="EY30" s="97" t="str">
        <f ca="1">IF(NOT(ISERROR(FIND(Stammdaten!$CA$4,EO30,1))),Stammdaten!$CA$4,IF(EZ30&lt;&gt;Stammdaten!$CC$3,EW30,""))</f>
        <v>nicht durchgeführt</v>
      </c>
      <c r="EZ30" s="91" t="str">
        <f ca="1">IF(ES30=$A$2,Stammdaten!$CC$3,ET30)</f>
        <v/>
      </c>
      <c r="FA30" s="97" t="str" cm="1">
        <f t="array" aca="1" ref="FA30" ca="1">INDIRECT(FA$5)</f>
        <v/>
      </c>
      <c r="FB30" s="97" t="str" cm="1">
        <f t="array" aca="1" ref="FB30" ca="1">INDIRECT(FB$5)</f>
        <v/>
      </c>
      <c r="FC30" s="97" t="str" cm="1">
        <f t="array" aca="1" ref="FC30" ca="1">INDIRECT(FC$5)</f>
        <v/>
      </c>
      <c r="FD30" s="97" t="str" cm="1">
        <f t="array" aca="1" ref="FD30" ca="1">INDIRECT(FD$5)</f>
        <v/>
      </c>
      <c r="FE30" s="97" t="str">
        <f t="shared" ca="1" si="151"/>
        <v>Sprungdisziplinen nicht durchgeführt</v>
      </c>
      <c r="FF30" s="97" t="str">
        <f t="shared" ca="1" si="152"/>
        <v/>
      </c>
      <c r="FG30" s="108">
        <f t="shared" ca="1" si="153"/>
        <v>0</v>
      </c>
      <c r="FH30" s="108">
        <f t="shared" ca="1" si="154"/>
        <v>0</v>
      </c>
      <c r="FI30" s="108" t="str">
        <f t="shared" ca="1" si="155"/>
        <v/>
      </c>
      <c r="FJ30" s="97" t="str">
        <f t="shared" ca="1" si="156"/>
        <v>Sprungdisziplinen nicht durchgeführt</v>
      </c>
      <c r="FK30" s="97" t="str">
        <f t="shared" ca="1" si="157"/>
        <v/>
      </c>
      <c r="FL30" s="97" t="str" cm="1">
        <f t="array" aca="1" ref="FL30" ca="1">IFERROR(IF(INDIRECT(INDEX(INDIRECT(FL$5),MATCH(FJ30,INDIRECT(FL$4),0)))&lt;&gt;"",INDEX(INDIRECT(FL$5),MATCH(FJ30,INDIRECT(FL$4),0)),INDEX(INDIRECT(FL$6),MATCH(FJ30,INDIRECT(FL$4),0))),"")</f>
        <v/>
      </c>
      <c r="FM30" s="97" t="str">
        <f t="shared" ca="1" si="158"/>
        <v/>
      </c>
      <c r="FN30" s="97" t="str" cm="1">
        <f t="array" aca="1" ref="FN30" ca="1">IFERROR(INDIRECT(FL30),IF(NOT(ISERROR(FIND(Stammdaten!$CC$3,FJ30,1))),$A$2,""))</f>
        <v/>
      </c>
      <c r="FO30" s="97" t="str">
        <f ca="1">IF(FN30="","",IF(AND(FK30=Stammdaten!$BX$20,FM30="0",FN30=1),SUBSTITUTE(TEXT(FN30,FM30)&amp;" "&amp;LEFT(FK30,LEN(FK30)-1),".",","),SUBSTITUTE(TEXT(FN30,FM30)&amp;" "&amp;FK30,".",",")))</f>
        <v/>
      </c>
      <c r="FP30" s="97" t="str">
        <f t="shared" ca="1" si="59"/>
        <v/>
      </c>
      <c r="FQ30" s="97" t="str" cm="1">
        <f t="array" aca="1" ref="FQ30" ca="1">IFERROR(LEFT(INDIRECT(FP30),1)&amp;"]","")</f>
        <v/>
      </c>
      <c r="FR30" s="97" t="str">
        <f t="shared" ca="1" si="60"/>
        <v/>
      </c>
      <c r="FS30" s="97" t="str">
        <f ca="1">IFERROR(LEFT(FJ30,FIND(Stammdaten!$CA$4,FJ30,1)-2),IFERROR(LEFT(FJ30,FIND(Stammdaten!$CC$3,FJ30,1)-2),FJ30))</f>
        <v>Sprungdisziplinen</v>
      </c>
      <c r="FT30" s="97" t="str">
        <f ca="1">IF(NOT(ISERROR(FIND(Stammdaten!$CA$4,FJ30,1))),Stammdaten!$CA$4,IF(FU30&lt;&gt;Stammdaten!$CC$3,FR30,""))</f>
        <v>nicht durchgeführt</v>
      </c>
      <c r="FU30" s="91" t="str">
        <f ca="1">IF(FN30=$A$2,Stammdaten!$CC$3,FO30)</f>
        <v/>
      </c>
      <c r="FV30" s="97" t="str" cm="1">
        <f t="array" aca="1" ref="FV30" ca="1">INDIRECT(FV$5)</f>
        <v/>
      </c>
      <c r="FW30" s="97" t="str" cm="1">
        <f t="array" aca="1" ref="FW30" ca="1">INDIRECT(FW$5)</f>
        <v/>
      </c>
      <c r="FX30" s="97" t="str" cm="1">
        <f t="array" aca="1" ref="FX30" ca="1">INDIRECT(FX$5)</f>
        <v/>
      </c>
      <c r="FY30" s="97" t="str" cm="1">
        <f t="array" aca="1" ref="FY30" ca="1">INDIRECT(FY$5)</f>
        <v/>
      </c>
      <c r="FZ30" s="97" t="str" cm="1">
        <f t="array" aca="1" ref="FZ30" ca="1">INDIRECT(FZ$5)</f>
        <v/>
      </c>
      <c r="GA30" s="97" t="str" cm="1">
        <f t="array" aca="1" ref="GA30" ca="1">INDIRECT(GA$5)</f>
        <v/>
      </c>
      <c r="GB30" s="97" t="str">
        <f t="shared" ca="1" si="159"/>
        <v>Wurfdisziplinen nicht durchgeführt</v>
      </c>
      <c r="GC30" s="97" t="str">
        <f t="shared" ca="1" si="160"/>
        <v/>
      </c>
      <c r="GD30" s="108">
        <f t="shared" ca="1" si="161"/>
        <v>0</v>
      </c>
      <c r="GE30" s="108">
        <f t="shared" ca="1" si="162"/>
        <v>0</v>
      </c>
      <c r="GF30" s="108" t="str">
        <f t="shared" ca="1" si="163"/>
        <v/>
      </c>
      <c r="GG30" s="97" t="str">
        <f t="shared" ca="1" si="164"/>
        <v>Wurfdisziplinen nicht durchgeführt</v>
      </c>
      <c r="GH30" s="97" t="str">
        <f t="shared" ca="1" si="165"/>
        <v/>
      </c>
      <c r="GI30" s="97" t="str" cm="1">
        <f t="array" aca="1" ref="GI30" ca="1">IFERROR(IF(INDIRECT(INDEX(INDIRECT(GI$5),MATCH(GG30,INDIRECT(GI$4),0)))&lt;&gt;"",INDEX(INDIRECT(GI$5),MATCH(GG30,INDIRECT(GI$4),0)),INDEX(INDIRECT(GI$6),MATCH(GG30,INDIRECT(GI$4),0))),"")</f>
        <v/>
      </c>
      <c r="GJ30" s="97" t="str">
        <f t="shared" ca="1" si="166"/>
        <v/>
      </c>
      <c r="GK30" s="97" t="str" cm="1">
        <f t="array" aca="1" ref="GK30" ca="1">IFERROR(INDIRECT(GI30),IF(NOT(ISERROR(FIND(Stammdaten!$CC$3,GG30,1))),$A$2,""))</f>
        <v/>
      </c>
      <c r="GL30" s="97" t="str">
        <f ca="1">IF(GK30="","",IF(AND(GH30=Stammdaten!$BX$20,GJ30="0",GK30=1),SUBSTITUTE(TEXT(GK30,GJ30)&amp;" "&amp;LEFT(GH30,LEN(GH30)-1),".",","),SUBSTITUTE(TEXT(GK30,GJ30)&amp;" "&amp;GH30,".",",")))</f>
        <v/>
      </c>
      <c r="GM30" s="97" t="str">
        <f t="shared" ca="1" si="61"/>
        <v/>
      </c>
      <c r="GN30" s="97" t="str" cm="1">
        <f t="array" aca="1" ref="GN30" ca="1">IFERROR(LEFT(INDIRECT(GM30),1)&amp;"]","")</f>
        <v/>
      </c>
      <c r="GO30" s="97" t="str">
        <f t="shared" ca="1" si="62"/>
        <v/>
      </c>
      <c r="GP30" s="97" t="str">
        <f ca="1">IFERROR(LEFT(GG30,FIND(Stammdaten!$CA$4,GG30,1)-2),IFERROR(LEFT(GG30,FIND(Stammdaten!$CC$3,GG30,1)-2),GG30))</f>
        <v>Wurfdisziplinen</v>
      </c>
      <c r="GQ30" s="97" t="str">
        <f ca="1">IF(NOT(ISERROR(FIND(Stammdaten!$CA$4,GG30,1))),Stammdaten!$CA$4,IF(GR30&lt;&gt;Stammdaten!$CC$3,GO30,""))</f>
        <v>nicht durchgeführt</v>
      </c>
      <c r="GR30" s="91" t="str">
        <f ca="1">IF(GK30=$A$2,Stammdaten!$CC$3,GL30)</f>
        <v/>
      </c>
      <c r="GS30" s="97" t="str">
        <f t="shared" ca="1" si="63"/>
        <v/>
      </c>
      <c r="GT30" s="97" t="str">
        <f t="shared" ca="1" si="64"/>
        <v/>
      </c>
      <c r="GU30" s="97" t="str">
        <f t="shared" ca="1" si="65"/>
        <v/>
      </c>
      <c r="GV30" s="97" t="str">
        <f t="shared" ca="1" si="66"/>
        <v/>
      </c>
      <c r="GW30" s="97">
        <f t="shared" ca="1" si="167"/>
        <v>0</v>
      </c>
      <c r="GX30" s="108">
        <f t="shared" ca="1" si="168"/>
        <v>0</v>
      </c>
      <c r="GY30" s="108">
        <f t="shared" ca="1" si="169"/>
        <v>0</v>
      </c>
      <c r="GZ30" s="108" t="str">
        <f t="shared" ca="1" si="170"/>
        <v/>
      </c>
      <c r="HA30" s="97" t="str">
        <f ca="1">IF(GZ30="",Stammdaten!$BZ$1,IF(AND(GX30=0,GY30&gt;=GZ$25),$A$3,ROUND(SUM(GW30/GZ30)/HA$25,0)*HA$25))</f>
        <v>Zu wenige Werte</v>
      </c>
      <c r="HB30" s="108">
        <f t="shared" ca="1" si="171"/>
        <v>6</v>
      </c>
      <c r="HC30" s="97" t="str">
        <f t="shared" ca="1" si="172"/>
        <v/>
      </c>
      <c r="HD30" s="97" t="str">
        <f t="shared" ca="1" si="173"/>
        <v/>
      </c>
      <c r="HE30" s="97" t="str">
        <f t="shared" ca="1" si="174"/>
        <v/>
      </c>
      <c r="HF30" s="97" t="str">
        <f t="shared" ca="1" si="175"/>
        <v/>
      </c>
      <c r="HG30" s="97" t="str">
        <f t="shared" ca="1" si="176"/>
        <v/>
      </c>
      <c r="HH30" s="97" t="str">
        <f t="shared" ca="1" si="177"/>
        <v>g</v>
      </c>
      <c r="HI30" s="97" t="str">
        <f t="shared" ca="1" si="178"/>
        <v/>
      </c>
      <c r="HJ30" s="97">
        <f t="shared" ca="1" si="179"/>
        <v>1</v>
      </c>
      <c r="HK30" s="97" t="str">
        <f ca="1">IF(OR(Geschlecht[[#This Row],[Geschlecht (Skala)]]="",NOT(ISNUMBER(GZ30))),"",HJ30)</f>
        <v/>
      </c>
      <c r="HL30" s="97" t="str">
        <f t="shared" ca="1" si="180"/>
        <v/>
      </c>
      <c r="HM30" s="97"/>
      <c r="HN30" s="308" t="str">
        <f t="shared" ca="1" si="68"/>
        <v>Zu wenige Werte</v>
      </c>
      <c r="HO30" s="97"/>
      <c r="HP30" s="307"/>
      <c r="HQ30" s="96" t="str">
        <f>IFERROR(IFERROR(SUBSTITUTE(ReckResultat[[#This Row],[Eingabe]],".",",")*1,SUBSTITUTE(ReckResultat[[#This Row],[Eingabe]],",",".")*1),"")</f>
        <v/>
      </c>
      <c r="HR30" s="96" t="e">
        <f>INT(ReckResultat[[#This Row],[Resultat]])=ReckResultat[[#This Row],[Resultat]]</f>
        <v>#VALUE!</v>
      </c>
      <c r="HS30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0" s="96"/>
      <c r="HX30" s="97"/>
      <c r="HY30" s="307"/>
      <c r="HZ30" s="96" t="str">
        <f>IFERROR(IFERROR(SUBSTITUTE(BodenResultat[[#This Row],[Eingabe]],".",",")*1,SUBSTITUTE(BodenResultat[[#This Row],[Eingabe]],",",".")*1),"")</f>
        <v/>
      </c>
      <c r="IA30" s="96" t="e">
        <f>INT(BodenResultat[[#This Row],[Resultat]])=BodenResultat[[#This Row],[Resultat]]</f>
        <v>#VALUE!</v>
      </c>
      <c r="IB30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0" s="96"/>
      <c r="IG30" s="97"/>
      <c r="IH30" s="307"/>
      <c r="II30" s="96" t="str">
        <f>IFERROR(IFERROR(SUBSTITUTE(StufenbarrenResultat[[#This Row],[Eingabe]],".",",")*1,SUBSTITUTE(StufenbarrenResultat[[#This Row],[Eingabe]],",",".")*1),"")</f>
        <v/>
      </c>
      <c r="IJ30" s="96" t="e">
        <f>INT(StufenbarrenResultat[[#This Row],[Resultat]])=StufenbarrenResultat[[#This Row],[Resultat]]</f>
        <v>#VALUE!</v>
      </c>
      <c r="IK30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0" s="96"/>
      <c r="IP30" s="97"/>
      <c r="IQ30" s="307"/>
      <c r="IR30" s="96" t="str">
        <f>IFERROR(IFERROR(SUBSTITUTE(ParallelbarrenResultat[[#This Row],[Eingabe]],".",",")*1,SUBSTITUTE(ParallelbarrenResultat[[#This Row],[Eingabe]],",",".")*1),"")</f>
        <v/>
      </c>
      <c r="IS30" s="96" t="e">
        <f>INT(ParallelbarrenResultat[[#This Row],[Resultat]])=ParallelbarrenResultat[[#This Row],[Resultat]]</f>
        <v>#VALUE!</v>
      </c>
      <c r="IT30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0" s="96"/>
      <c r="IY30" s="97"/>
      <c r="IZ30" s="307"/>
      <c r="JA30" s="96" t="str">
        <f>IFERROR(IFERROR(SUBSTITUTE(SchaukelringeResultat[[#This Row],[Eingabe]],".",",")*1,SUBSTITUTE(SchaukelringeResultat[[#This Row],[Eingabe]],",",".")*1),"")</f>
        <v/>
      </c>
      <c r="JB30" s="96" t="e">
        <f>INT(SchaukelringeResultat[[#This Row],[Resultat]])=SchaukelringeResultat[[#This Row],[Resultat]]</f>
        <v>#VALUE!</v>
      </c>
      <c r="JC30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0" s="96"/>
      <c r="JH30" s="97"/>
      <c r="JI30" s="307"/>
      <c r="JJ30" s="96" t="str">
        <f>IFERROR(IFERROR(SUBSTITUTE(SprungResultat[[#This Row],[Eingabe]],".",",")*1,SUBSTITUTE(SprungResultat[[#This Row],[Eingabe]],",",".")*1),"")</f>
        <v/>
      </c>
      <c r="JK30" s="96" t="e">
        <f>INT(SprungResultat[[#This Row],[Resultat]])=SprungResultat[[#This Row],[Resultat]]</f>
        <v>#VALUE!</v>
      </c>
      <c r="JL30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0" s="96"/>
      <c r="JQ30" s="97"/>
      <c r="JR30" s="309" t="str" cm="1">
        <f t="array" aca="1" ref="JR30" ca="1">IF(AND(ISNUMBER(INDIRECT(JR$3)),INDIRECT(JR$3)&gt;0),INDIRECT(JR$3),"")</f>
        <v/>
      </c>
      <c r="JS30" s="309" t="str" cm="1">
        <f t="array" aca="1" ref="JS30" ca="1">IF(AND(ISNUMBER(INDIRECT(JS$3)),INDIRECT(JS$3)&gt;0),INDIRECT(JS$3),"")</f>
        <v/>
      </c>
      <c r="JT30" s="309" t="str" cm="1">
        <f t="array" aca="1" ref="JT30" ca="1">IF(AND(ISNUMBER(INDIRECT(JT$3)),INDIRECT(JT$3)&gt;0),INDIRECT(JT$3),"")</f>
        <v/>
      </c>
      <c r="JU30" s="309" t="str" cm="1">
        <f t="array" aca="1" ref="JU30" ca="1">IF(AND(ISNUMBER(INDIRECT(JU$3)),INDIRECT(JU$3)&gt;0),INDIRECT(JU$3),"")</f>
        <v/>
      </c>
      <c r="JV30" s="309" t="str" cm="1">
        <f t="array" aca="1" ref="JV30" ca="1">IF(AND(ISNUMBER(INDIRECT(JV$3)),INDIRECT(JV$3)&gt;0),INDIRECT(JV$3),"")</f>
        <v/>
      </c>
      <c r="JW30" s="309" t="str" cm="1">
        <f t="array" aca="1" ref="JW30" ca="1">IF(AND(ISNUMBER(INDIRECT(JW$3)),INDIRECT(JW$3)&gt;0),INDIRECT(JW$3),"")</f>
        <v/>
      </c>
      <c r="JX30" s="309" t="str">
        <f t="shared" ca="1" si="69"/>
        <v>x</v>
      </c>
      <c r="JY30" s="309" t="str">
        <f t="shared" ca="1" si="70"/>
        <v>y</v>
      </c>
      <c r="JZ30" s="309" t="str">
        <f t="shared" ca="1" si="71"/>
        <v>z</v>
      </c>
      <c r="KA30" s="309" t="str">
        <f t="shared" ca="1" si="181"/>
        <v>a</v>
      </c>
      <c r="KB30" s="309" t="str" cm="1">
        <f t="array" aca="1" ref="KB30" ca="1">IF(KA30="a","",INDEX($JR$23:$JW$23,,MATCH(KA30,$JR30:$JW30,0)))</f>
        <v/>
      </c>
      <c r="KC30" s="309" t="str" cm="1">
        <f t="array" aca="1" ref="KC30" ca="1">IF(OR(KB30="",KB30&gt;=$JW$23),"",INDEX(INDIRECT(ADDRESS(ROW($JR$23),KB30+1)):$JW$23,,MATCH(KA30,INDIRECT(ADDRESS(ROW(),KB30+1)):$JW30,0)))</f>
        <v/>
      </c>
      <c r="KD30" s="309" t="str" cm="1">
        <f t="array" aca="1" ref="KD30" ca="1">IF(OR(KC30="",KC30&gt;=$JW$23),"",INDEX(INDIRECT(ADDRESS(ROW($JR$23),KC30+1)):$JW$23,,MATCH(KA30,INDIRECT(ADDRESS(ROW(),KC30+1)):$JW30,0)))</f>
        <v/>
      </c>
      <c r="KE30" s="309" t="str">
        <f t="shared" ca="1" si="182"/>
        <v>c</v>
      </c>
      <c r="KF30" s="309" t="str" cm="1">
        <f t="array" aca="1" ref="KF30" ca="1">IF(OR(KE30="b",KE30="c"),"",INDEX($JR$23:$JW$23,,MATCH(KE30,$JR30:$JW30,0)))</f>
        <v/>
      </c>
      <c r="KG30" s="309" t="str" cm="1">
        <f t="array" aca="1" ref="KG30" ca="1">IF(OR(KF30="",KF30&gt;=$JW$23),"",INDEX(INDIRECT(ADDRESS(ROW($JR$23),KF30+1)):$JW$23,,MATCH(KE30,INDIRECT(ADDRESS(ROW(),KF30+1)):$JW30,0)))</f>
        <v/>
      </c>
      <c r="KH30" s="309" t="str">
        <f t="shared" ca="1" si="72"/>
        <v/>
      </c>
      <c r="KI30" s="309" t="str">
        <f t="shared" ca="1" si="183"/>
        <v>e</v>
      </c>
      <c r="KJ30" s="309" t="str">
        <f t="shared" ca="1" si="73"/>
        <v/>
      </c>
      <c r="KK30" s="309" t="str" cm="1">
        <f t="array" aca="1" ref="KK30" ca="1">IF(OR(KI30="d",KI30="e"),"",INDEX($JR$23:$JW$23,,MATCH(KI30,$JR30:$JW30,0)))</f>
        <v/>
      </c>
      <c r="KL30" s="309" t="str" cm="1">
        <f t="array" aca="1" ref="KL30" ca="1">IF(OR(KK30="",KK30&gt;=$JW$23),"",INDEX(INDIRECT(ADDRESS(ROW($JR$23),KK30+1)):$JW$23,,MATCH(KI30,INDIRECT(ADDRESS(ROW(),KK30+1)):$JW30,0)))</f>
        <v/>
      </c>
      <c r="KM30" s="309" t="str" cm="1">
        <f t="array" aca="1" ref="KM30" ca="1">IFERROR(IF(ISNUMBER(KB30),KB30,IF(ISNUMBER(KF30),KF30,IF(ISNUMBER(KJ30),KJ30,INDEX($JR$23:$JW$23,,MATCH(JX30,$JR30:$JW30,0))))),"x1")</f>
        <v>x1</v>
      </c>
      <c r="KN30" s="309" t="str" cm="1">
        <f t="array" aca="1" ref="KN30" ca="1">IFERROR(IF(ISNUMBER(KC30),KC30,IF(ISNUMBER(KG30),KG30,IF(ISNUMBER(KK30),KK30,INDEX($JR$23:$JW$23,,MATCH(JY30,$JR30:$JW30,0))))),IF(KM30="x1","x2","x1"))</f>
        <v>x2</v>
      </c>
      <c r="KO30" s="309" t="str" cm="1">
        <f t="array" aca="1" ref="KO30" ca="1">IFERROR(IF(ISNUMBER(KD30),KD30,IF(ISNUMBER(KH30),KH30,IF(ISNUMBER(KL30),KL30,INDEX($JR$23:$JW$23,,MATCH(JZ30,$JR30:$JW30,0))))),IF(KN30="x1","x2",IF(KN30="x2","x3","x1")))</f>
        <v>x3</v>
      </c>
      <c r="KP30" s="97" t="str" cm="1">
        <f t="array" aca="1" ref="KP30" ca="1">IF(OR(INDIRECT(KP$3)=$A$2,INDIRECT(KP$3)=$A$3),COLUMN(),"")</f>
        <v/>
      </c>
      <c r="KQ30" s="97" t="str" cm="1">
        <f t="array" aca="1" ref="KQ30" ca="1">IF(OR(INDIRECT(KQ$3)=$A$2,INDIRECT(KQ$3)=$A$3),COLUMN(),"")</f>
        <v/>
      </c>
      <c r="KR30" s="97" t="str" cm="1">
        <f t="array" aca="1" ref="KR30" ca="1">IF(OR(INDIRECT(KR$3)=$A$2,INDIRECT(KR$3)=$A$3),COLUMN(),"")</f>
        <v/>
      </c>
      <c r="KS30" s="97" t="str" cm="1">
        <f t="array" aca="1" ref="KS30" ca="1">IF(OR(INDIRECT(KS$3)=$A$2,INDIRECT(KS$3)=$A$3),COLUMN(),"")</f>
        <v/>
      </c>
      <c r="KT30" s="97" t="str" cm="1">
        <f t="array" aca="1" ref="KT30" ca="1">IF(OR(INDIRECT(KT$3)=$A$2,INDIRECT(KT$3)=$A$3),COLUMN(),"")</f>
        <v/>
      </c>
      <c r="KU30" s="97" t="str" cm="1">
        <f t="array" aca="1" ref="KU30" ca="1">IF(OR(INDIRECT(KU$3)=$A$2,INDIRECT(KU$3)=$A$3),COLUMN(),"")</f>
        <v/>
      </c>
      <c r="KV30" s="97" t="str" cm="1">
        <f t="array" aca="1" ref="KV30" ca="1">IF(AND(ISNUMBER(INDIRECT(KV$3)),INDIRECT(KV$3)=0),COLUMN(),"")</f>
        <v/>
      </c>
      <c r="KW30" s="97" t="str" cm="1">
        <f t="array" aca="1" ref="KW30" ca="1">IF(AND(ISNUMBER(INDIRECT(KW$3)),INDIRECT(KW$3)=0),COLUMN(),"")</f>
        <v/>
      </c>
      <c r="KX30" s="97" t="str" cm="1">
        <f t="array" aca="1" ref="KX30" ca="1">IF(AND(ISNUMBER(INDIRECT(KX$3)),INDIRECT(KX$3)=0),COLUMN(),"")</f>
        <v/>
      </c>
      <c r="KY30" s="97" t="str" cm="1">
        <f t="array" aca="1" ref="KY30" ca="1">IF(AND(ISNUMBER(INDIRECT(KY$3)),INDIRECT(KY$3)=0),COLUMN(),"")</f>
        <v/>
      </c>
      <c r="KZ30" s="97" t="str" cm="1">
        <f t="array" aca="1" ref="KZ30" ca="1">IF(AND(ISNUMBER(INDIRECT(KZ$3)),INDIRECT(KZ$3)=0),COLUMN(),"")</f>
        <v/>
      </c>
      <c r="LA30" s="97" t="str" cm="1">
        <f t="array" aca="1" ref="LA30" ca="1">IF(AND(ISNUMBER(INDIRECT(LA$3)),INDIRECT(LA$3)=0),COLUMN(),"")</f>
        <v/>
      </c>
      <c r="LB30" s="97" t="str">
        <f t="shared" ca="1" si="184"/>
        <v>x1</v>
      </c>
      <c r="LC30" s="97" t="str">
        <f t="shared" ca="1" si="185"/>
        <v>x2</v>
      </c>
      <c r="LD30" s="97" t="str">
        <f t="shared" ca="1" si="186"/>
        <v>x3</v>
      </c>
      <c r="LE30" s="97" t="str">
        <f ca="1">IFERROR(IF(ISNUMBER(LB30),LB30,SMALL($KV30:$LA30,VALUE(RIGHT(LB30,1)))),Stammdaten!$CA$17)</f>
        <v>Erstes Gerät nicht durchgeführt</v>
      </c>
      <c r="LF30" s="97" t="str">
        <f ca="1">IFERROR(IF(ISNUMBER(LC30),LC30,SMALL($KV30:$LA30,VALUE(RIGHT(LC30,1)))),Stammdaten!$CA$18)</f>
        <v>Zweites Gerät nicht durchgeführt</v>
      </c>
      <c r="LG30" s="97" t="str">
        <f ca="1">IFERROR(IF(ISNUMBER(LD30),LD30,SMALL($KV30:$LA30,VALUE(RIGHT(LD30,1)))),Stammdaten!$CA$19)</f>
        <v>Drittes Gerät nicht durchgeführt</v>
      </c>
      <c r="LH30" s="91" t="str" cm="1">
        <f t="array" aca="1" ref="LH30" ca="1">IFERROR(INDIRECT(ADDRESS(ROW($JR$5),LE30)),LE30)</f>
        <v>Erstes Gerät nicht durchgeführt</v>
      </c>
      <c r="LI30" s="97" t="str">
        <f t="shared" ca="1" si="187"/>
        <v/>
      </c>
      <c r="LJ30" s="97" t="str" cm="1">
        <f t="array" aca="1" ref="LJ30" ca="1">IFERROR(IF(INDIRECT(INDEX(INDIRECT(LJ$5),MATCH(LH30,INDIRECT(LJ$4),0)))&lt;&gt;"",INDEX(INDIRECT(LJ$5),MATCH(LH30,INDIRECT(LJ$4),0)),INDEX(INDIRECT(LJ$6),MATCH(LH30,INDIRECT(LJ$4),0))),"")</f>
        <v/>
      </c>
      <c r="LK30" s="97" t="str">
        <f t="shared" ca="1" si="188"/>
        <v/>
      </c>
      <c r="LL30" s="97" t="str" cm="1">
        <f t="array" aca="1" ref="LL30" ca="1">IFERROR(INDIRECT(LJ30),"")</f>
        <v/>
      </c>
      <c r="LM30" s="97" t="str">
        <f ca="1">IF(LL30="","",IF(AND(LI30=Stammdaten!$BX$20,LK30="0",LL30=1),SUBSTITUTE(TEXT(LL30,LK30)&amp;" "&amp;LEFT(LI30,LEN(LI30)-1),".",","),SUBSTITUTE(TEXT(LL30,LK30)&amp;" "&amp;LI30,".",",")))</f>
        <v/>
      </c>
      <c r="LN30" s="97" t="str">
        <f t="shared" ca="1" si="74"/>
        <v/>
      </c>
      <c r="LO30" s="97" t="str" cm="1">
        <f t="array" aca="1" ref="LO30" ca="1">IFERROR(LEFT(INDIRECT(LN30),1)&amp;"]","")</f>
        <v/>
      </c>
      <c r="LP30" s="97" t="str">
        <f t="shared" ca="1" si="75"/>
        <v/>
      </c>
      <c r="LQ30" s="97" t="str">
        <f ca="1">IFERROR(LEFT(LH30,FIND(Stammdaten!$CA$4,LH30,1)-2),IFERROR(LEFT(LH30,FIND(Stammdaten!$CC$3,LH30,1)-2),LH30))</f>
        <v>Erstes Gerät</v>
      </c>
      <c r="LR30" s="97" t="str">
        <f ca="1">IF(NOT(ISERROR(FIND(Stammdaten!$CA$4,LH30,1))),Stammdaten!$CA$4,IF(LS30&lt;&gt;Stammdaten!$CC$3,LP30,""))</f>
        <v>nicht durchgeführt</v>
      </c>
      <c r="LS30" s="91" t="str">
        <f ca="1">IF(LL30=$A$2,Stammdaten!$CC$3,LM30)</f>
        <v/>
      </c>
      <c r="LT30" s="91" t="str" cm="1">
        <f t="array" aca="1" ref="LT30" ca="1">IFERROR(INDIRECT(ADDRESS(ROW($JR$5),LF30)),LF30)</f>
        <v>Zweites Gerät nicht durchgeführt</v>
      </c>
      <c r="LU30" s="97" t="str">
        <f t="shared" ca="1" si="189"/>
        <v/>
      </c>
      <c r="LV30" s="97" t="str" cm="1">
        <f t="array" aca="1" ref="LV30" ca="1">IFERROR(IF(INDIRECT(INDEX(INDIRECT(LV$5),MATCH(LT30,INDIRECT(LV$4),0)))&lt;&gt;"",INDEX(INDIRECT(LV$5),MATCH(LT30,INDIRECT(LV$4),0)),INDEX(INDIRECT(LV$6),MATCH(LT30,INDIRECT(LV$4),0))),"")</f>
        <v/>
      </c>
      <c r="LW30" s="97" t="str">
        <f t="shared" ca="1" si="190"/>
        <v/>
      </c>
      <c r="LX30" s="97" t="str" cm="1">
        <f t="array" aca="1" ref="LX30" ca="1">IFERROR(INDIRECT(LV30),"")</f>
        <v/>
      </c>
      <c r="LY30" s="97" t="str">
        <f ca="1">IF(LX30="","",IF(AND(LU30=Stammdaten!$BX$20,LW30="0",LX30=1),SUBSTITUTE(TEXT(LX30,LW30)&amp;" "&amp;LEFT(LU30,LEN(LU30)-1),".",","),SUBSTITUTE(TEXT(LX30,LW30)&amp;" "&amp;LU30,".",",")))</f>
        <v/>
      </c>
      <c r="LZ30" s="97" t="str">
        <f t="shared" ca="1" si="76"/>
        <v/>
      </c>
      <c r="MA30" s="97" t="str" cm="1">
        <f t="array" aca="1" ref="MA30" ca="1">IFERROR(LEFT(INDIRECT(LZ30),1)&amp;"]","")</f>
        <v/>
      </c>
      <c r="MB30" s="97" t="str">
        <f t="shared" ca="1" si="77"/>
        <v/>
      </c>
      <c r="MC30" s="97" t="str">
        <f ca="1">IFERROR(LEFT(LT30,FIND(Stammdaten!$CA$4,LT30,1)-2),IFERROR(LEFT(LT30,FIND(Stammdaten!$CC$3,LT30,1)-2),LT30))</f>
        <v>Zweites Gerät</v>
      </c>
      <c r="MD30" s="97" t="str">
        <f ca="1">IF(NOT(ISERROR(FIND(Stammdaten!$CA$4,LT30,1))),Stammdaten!$CA$4,IF(ME30&lt;&gt;Stammdaten!$CC$3,MB30,""))</f>
        <v>nicht durchgeführt</v>
      </c>
      <c r="ME30" s="91" t="str">
        <f ca="1">IF(LX30=$A$2,Stammdaten!$CC$3,LY30)</f>
        <v/>
      </c>
      <c r="MF30" s="91" t="str" cm="1">
        <f t="array" aca="1" ref="MF30" ca="1">IFERROR(INDIRECT(ADDRESS(ROW($JR$5),LG30)),LG30)</f>
        <v>Drittes Gerät nicht durchgeführt</v>
      </c>
      <c r="MG30" s="97" t="str">
        <f t="shared" ca="1" si="191"/>
        <v/>
      </c>
      <c r="MH30" s="97" t="str" cm="1">
        <f t="array" aca="1" ref="MH30" ca="1">IFERROR(IF(INDIRECT(INDEX(INDIRECT(MH$5),MATCH(MF30,INDIRECT(MH$4),0)))&lt;&gt;"",INDEX(INDIRECT(MH$5),MATCH(MF30,INDIRECT(MH$4),0)),INDEX(INDIRECT(MH$6),MATCH(MF30,INDIRECT(MH$4),0))),"")</f>
        <v/>
      </c>
      <c r="MI30" s="97" t="str">
        <f t="shared" ca="1" si="192"/>
        <v/>
      </c>
      <c r="MJ30" s="97" t="str" cm="1">
        <f t="array" aca="1" ref="MJ30" ca="1">IFERROR(INDIRECT(MH30),"")</f>
        <v/>
      </c>
      <c r="MK30" s="97" t="str">
        <f ca="1">IF(MJ30="","",IF(AND(MG30=Stammdaten!$BX$20,MI30="0",MJ30=1),SUBSTITUTE(TEXT(MJ30,MI30)&amp;" "&amp;LEFT(MG30,LEN(MG30)-1),".",","),SUBSTITUTE(TEXT(MJ30,MI30)&amp;" "&amp;MG30,".",",")))</f>
        <v/>
      </c>
      <c r="ML30" s="97" t="str">
        <f t="shared" ca="1" si="78"/>
        <v/>
      </c>
      <c r="MM30" s="97" t="str" cm="1">
        <f t="array" aca="1" ref="MM30" ca="1">IFERROR(LEFT(INDIRECT(ML30),1)&amp;"]","")</f>
        <v/>
      </c>
      <c r="MN30" s="97" t="str">
        <f t="shared" ca="1" si="79"/>
        <v/>
      </c>
      <c r="MO30" s="97" t="str">
        <f ca="1">IFERROR(LEFT(MF30,FIND(Stammdaten!$CA$4,MF30,1)-2),IFERROR(LEFT(MF30,FIND(Stammdaten!$CC$3,MF30,1)-2),MF30))</f>
        <v>Drittes Gerät</v>
      </c>
      <c r="MP30" s="97" t="str">
        <f ca="1">IF(NOT(ISERROR(FIND(Stammdaten!$CA$4,MF30,1))),Stammdaten!$CA$4,IF(MQ30&lt;&gt;Stammdaten!$CC$3,MN30,""))</f>
        <v>nicht durchgeführt</v>
      </c>
      <c r="MQ30" s="91" t="str">
        <f ca="1">IF(MJ30=$A$2,Stammdaten!$CC$3,MK30)</f>
        <v/>
      </c>
      <c r="MR30" s="97">
        <f t="shared" ca="1" si="80"/>
        <v>0</v>
      </c>
      <c r="MS30" s="108">
        <f t="shared" ca="1" si="193"/>
        <v>0</v>
      </c>
      <c r="MT30" s="108">
        <f t="shared" ca="1" si="194"/>
        <v>0</v>
      </c>
      <c r="MU30" s="108">
        <f t="shared" ca="1" si="195"/>
        <v>0</v>
      </c>
      <c r="MV30" s="108" t="str">
        <f t="shared" ca="1" si="196"/>
        <v/>
      </c>
      <c r="MW30" s="97" t="str">
        <f ca="1">IF(MV30="",Stammdaten!$BZ$1,IF(AND(MS30+MT30=0,MU30&gt;=MV$25),$A$3,MR30))</f>
        <v>Zu wenige Werte</v>
      </c>
      <c r="MX30" s="97"/>
      <c r="MY30" s="91" t="str">
        <f t="shared" ca="1" si="81"/>
        <v/>
      </c>
      <c r="MZ30" s="96" t="str">
        <f>LEFT(Geschlecht[[#This Row],[Geschlecht (Skala)]],1)&amp;$MZ$27</f>
        <v>2</v>
      </c>
      <c r="NA30" s="96" t="str">
        <f t="shared" ca="1" si="82"/>
        <v>Geräteturnen_2[Resultat]</v>
      </c>
      <c r="NB30" s="97" t="str" cm="1">
        <f t="array" aca="1" ref="NB30" ca="1">IF(OR($MW30="",$MW30=Stammdaten!$BZ$1),"",IF($MW30=0,0,IF(OR($MW30=$A$2,$MW30=$A$3),$A$3,IFERROR(INDEX(INDIRECT(NA30),MATCH(INDIRECT(MY$3),INDIRECT(NA30),NA$25)),IFERROR(IF(NA$25=-1,MAX(INDIRECT(NA30)),IF(NA$25=1,MIN(INDIRECT(NA30)))),"")))))</f>
        <v/>
      </c>
      <c r="ND30" s="91" t="str">
        <f t="shared" ca="1" si="83"/>
        <v>Geräteturnen_2[Note]</v>
      </c>
      <c r="NE30" s="97" t="str" cm="1">
        <f t="array" aca="1" ref="NE30" ca="1">IFERROR(INDEX(INDIRECT(ND30),MATCH(INDIRECT(MY$5),INDIRECT(NA30),0)),IF(INDIRECT(MY$5)=0,1,""))</f>
        <v/>
      </c>
      <c r="NF30" s="97"/>
      <c r="NG30" s="307"/>
      <c r="NH30" s="96" t="str">
        <f>IFERROR(IFERROR(SUBSTITUTE(ParkourResultat[[#This Row],[Eingabe]],".",",")*1,SUBSTITUTE(ParkourResultat[[#This Row],[Eingabe]],",",".")*1),"")</f>
        <v/>
      </c>
      <c r="NI30" s="96" t="e">
        <f>INT(ParkourResultat[[#This Row],[Resultat]])=ParkourResultat[[#This Row],[Resultat]]</f>
        <v>#VALUE!</v>
      </c>
      <c r="NJ30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0" s="96"/>
      <c r="NL30" s="91" t="str" cm="1">
        <f t="array" aca="1" ref="NL30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0" s="96" t="str">
        <f ca="1">LEFT(Geschlecht[[#This Row],[Geschlecht (Skala)]],1)&amp;NR$4</f>
        <v>2</v>
      </c>
      <c r="NN30" s="96" t="str">
        <f t="shared" ca="1" si="84"/>
        <v>Parkour_2[Resultat]</v>
      </c>
      <c r="NO30" s="97" t="str" cm="1">
        <f t="array" aca="1" ref="NO30" ca="1">IF(INDIRECT(NL$1)="","",IF(INDIRECT(NL$2)=0,0,IF(OR(INDIRECT(NL$1)=$A$2,INDIRECT(NL$1)=$A$3),$A$3,IFERROR(INDEX(INDIRECT(NN30),MATCH(INDIRECT(NL$3),INDIRECT(NN30),NN$25)),IFERROR(IF(NN$25=-1,MAX(INDIRECT(NN30)),IF(NN$25=1,MIN(INDIRECT(NN30)))),"")))))</f>
        <v/>
      </c>
      <c r="NQ30" s="91" t="str">
        <f t="shared" ca="1" si="85"/>
        <v>Parkour_2[Note]</v>
      </c>
      <c r="NR30" s="97" t="str" cm="1">
        <f t="array" aca="1" ref="NR30" ca="1">IFERROR(INDEX(INDIRECT(NQ30),MATCH(INDIRECT(NL$5),INDIRECT(NN30),0)),IF(INDIRECT(NL$5)=0,1,""))</f>
        <v/>
      </c>
      <c r="NS30" s="97"/>
      <c r="NT30" s="97" t="str" cm="1">
        <f t="array" aca="1" ref="NT30" ca="1">INDIRECT(NT$5)</f>
        <v/>
      </c>
      <c r="NU30" s="97" t="str" cm="1">
        <f t="array" aca="1" ref="NU30" ca="1">INDIRECT(NU$5)</f>
        <v/>
      </c>
      <c r="NV30" s="97" t="str" cm="1">
        <f t="array" aca="1" ref="NV30" ca="1">INDIRECT(NV$5)</f>
        <v/>
      </c>
      <c r="NW30" s="97" t="str" cm="1">
        <f t="array" aca="1" ref="NW30" ca="1">INDIRECT(NW$5)</f>
        <v/>
      </c>
      <c r="NX30" s="97" t="str">
        <f t="shared" ca="1" si="86"/>
        <v>Parkour nicht durchgeführt</v>
      </c>
      <c r="NY30" s="97" t="str">
        <f t="shared" ca="1" si="197"/>
        <v/>
      </c>
      <c r="NZ30" s="97" t="str" cm="1">
        <f t="array" aca="1" ref="NZ30" ca="1">IFERROR(IF(INDIRECT(INDEX(INDIRECT(NZ$5),MATCH(NX30,INDIRECT(NZ$4),0)))&lt;&gt;"",INDEX(INDIRECT(NZ$5),MATCH(NX30,INDIRECT(NZ$4),0)),INDEX(INDIRECT(NZ$6),MATCH(NX30,INDIRECT(NZ$4),0))),"")</f>
        <v/>
      </c>
      <c r="OA30" s="97" t="str">
        <f t="shared" ca="1" si="198"/>
        <v/>
      </c>
      <c r="OB30" s="97" t="str" cm="1">
        <f t="array" aca="1" ref="OB30" ca="1">IFERROR(INDIRECT(NZ30),IF(NOT(ISERROR(FIND(Stammdaten!$CC$3,NX30,1))),$A$2,""))</f>
        <v/>
      </c>
      <c r="OC30" s="97" t="str">
        <f ca="1">IF(OB30="","",IF(AND(NY30=Stammdaten!$BX$20,OA30="0",OB30=1),SUBSTITUTE(TEXT(OB30,OA30)&amp;" "&amp;LEFT(NY30,LEN(NY30)-1),".",","),SUBSTITUTE(TEXT(OB30,OA30)&amp;" "&amp;NY30,".",",")))</f>
        <v/>
      </c>
      <c r="OD30" s="97" t="str">
        <f t="shared" ca="1" si="87"/>
        <v/>
      </c>
      <c r="OE30" s="97" t="str" cm="1">
        <f t="array" aca="1" ref="OE30" ca="1">IFERROR(LEFT(INDIRECT(OD30),1)&amp;"]","")</f>
        <v/>
      </c>
      <c r="OF30" s="97" t="str">
        <f t="shared" ca="1" si="88"/>
        <v/>
      </c>
      <c r="OG30" s="97" t="str">
        <f ca="1">IFERROR(LEFT(NX30,FIND(Stammdaten!$CA$4,NX30,1)-2),IFERROR(LEFT(NX30,FIND(Stammdaten!$CC$3,NX30,1)-2),NX30))</f>
        <v>Parkour</v>
      </c>
      <c r="OH30" s="97" t="str">
        <f ca="1">IF(NOT(ISERROR(FIND(Stammdaten!$CA$4,NX30,1))),Stammdaten!$CA$4,IF(OI30&lt;&gt;Stammdaten!$CC$3,OF30,""))</f>
        <v>nicht durchgeführt</v>
      </c>
      <c r="OI30" s="91" t="str">
        <f ca="1">IF(OB30=$A$2,Stammdaten!$CC$3,OC30)</f>
        <v/>
      </c>
      <c r="OJ30" s="97" t="str">
        <f t="shared" ca="1" si="89"/>
        <v/>
      </c>
      <c r="OK30" s="97" t="str">
        <f t="shared" ca="1" si="90"/>
        <v/>
      </c>
      <c r="OL30" s="97">
        <f t="shared" ca="1" si="199"/>
        <v>0</v>
      </c>
      <c r="OM30" s="108">
        <f t="shared" ca="1" si="91"/>
        <v>0</v>
      </c>
      <c r="ON30" s="108">
        <f t="shared" ca="1" si="92"/>
        <v>0</v>
      </c>
      <c r="OO30" s="108" t="str">
        <f t="shared" ca="1" si="200"/>
        <v/>
      </c>
      <c r="OP30" s="97" t="str">
        <f ca="1">IF(OO30="",Stammdaten!$BZ$1,IF(AND(OM30=0,ON30&gt;=OO$25),$A$3,ROUND(SUM(OL30/OO30)/OP$25,0)*OP$25))</f>
        <v>Zu wenige Werte</v>
      </c>
      <c r="OQ30" s="108">
        <f t="shared" ca="1" si="201"/>
        <v>6</v>
      </c>
      <c r="OR30" s="97" t="str">
        <f t="shared" ca="1" si="202"/>
        <v/>
      </c>
      <c r="OS30" s="97" t="str">
        <f t="shared" ca="1" si="203"/>
        <v/>
      </c>
      <c r="OT30" s="97" t="str">
        <f t="shared" ca="1" si="204"/>
        <v/>
      </c>
      <c r="OU30" s="97" t="str">
        <f t="shared" ca="1" si="205"/>
        <v>g</v>
      </c>
      <c r="OV30" s="97" t="str">
        <f t="shared" ca="1" si="206"/>
        <v/>
      </c>
      <c r="OW30" s="97">
        <f t="shared" ca="1" si="207"/>
        <v>1</v>
      </c>
      <c r="OX30" s="97" t="str">
        <f ca="1">IF(OR(Geschlecht[[#This Row],[Geschlecht (Skala)]]="",NOT(ISNUMBER(OO30))),"",OW30)</f>
        <v/>
      </c>
      <c r="OY30" s="97" t="str">
        <f t="shared" ca="1" si="208"/>
        <v/>
      </c>
      <c r="OZ30" s="97"/>
      <c r="PA30" s="308" t="str">
        <f t="shared" ca="1" si="209"/>
        <v>Zu wenige Werte</v>
      </c>
      <c r="PB30" s="97"/>
      <c r="PC30" s="307"/>
      <c r="PD30" s="96" t="str">
        <f>IFERROR(IFERROR(SUBSTITUTE(TanzenResultat[[#This Row],[Eingabe]],".",",")*1,SUBSTITUTE(TanzenResultat[[#This Row],[Eingabe]],",",".")*1),"")</f>
        <v/>
      </c>
      <c r="PE30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0" s="96"/>
      <c r="PG30" s="91" t="str" cm="1">
        <f t="array" aca="1" ref="PG30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0" s="96" t="str">
        <f ca="1">LEFT(Geschlecht[[#This Row],[Geschlecht (Skala)]],1)&amp;PM$4</f>
        <v>2</v>
      </c>
      <c r="PI30" s="96" t="str">
        <f t="shared" ca="1" si="93"/>
        <v>Tanzen_2[Resultat]</v>
      </c>
      <c r="PJ30" s="97" t="str" cm="1">
        <f t="array" aca="1" ref="PJ30" ca="1">IF(INDIRECT(PG$1)="","",IF(INDIRECT(PG$2)=0,0,IF(OR(INDIRECT(PG$1)=$A$2,INDIRECT(PG$1)=$A$3),$A$3,IFERROR(INDEX(INDIRECT(PI30),MATCH(INDIRECT(PG$3),INDIRECT(PI30),PI$25)),IFERROR(IF(PI$25=-1,MAX(INDIRECT(PI30)),IF(PI$25=1,MIN(INDIRECT(PI30)))),"")))))</f>
        <v/>
      </c>
      <c r="PL30" s="91" t="str">
        <f t="shared" ca="1" si="94"/>
        <v>Tanzen_2[Note]</v>
      </c>
      <c r="PM30" s="97" t="str" cm="1">
        <f t="array" aca="1" ref="PM30" ca="1">IFERROR(INDEX(INDIRECT(PL30),MATCH(INDIRECT(PG$5),INDIRECT(PI30),0)),IF(INDIRECT(PG$5)=0,1,""))</f>
        <v/>
      </c>
      <c r="PN30" s="97"/>
      <c r="PO30" s="307"/>
      <c r="PP30" s="96" t="str">
        <f>IFERROR(IFERROR(SUBSTITUTE(RopeSkippingResultat[[#This Row],[Eingabe]],".",",")*1,SUBSTITUTE(RopeSkippingResultat[[#This Row],[Eingabe]],",",".")*1),"")</f>
        <v/>
      </c>
      <c r="PQ30" s="96" t="e">
        <f>INT(RopeSkippingResultat[[#This Row],[Resultat]])=RopeSkippingResultat[[#This Row],[Resultat]]</f>
        <v>#VALUE!</v>
      </c>
      <c r="PR30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0" s="96"/>
      <c r="PT30" s="91" t="str" cm="1">
        <f t="array" aca="1" ref="PT30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0" s="96" t="str">
        <f ca="1">LEFT(Geschlecht[[#This Row],[Geschlecht (Skala)]],1)&amp;PZ$4</f>
        <v>2</v>
      </c>
      <c r="PV30" s="96" t="str">
        <f t="shared" ca="1" si="95"/>
        <v>RopeSkipping_2[Resultat]</v>
      </c>
      <c r="PW30" s="97" t="str" cm="1">
        <f t="array" aca="1" ref="PW30" ca="1">IF(INDIRECT(PT$1)="","",IF(INDIRECT(PT$2)=0,0,IF(OR(INDIRECT(PT$1)=$A$2,INDIRECT(PT$1)=$A$3),$A$3,IFERROR(INDEX(INDIRECT(PV30),MATCH(INDIRECT(PT$3),INDIRECT(PV30),PV$25)),IFERROR(IF(PV$25=-1,MAX(INDIRECT(PV30)),IF(PV$25=1,MIN(INDIRECT(PV30)))),"")))))</f>
        <v/>
      </c>
      <c r="PY30" s="91" t="str">
        <f t="shared" ca="1" si="96"/>
        <v>RopeSkipping_2[Note]</v>
      </c>
      <c r="PZ30" s="97" t="str" cm="1">
        <f t="array" aca="1" ref="PZ30" ca="1">IFERROR(INDEX(INDIRECT(PY30),MATCH(INDIRECT(PT$5),INDIRECT(PV30),0)),IF(INDIRECT(PT$5)=0,1,""))</f>
        <v/>
      </c>
      <c r="QA30" s="97"/>
      <c r="QB30" s="307"/>
      <c r="QC30" s="96" t="str">
        <f>IFERROR(IFERROR(SUBSTITUTE(AerobicResultat[[#This Row],[Eingabe]],".",",")*1,SUBSTITUTE(AerobicResultat[[#This Row],[Eingabe]],",",".")*1),"")</f>
        <v/>
      </c>
      <c r="QD30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0" s="96"/>
      <c r="QF30" s="91" t="str" cm="1">
        <f t="array" aca="1" ref="QF30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0" s="96" t="str">
        <f ca="1">LEFT(Geschlecht[[#This Row],[Geschlecht (Skala)]],1)&amp;QL$4</f>
        <v>2</v>
      </c>
      <c r="QH30" s="96" t="str">
        <f t="shared" ca="1" si="97"/>
        <v>Aerobic_2[Resultat]</v>
      </c>
      <c r="QI30" s="97" t="str" cm="1">
        <f t="array" aca="1" ref="QI30" ca="1">IF(INDIRECT(QF$1)="","",IF(INDIRECT(QF$2)=0,0,IF(OR(INDIRECT(QF$1)=$A$2,INDIRECT(QF$1)=$A$3),$A$3,IFERROR(INDEX(INDIRECT(QH30),MATCH(INDIRECT(QF$3),INDIRECT(QH30),QH$25)),IFERROR(IF(QH$25=-1,MAX(INDIRECT(QH30)),IF(QH$25=1,MIN(INDIRECT(QH30)))),"")))))</f>
        <v/>
      </c>
      <c r="QK30" s="91" t="str">
        <f t="shared" ca="1" si="98"/>
        <v>Aerobic_2[Note]</v>
      </c>
      <c r="QL30" s="97" t="str" cm="1">
        <f t="array" aca="1" ref="QL30" ca="1">IFERROR(INDEX(INDIRECT(QK30),MATCH(INDIRECT(QF$5),INDIRECT(QH30),0)),IF(INDIRECT(QF$5)=0,1,""))</f>
        <v/>
      </c>
      <c r="QM30" s="97"/>
      <c r="QN30" s="97" t="str" cm="1">
        <f t="array" aca="1" ref="QN30" ca="1">INDIRECT(QN$5)</f>
        <v/>
      </c>
      <c r="QO30" s="97" t="str" cm="1">
        <f t="array" aca="1" ref="QO30" ca="1">INDIRECT(QO$5)</f>
        <v/>
      </c>
      <c r="QP30" s="97" t="str" cm="1">
        <f t="array" aca="1" ref="QP30" ca="1">INDIRECT(QP$5)</f>
        <v/>
      </c>
      <c r="QQ30" s="97" t="str" cm="1">
        <f t="array" aca="1" ref="QQ30" ca="1">INDIRECT(QQ$5)</f>
        <v/>
      </c>
      <c r="QR30" s="97" t="str" cm="1">
        <f t="array" aca="1" ref="QR30" ca="1">INDIRECT(QR$5)</f>
        <v/>
      </c>
      <c r="QS30" s="97" t="str" cm="1">
        <f t="array" aca="1" ref="QS30" ca="1">INDIRECT(QS$5)</f>
        <v/>
      </c>
      <c r="QT30" s="97" t="str">
        <f t="shared" ca="1" si="99"/>
        <v>Darstellen und Tanzen nicht durchgeführt</v>
      </c>
      <c r="QU30" s="108">
        <f t="shared" ca="1" si="100"/>
        <v>0</v>
      </c>
      <c r="QV30" s="108">
        <f t="shared" ca="1" si="101"/>
        <v>0</v>
      </c>
      <c r="QW30" s="108" t="str">
        <f t="shared" ca="1" si="210"/>
        <v/>
      </c>
      <c r="QX30" s="97" t="str">
        <f t="shared" ca="1" si="211"/>
        <v>Darstellen und Tanzen nicht durchgeführt</v>
      </c>
      <c r="QY30" s="97" t="str">
        <f t="shared" ca="1" si="212"/>
        <v/>
      </c>
      <c r="QZ30" s="97" t="str" cm="1">
        <f t="array" aca="1" ref="QZ30" ca="1">IFERROR(IF(INDIRECT(INDEX(INDIRECT(QZ$5),MATCH(QX30,INDIRECT(QZ$4),0)))&lt;&gt;"",INDEX(INDIRECT(QZ$5),MATCH(QX30,INDIRECT(QZ$4),0)),INDEX(INDIRECT(QZ$6),MATCH(QX30,INDIRECT(QZ$4),0))),"")</f>
        <v/>
      </c>
      <c r="RA30" s="97" t="str">
        <f t="shared" ca="1" si="213"/>
        <v/>
      </c>
      <c r="RB30" s="97" t="str" cm="1">
        <f t="array" aca="1" ref="RB30" ca="1">IFERROR(INDIRECT(QZ30),IF(NOT(ISERROR(FIND(Stammdaten!$CC$3,QX30,1))),$A$2,""))</f>
        <v/>
      </c>
      <c r="RC30" s="97" t="str">
        <f ca="1">IF(RB30="","",IF(AND(QY30=Stammdaten!$BX$20,RA30="0",RB30=1),SUBSTITUTE(TEXT(RB30,RA30)&amp;" "&amp;LEFT(QY30,LEN(QY30)-1),".",","),SUBSTITUTE(TEXT(RB30,RA30)&amp;" "&amp;QY30,".",",")))</f>
        <v/>
      </c>
      <c r="RD30" s="97" t="str">
        <f t="shared" ca="1" si="102"/>
        <v/>
      </c>
      <c r="RE30" s="97" t="str" cm="1">
        <f t="array" aca="1" ref="RE30" ca="1">IFERROR(LEFT(INDIRECT(RD30),1)&amp;"]","")</f>
        <v/>
      </c>
      <c r="RF30" s="97" t="str">
        <f t="shared" ca="1" si="103"/>
        <v/>
      </c>
      <c r="RG30" s="97" t="str">
        <f ca="1">IFERROR(LEFT(QX30,FIND(Stammdaten!$CA$4,QX30,1)-2),IFERROR(LEFT(QX30,FIND(Stammdaten!$CC$3,QX30,1)-2),QX30))</f>
        <v>Darstellen und Tanzen</v>
      </c>
      <c r="RH30" s="97" t="str">
        <f ca="1">IF(NOT(ISERROR(FIND(Stammdaten!$CA$4,QX30,1))),Stammdaten!$CA$4,IF(RI30&lt;&gt;Stammdaten!$CC$3,RF30,""))</f>
        <v>nicht durchgeführt</v>
      </c>
      <c r="RI30" s="91" t="str">
        <f ca="1">IF(RB30=$A$2,Stammdaten!$CC$3,RC30)</f>
        <v/>
      </c>
      <c r="RJ30" s="108">
        <f t="shared" ca="1" si="214"/>
        <v>6</v>
      </c>
      <c r="RK30" s="97"/>
      <c r="RL30" s="308" t="str">
        <f ca="1">IF(QT30=$QT$4,Stammdaten!$BZ$1,IF(QT30=$QT$5,$A$3,QT30))</f>
        <v>Zu wenige Werte</v>
      </c>
      <c r="RM30" s="97"/>
      <c r="RN30" s="307"/>
      <c r="RO30" s="96" t="str">
        <f>IFERROR(IFERROR(SUBSTITUTE(BasketballResultat[[#This Row],[Eingabe]],".",",")*1,SUBSTITUTE(BasketballResultat[[#This Row],[Eingabe]],",",".")*1),"")</f>
        <v/>
      </c>
      <c r="RP30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0" s="96"/>
      <c r="RR30" s="91" t="str" cm="1">
        <f t="array" aca="1" ref="RR30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0" s="96" t="str">
        <f ca="1">LEFT(Geschlecht[[#This Row],[Geschlecht (Skala)]],1)&amp;RX$4</f>
        <v>2</v>
      </c>
      <c r="RT30" s="96" t="str">
        <f t="shared" ca="1" si="104"/>
        <v>Basketball_2[Resultat]</v>
      </c>
      <c r="RU30" s="97" t="str" cm="1">
        <f t="array" aca="1" ref="RU30" ca="1">IF(INDIRECT(RR$1)="","",IF(INDIRECT(RR$2)=0,0,IF(OR(INDIRECT(RR$1)=$A$2,INDIRECT(RR$1)=$A$3),$A$3,IFERROR(INDEX(INDIRECT(RT30),MATCH(INDIRECT(RR$3),INDIRECT(RT30),RT$25)),IFERROR(IF(RT$25=-1,MAX(INDIRECT(RT30)),IF(RT$25=1,MIN(INDIRECT(RT30)))),"")))))</f>
        <v/>
      </c>
      <c r="RW30" s="91" t="str">
        <f t="shared" ca="1" si="105"/>
        <v>Basketball_2[Note]</v>
      </c>
      <c r="RX30" s="97" t="str" cm="1">
        <f t="array" aca="1" ref="RX30" ca="1">IFERROR(INDEX(INDIRECT(RW30),MATCH(INDIRECT(RR$5),INDIRECT(RT30),0)),IF(INDIRECT(RR$5)=0,1,""))</f>
        <v/>
      </c>
      <c r="RY30" s="97"/>
      <c r="RZ30" s="307"/>
      <c r="SA30" s="96" t="str">
        <f>IFERROR(IFERROR(SUBSTITUTE(FussballResultat[[#This Row],[Eingabe]],".",",")*1,SUBSTITUTE(FussballResultat[[#This Row],[Eingabe]],",",".")*1),"")</f>
        <v/>
      </c>
      <c r="SB30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0" s="96"/>
      <c r="SD30" s="316" t="str" cm="1">
        <f t="array" aca="1" ref="SD30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0" s="96" t="str">
        <f ca="1">LEFT(Geschlecht[[#This Row],[Geschlecht (Skala)]],1)&amp;SJ$4</f>
        <v>2</v>
      </c>
      <c r="SF30" s="96" t="str">
        <f t="shared" ca="1" si="106"/>
        <v>Fussball_2[Resultat]</v>
      </c>
      <c r="SG30" s="97" t="str" cm="1">
        <f t="array" aca="1" ref="SG30" ca="1">IF(INDIRECT(SD$1)="","",IF(INDIRECT(SD$2)=0,0,IF(OR(INDIRECT(SD$1)=$A$2,INDIRECT(SD$1)=$A$3),$A$3,IFERROR(INDEX(INDIRECT(SF30),MATCH(INDIRECT(SD$3),INDIRECT(SF30),SF$25)),IFERROR(IF(SF$25=-1,MAX(INDIRECT(SF30)),IF(SF$25=1,MIN(INDIRECT(SF30)))),"")))))</f>
        <v/>
      </c>
      <c r="SI30" s="91" t="str">
        <f t="shared" ca="1" si="107"/>
        <v>Fussball_2[Note]</v>
      </c>
      <c r="SJ30" s="97" t="str" cm="1">
        <f t="array" aca="1" ref="SJ30" ca="1">IFERROR(INDEX(INDIRECT(SI30),MATCH(INDIRECT(SD$5),INDIRECT(SF30),0)),IF(INDIRECT(SD$5)=0,1,""))</f>
        <v/>
      </c>
      <c r="SK30" s="97"/>
      <c r="SL30" s="307"/>
      <c r="SM30" s="96" t="str">
        <f>IFERROR(IFERROR(SUBSTITUTE(HandballResultat[[#This Row],[Eingabe]],".",",")*1,SUBSTITUTE(HandballResultat[[#This Row],[Eingabe]],",",".")*1),"")</f>
        <v/>
      </c>
      <c r="SN30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0" s="96"/>
      <c r="SP30" s="91" t="str" cm="1">
        <f t="array" aca="1" ref="SP30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0" s="96" t="str">
        <f ca="1">LEFT(Geschlecht[[#This Row],[Geschlecht (Skala)]],1)&amp;SV$4</f>
        <v>2</v>
      </c>
      <c r="SR30" s="96" t="str">
        <f t="shared" ca="1" si="108"/>
        <v>Handball_2[Resultat]</v>
      </c>
      <c r="SS30" s="97" t="str" cm="1">
        <f t="array" aca="1" ref="SS30" ca="1">IF(INDIRECT(SP$1)="","",IF(INDIRECT(SP$2)=0,0,IF(OR(INDIRECT(SP$1)=$A$2,INDIRECT(SP$1)=$A$3),$A$3,IFERROR(INDEX(INDIRECT(SR30),MATCH(INDIRECT(SP$3),INDIRECT(SR30),SR$25)),IFERROR(IF(SR$25=-1,MAX(INDIRECT(SR30)),IF(SR$25=1,MIN(INDIRECT(SR30)))),"")))))</f>
        <v/>
      </c>
      <c r="SU30" s="91" t="str">
        <f t="shared" ca="1" si="109"/>
        <v>Handball_2[Note]</v>
      </c>
      <c r="SV30" s="97" t="str" cm="1">
        <f t="array" aca="1" ref="SV30" ca="1">IFERROR(INDEX(INDIRECT(SU30),MATCH(INDIRECT(SP$5),INDIRECT(SR30),0)),IF(INDIRECT(SP$5)=0,1,""))</f>
        <v/>
      </c>
      <c r="SW30" s="97"/>
      <c r="SX30" s="307"/>
      <c r="SY30" s="96" t="str">
        <f>IFERROR(IFERROR(SUBSTITUTE(UnihockeyResultat[[#This Row],[Eingabe]],".",",")*1,SUBSTITUTE(UnihockeyResultat[[#This Row],[Eingabe]],",",".")*1),"")</f>
        <v/>
      </c>
      <c r="SZ30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0" s="96"/>
      <c r="TB30" s="91" t="str" cm="1">
        <f t="array" aca="1" ref="TB30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0" s="96" t="str">
        <f ca="1">LEFT(Geschlecht[[#This Row],[Geschlecht (Skala)]],1)&amp;TH$4</f>
        <v>2</v>
      </c>
      <c r="TD30" s="96" t="str">
        <f t="shared" ca="1" si="110"/>
        <v>Unihockey_2[Resultat]</v>
      </c>
      <c r="TE30" s="97" t="str" cm="1">
        <f t="array" aca="1" ref="TE30" ca="1">IF(INDIRECT(TB$1)="","",IF(INDIRECT(TB$2)=0,0,IF(OR(INDIRECT(TB$1)=$A$2,INDIRECT(TB$1)=$A$3),$A$3,IFERROR(INDEX(INDIRECT(TD30),MATCH(INDIRECT(TB$3),INDIRECT(TD30),TD$25)),IFERROR(IF(TD$25=-1,MAX(INDIRECT(TD30)),IF(TD$25=1,MIN(INDIRECT(TD30)))),"")))))</f>
        <v/>
      </c>
      <c r="TG30" s="91" t="str">
        <f t="shared" ca="1" si="111"/>
        <v>Unihockey_2[Note]</v>
      </c>
      <c r="TH30" s="97" t="str" cm="1">
        <f t="array" aca="1" ref="TH30" ca="1">IFERROR(INDEX(INDIRECT(TG30),MATCH(INDIRECT(TB$5),INDIRECT(TD30),0)),IF(INDIRECT(TB$5)=0,1,""))</f>
        <v/>
      </c>
      <c r="TI30" s="97"/>
      <c r="TJ30" s="307"/>
      <c r="TK30" s="96" t="str">
        <f>IFERROR(IFERROR(SUBSTITUTE(VolleyballResultat[[#This Row],[Eingabe]],".",",")*1,SUBSTITUTE(VolleyballResultat[[#This Row],[Eingabe]],",",".")*1),"")</f>
        <v/>
      </c>
      <c r="TL30" s="96" t="e">
        <f>INT(VolleyballResultat[[#This Row],[Resultat]])=VolleyballResultat[[#This Row],[Resultat]]</f>
        <v>#VALUE!</v>
      </c>
      <c r="TM30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0" s="96"/>
      <c r="TO30" s="91" t="str" cm="1">
        <f t="array" aca="1" ref="TO30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0" s="96" t="str">
        <f ca="1">LEFT(Geschlecht[[#This Row],[Geschlecht (Skala)]],1)&amp;TU$4</f>
        <v>2</v>
      </c>
      <c r="TQ30" s="96" t="str">
        <f t="shared" ca="1" si="112"/>
        <v>Volleyball_2[Resultat]</v>
      </c>
      <c r="TR30" s="97" t="str" cm="1">
        <f t="array" aca="1" ref="TR30" ca="1">IF(INDIRECT(TO$1)="","",IF(INDIRECT(TO$2)=0,0,IF(OR(INDIRECT(TO$1)=$A$2,INDIRECT(TO$1)=$A$3),$A$3,IFERROR(INDEX(INDIRECT(TQ30),MATCH(INDIRECT(TO$3),INDIRECT(TQ30),TQ$25)),IFERROR(IF(TQ$25=-1,MAX(INDIRECT(TQ30)),IF(TQ$25=1,MIN(INDIRECT(TQ30)))),"")))))</f>
        <v/>
      </c>
      <c r="TT30" s="91" t="str">
        <f t="shared" ca="1" si="113"/>
        <v>Volleyball_2[Note]</v>
      </c>
      <c r="TU30" s="97" t="str" cm="1">
        <f t="array" aca="1" ref="TU30" ca="1">IFERROR(INDEX(INDIRECT(TT30),MATCH(INDIRECT(TO$5),INDIRECT(TQ30),0)),IF(INDIRECT(TO$5)=0,1,""))</f>
        <v/>
      </c>
      <c r="TV30" s="97"/>
      <c r="TW30" s="309" t="str" cm="1">
        <f t="array" aca="1" ref="TW30" ca="1">IF(AND(ISNUMBER(INDIRECT(TW$3)),INDIRECT(TW$3)&gt;1),INDIRECT(TW$3),"")</f>
        <v/>
      </c>
      <c r="TX30" s="309" t="str" cm="1">
        <f t="array" aca="1" ref="TX30" ca="1">IF(AND(ISNUMBER(INDIRECT(TX$3)),INDIRECT(TX$3)&gt;1),INDIRECT(TX$3),"")</f>
        <v/>
      </c>
      <c r="TY30" s="309" t="str" cm="1">
        <f t="array" aca="1" ref="TY30" ca="1">IF(AND(ISNUMBER(INDIRECT(TY$3)),INDIRECT(TY$3)&gt;1),INDIRECT(TY$3),"")</f>
        <v/>
      </c>
      <c r="TZ30" s="309" t="str" cm="1">
        <f t="array" aca="1" ref="TZ30" ca="1">IF(AND(ISNUMBER(INDIRECT(TZ$3)),INDIRECT(TZ$3)&gt;1),INDIRECT(TZ$3),"")</f>
        <v/>
      </c>
      <c r="UA30" s="309" t="str" cm="1">
        <f t="array" aca="1" ref="UA30" ca="1">IF(AND(ISNUMBER(INDIRECT(UA$3)),INDIRECT(UA$3)&gt;1),INDIRECT(UA$3),"")</f>
        <v/>
      </c>
      <c r="UB30" s="309" t="str">
        <f t="shared" ca="1" si="114"/>
        <v>x</v>
      </c>
      <c r="UC30" s="309" t="str">
        <f t="shared" ca="1" si="115"/>
        <v>y</v>
      </c>
      <c r="UD30" s="309" t="str">
        <f t="shared" ca="1" si="116"/>
        <v>z</v>
      </c>
      <c r="UE30" s="309" t="str">
        <f t="shared" ca="1" si="215"/>
        <v>a</v>
      </c>
      <c r="UF30" s="309" t="str" cm="1">
        <f t="array" aca="1" ref="UF30" ca="1">IF(UE30="a","",INDEX($TW$23:$UA$23,,MATCH(UE30,$TW30:$UA30,0)))</f>
        <v/>
      </c>
      <c r="UG30" s="309" t="str" cm="1">
        <f t="array" aca="1" ref="UG30" ca="1">IF(OR(UF30="",UF30&gt;=$UA$23),"",INDEX(INDIRECT(ADDRESS(ROW($TW$23),UF30+1)):$UA$23,,MATCH(UE30,INDIRECT(ADDRESS(ROW(),UF30+1)):$UA30,0)))</f>
        <v/>
      </c>
      <c r="UH30" s="309" t="str" cm="1">
        <f t="array" aca="1" ref="UH30" ca="1">IF(OR(UG30="",UG30&gt;=$UA$23),"",INDEX(INDIRECT(ADDRESS(ROW($TW$23),UG30+1)):$UA$23,,MATCH(UE30,INDIRECT(ADDRESS(ROW(),UG30+1)):$UA30,0)))</f>
        <v/>
      </c>
      <c r="UI30" s="309" t="str">
        <f t="shared" ca="1" si="216"/>
        <v>c</v>
      </c>
      <c r="UJ30" s="309" t="str" cm="1">
        <f t="array" aca="1" ref="UJ30" ca="1">IF(OR(UI30="b",UI30="c"),"",INDEX($TW$23:$UA$23,,MATCH(UI30,$TW30:$UA30,0)))</f>
        <v/>
      </c>
      <c r="UK30" s="309" t="str" cm="1">
        <f t="array" aca="1" ref="UK30" ca="1">IF(OR(UJ30="",UJ30&gt;=$UA$23),"",INDEX(INDIRECT(ADDRESS(ROW($TW$23),UJ30+1)):$UA$23,,MATCH(UI30,INDIRECT(ADDRESS(ROW(),UJ30+1)):$UA30,0)))</f>
        <v/>
      </c>
      <c r="UL30" s="309" t="str">
        <f t="shared" ca="1" si="117"/>
        <v/>
      </c>
      <c r="UM30" s="309" t="str">
        <f t="shared" ca="1" si="217"/>
        <v>e</v>
      </c>
      <c r="UN30" s="309" t="str">
        <f t="shared" ca="1" si="118"/>
        <v/>
      </c>
      <c r="UO30" s="309" t="str" cm="1">
        <f t="array" aca="1" ref="UO30" ca="1">IF(OR(UM30="d",UM30="e"),"",INDEX($TW$23:$UA$23,,MATCH(UM30,$TW30:$UA30,0)))</f>
        <v/>
      </c>
      <c r="UP30" s="309" t="str" cm="1">
        <f t="array" aca="1" ref="UP30" ca="1">IF(OR(UO30="",UO30&gt;=$UA$23),"",INDEX(INDIRECT(ADDRESS(ROW($TW$23),UO30+1)):$UA$23,,MATCH(UM30,INDIRECT(ADDRESS(ROW(),UO30+1)):$UA30,0)))</f>
        <v/>
      </c>
      <c r="UQ30" s="309" t="str" cm="1">
        <f t="array" aca="1" ref="UQ30" ca="1">IFERROR(IF(ISNUMBER(UF30),UF30,IF(ISNUMBER(UJ30),UJ30,IF(ISNUMBER(UN30),UN30,INDEX($TW$23:$UA$23,,MATCH(UB30,$TW30:$UA30,0))))),"x1")</f>
        <v>x1</v>
      </c>
      <c r="UR30" s="309" t="str" cm="1">
        <f t="array" aca="1" ref="UR30" ca="1">IFERROR(IF(ISNUMBER(UG30),UG30,IF(ISNUMBER(UK30),UK30,IF(ISNUMBER(UO30),UO30,INDEX($TW$23:$UA$23,,MATCH(UC30,$TW30:$UA30,0))))),IF(UQ30="x1","x2","x1"))</f>
        <v>x2</v>
      </c>
      <c r="US30" s="309" t="str" cm="1">
        <f t="array" aca="1" ref="US30" ca="1">IFERROR(IF(ISNUMBER(UH30),UH30,IF(ISNUMBER(UL30),UL30,IF(ISNUMBER(UP30),UP30,INDEX($TW$23:$UA$23,,MATCH(UD30,$TW30:$UA30,0))))),IF(UR30="x1","x2",IF(UR30="x2","x3","x1")))</f>
        <v>x3</v>
      </c>
      <c r="UT30" s="97" t="str" cm="1">
        <f t="array" aca="1" ref="UT30" ca="1">IF(OR(INDIRECT(UT$3)=$A$2,INDIRECT(UT$3)=$A$3),COLUMN(),"")</f>
        <v/>
      </c>
      <c r="UU30" s="97" t="str" cm="1">
        <f t="array" aca="1" ref="UU30" ca="1">IF(OR(INDIRECT(UU$3)=$A$2,INDIRECT(UU$3)=$A$3),COLUMN(),"")</f>
        <v/>
      </c>
      <c r="UV30" s="97" t="str" cm="1">
        <f t="array" aca="1" ref="UV30" ca="1">IF(OR(INDIRECT(UV$3)=$A$2,INDIRECT(UV$3)=$A$3),COLUMN(),"")</f>
        <v/>
      </c>
      <c r="UW30" s="97" t="str" cm="1">
        <f t="array" aca="1" ref="UW30" ca="1">IF(OR(INDIRECT(UW$3)=$A$2,INDIRECT(UW$3)=$A$3),COLUMN(),"")</f>
        <v/>
      </c>
      <c r="UX30" s="97" t="str" cm="1">
        <f t="array" aca="1" ref="UX30" ca="1">IF(OR(INDIRECT(UX$3)=$A$2,INDIRECT(UX$3)=$A$3),COLUMN(),"")</f>
        <v/>
      </c>
      <c r="UY30" s="97" t="str" cm="1">
        <f t="array" aca="1" ref="UY30" ca="1">IF(AND(ISNUMBER(INDIRECT(UY$3)),INDIRECT(UY$3)=0),COLUMN(),"")</f>
        <v/>
      </c>
      <c r="UZ30" s="97" t="str" cm="1">
        <f t="array" aca="1" ref="UZ30" ca="1">IF(AND(ISNUMBER(INDIRECT(UZ$3)),INDIRECT(UZ$3)=0),COLUMN(),"")</f>
        <v/>
      </c>
      <c r="VA30" s="97" t="str" cm="1">
        <f t="array" aca="1" ref="VA30" ca="1">IF(AND(ISNUMBER(INDIRECT(VA$3)),INDIRECT(VA$3)=0),COLUMN(),"")</f>
        <v/>
      </c>
      <c r="VB30" s="97" t="str" cm="1">
        <f t="array" aca="1" ref="VB30" ca="1">IF(AND(ISNUMBER(INDIRECT(VB$3)),INDIRECT(VB$3)=0),COLUMN(),"")</f>
        <v/>
      </c>
      <c r="VC30" s="97" t="str" cm="1">
        <f t="array" aca="1" ref="VC30" ca="1">IF(AND(ISNUMBER(INDIRECT(VC$3)),INDIRECT(VC$3)=0),COLUMN(),"")</f>
        <v/>
      </c>
      <c r="VD30" s="97" t="str">
        <f t="shared" ca="1" si="218"/>
        <v>x1</v>
      </c>
      <c r="VE30" s="97" t="str">
        <f t="shared" ca="1" si="219"/>
        <v>x2</v>
      </c>
      <c r="VF30" s="97" t="str">
        <f t="shared" ca="1" si="220"/>
        <v>x3</v>
      </c>
      <c r="VG30" s="97" t="str">
        <f ca="1">IFERROR(IF(ISNUMBER(VD30),VD30,SMALL($UY30:$VC30,VALUE(RIGHT(VD30,1)))),Stammdaten!$CB$17)</f>
        <v>Erste Spielsportart nicht durchgeführt</v>
      </c>
      <c r="VH30" s="97" t="str">
        <f ca="1">IFERROR(IF(ISNUMBER(VE30),VE30,SMALL($UY30:$VC30,VALUE(RIGHT(VE30,1)))),Stammdaten!$CB$18)</f>
        <v>Zweite Spielsportart nicht durchgeführt</v>
      </c>
      <c r="VI30" s="97" t="str">
        <f ca="1">IFERROR(IF(ISNUMBER(VF30),VF30,SMALL($UY30:$VC30,VALUE(RIGHT(VF30,1)))),Stammdaten!$CB$19)</f>
        <v>Dritte Spielsportart nicht durchgeführt</v>
      </c>
      <c r="VJ30" s="91" t="str" cm="1">
        <f t="array" aca="1" ref="VJ30" ca="1">IFERROR(INDIRECT(ADDRESS(ROW($TW$5),VG30)),VG30)</f>
        <v>Erste Spielsportart nicht durchgeführt</v>
      </c>
      <c r="VK30" s="97" t="str">
        <f t="shared" ca="1" si="221"/>
        <v/>
      </c>
      <c r="VL30" s="97" t="str" cm="1">
        <f t="array" aca="1" ref="VL30" ca="1">IFERROR(IF(INDIRECT(INDEX(INDIRECT(VL$5),MATCH(VJ30,INDIRECT(VL$4),0)))&lt;&gt;"",INDEX(INDIRECT(VL$5),MATCH(VJ30,INDIRECT(VL$4),0)),INDEX(INDIRECT(VL$6),MATCH(VJ30,INDIRECT(VL$4),0))),"")</f>
        <v/>
      </c>
      <c r="VM30" s="97" t="str">
        <f t="shared" ca="1" si="222"/>
        <v/>
      </c>
      <c r="VN30" s="97" t="str" cm="1">
        <f t="array" aca="1" ref="VN30" ca="1">IFERROR(INDIRECT(VL30),"")</f>
        <v/>
      </c>
      <c r="VO30" s="97" t="str">
        <f ca="1">IF(VN30="","",IF(AND(VK30=Stammdaten!$BX$20,VM30="0",VN30=1),SUBSTITUTE(TEXT(VN30,VM30)&amp;" "&amp;LEFT(VK30,LEN(VK30)-1),".",","),SUBSTITUTE(TEXT(VN30,VM30)&amp;" "&amp;VK30,".",",")))</f>
        <v/>
      </c>
      <c r="VP30" s="97" t="str">
        <f t="shared" ca="1" si="119"/>
        <v/>
      </c>
      <c r="VQ30" s="97" t="str" cm="1">
        <f t="array" aca="1" ref="VQ30" ca="1">IFERROR(LEFT(INDIRECT(VP30),1)&amp;"]","")</f>
        <v/>
      </c>
      <c r="VR30" s="97" t="str">
        <f t="shared" ca="1" si="120"/>
        <v/>
      </c>
      <c r="VS30" s="97" t="str">
        <f ca="1">IFERROR(LEFT(VJ30,FIND(Stammdaten!$CA$4,VJ30,1)-2),IFERROR(LEFT(VJ30,FIND(Stammdaten!$CC$3,VJ30,1)-2),VJ30))</f>
        <v>Erste Spielsportart</v>
      </c>
      <c r="VT30" s="97" t="str">
        <f ca="1">IF(NOT(ISERROR(FIND(Stammdaten!$CA$4,VJ30,1))),Stammdaten!$CA$4,IF(VU30&lt;&gt;Stammdaten!$CC$3,VR30,""))</f>
        <v>nicht durchgeführt</v>
      </c>
      <c r="VU30" s="91" t="str">
        <f ca="1">IF(VN30=$A$2,Stammdaten!$CC$3,VO30)</f>
        <v/>
      </c>
      <c r="VV30" s="91" t="str" cm="1">
        <f t="array" aca="1" ref="VV30" ca="1">IFERROR(INDIRECT(ADDRESS(ROW($TW$5),VH30)),VH30)</f>
        <v>Zweite Spielsportart nicht durchgeführt</v>
      </c>
      <c r="VW30" s="97" t="str">
        <f t="shared" ca="1" si="223"/>
        <v/>
      </c>
      <c r="VX30" s="97" t="str" cm="1">
        <f t="array" aca="1" ref="VX30" ca="1">IFERROR(IF(INDIRECT(INDEX(INDIRECT(VX$5),MATCH(VV30,INDIRECT(VX$4),0)))&lt;&gt;"",INDEX(INDIRECT(VX$5),MATCH(VV30,INDIRECT(VX$4),0)),INDEX(INDIRECT(VX$6),MATCH(VV30,INDIRECT(VX$4),0))),"")</f>
        <v/>
      </c>
      <c r="VY30" s="97" t="str">
        <f t="shared" ca="1" si="224"/>
        <v/>
      </c>
      <c r="VZ30" s="97" t="str" cm="1">
        <f t="array" aca="1" ref="VZ30" ca="1">IFERROR(INDIRECT(VX30),"")</f>
        <v/>
      </c>
      <c r="WA30" s="97" t="str">
        <f ca="1">IF(VZ30="","",IF(AND(VW30=Stammdaten!$BX$20,VY30="0",VZ30=1),SUBSTITUTE(TEXT(VZ30,VY30)&amp;" "&amp;LEFT(VW30,LEN(VW30)-1),".",","),SUBSTITUTE(TEXT(VZ30,VY30)&amp;" "&amp;VW30,".",",")))</f>
        <v/>
      </c>
      <c r="WB30" s="97" t="str">
        <f t="shared" ca="1" si="121"/>
        <v/>
      </c>
      <c r="WC30" s="97" t="str" cm="1">
        <f t="array" aca="1" ref="WC30" ca="1">IFERROR(LEFT(INDIRECT(WB30),1)&amp;"]","")</f>
        <v/>
      </c>
      <c r="WD30" s="97" t="str">
        <f t="shared" ca="1" si="122"/>
        <v/>
      </c>
      <c r="WE30" s="97" t="str">
        <f ca="1">IFERROR(LEFT(VV30,FIND(Stammdaten!$CA$4,VV30,1)-2),IFERROR(LEFT(VV30,FIND(Stammdaten!$CC$3,VV30,1)-2),VV30))</f>
        <v>Zweite Spielsportart</v>
      </c>
      <c r="WF30" s="97" t="str">
        <f ca="1">IF(NOT(ISERROR(FIND(Stammdaten!$CA$4,VV30,1))),Stammdaten!$CA$4,IF(WG30&lt;&gt;Stammdaten!$CC$3,WD30,""))</f>
        <v>nicht durchgeführt</v>
      </c>
      <c r="WG30" s="91" t="str">
        <f ca="1">IF(VZ30=$A$2,Stammdaten!$CC$3,WA30)</f>
        <v/>
      </c>
      <c r="WH30" s="91" t="str" cm="1">
        <f t="array" aca="1" ref="WH30" ca="1">IFERROR(INDIRECT(ADDRESS(ROW($TW$5),VI30)),VI30)</f>
        <v>Dritte Spielsportart nicht durchgeführt</v>
      </c>
      <c r="WI30" s="97" t="str">
        <f t="shared" ca="1" si="225"/>
        <v/>
      </c>
      <c r="WJ30" s="97" t="str" cm="1">
        <f t="array" aca="1" ref="WJ30" ca="1">IFERROR(IF(INDIRECT(INDEX(INDIRECT(WJ$5),MATCH(WH30,INDIRECT(WJ$4),0)))&lt;&gt;"",INDEX(INDIRECT(WJ$5),MATCH(WH30,INDIRECT(WJ$4),0)),INDEX(INDIRECT(WJ$6),MATCH(WH30,INDIRECT(WJ$4),0))),"")</f>
        <v/>
      </c>
      <c r="WK30" s="97" t="str">
        <f t="shared" ca="1" si="226"/>
        <v/>
      </c>
      <c r="WL30" s="97" t="str" cm="1">
        <f t="array" aca="1" ref="WL30" ca="1">IFERROR(INDIRECT(WJ30),"")</f>
        <v/>
      </c>
      <c r="WM30" s="97" t="str">
        <f ca="1">IF(WL30="","",IF(AND(WI30=Stammdaten!$BX$20,WK30="0",WL30=1),SUBSTITUTE(TEXT(WL30,WK30)&amp;" "&amp;LEFT(WI30,LEN(WI30)-1),".",","),SUBSTITUTE(TEXT(WL30,WK30)&amp;" "&amp;WI30,".",",")))</f>
        <v/>
      </c>
      <c r="WN30" s="97" t="str">
        <f t="shared" ca="1" si="123"/>
        <v/>
      </c>
      <c r="WO30" s="97" t="str" cm="1">
        <f t="array" aca="1" ref="WO30" ca="1">IFERROR(LEFT(INDIRECT(WN30),1)&amp;"]","")</f>
        <v/>
      </c>
      <c r="WP30" s="97" t="str">
        <f t="shared" ca="1" si="124"/>
        <v/>
      </c>
      <c r="WQ30" s="97" t="str">
        <f ca="1">IFERROR(LEFT(WH30,FIND(Stammdaten!$CA$4,WH30,1)-2),IFERROR(LEFT(WH30,FIND(Stammdaten!$CC$3,WH30,1)-2),WH30))</f>
        <v>Dritte Spielsportart</v>
      </c>
      <c r="WR30" s="97" t="str">
        <f ca="1">IF(NOT(ISERROR(FIND(Stammdaten!$CA$4,WH30,1))),Stammdaten!$CA$4,IF(WS30&lt;&gt;Stammdaten!$CC$3,WP30,""))</f>
        <v>nicht durchgeführt</v>
      </c>
      <c r="WS30" s="91" t="str">
        <f ca="1">IF(WL30=$A$2,Stammdaten!$CC$3,WM30)</f>
        <v/>
      </c>
      <c r="WT30" s="97" t="str" cm="1">
        <f t="array" aca="1" ref="WT30" ca="1">INDIRECT(WT$5)</f>
        <v/>
      </c>
      <c r="WU30" s="97" t="str" cm="1">
        <f t="array" aca="1" ref="WU30" ca="1">INDIRECT(WU$5)</f>
        <v/>
      </c>
      <c r="WV30" s="97" t="str" cm="1">
        <f t="array" aca="1" ref="WV30" ca="1">INDIRECT(WV$5)</f>
        <v/>
      </c>
      <c r="WW30" s="97" t="str" cm="1">
        <f t="array" aca="1" ref="WW30" ca="1">INDIRECT(WW$5)</f>
        <v/>
      </c>
      <c r="WX30" s="97" t="str" cm="1">
        <f t="array" aca="1" ref="WX30" ca="1">INDIRECT(WX$5)</f>
        <v/>
      </c>
      <c r="WY30" s="97" cm="1">
        <f t="array" aca="1" ref="WY30" ca="1">IF(INDIRECT(WY$5)&lt;&gt;"",INDIRECT(WY$5),0)</f>
        <v>0</v>
      </c>
      <c r="WZ30" s="97" cm="1">
        <f t="array" aca="1" ref="WZ30" ca="1">IF(INDIRECT(WZ$5)&lt;&gt;"",INDIRECT(WZ$5),0)</f>
        <v>0</v>
      </c>
      <c r="XA30" s="97" cm="1">
        <f t="array" aca="1" ref="XA30" ca="1">IF(INDIRECT(XA$5)&lt;&gt;"",INDIRECT(XA$5),0)</f>
        <v>0</v>
      </c>
      <c r="XB30" s="97" cm="1">
        <f t="array" aca="1" ref="XB30" ca="1">IF(INDIRECT(XB$5)&lt;&gt;"",INDIRECT(XB$5),0)</f>
        <v>0</v>
      </c>
      <c r="XC30" s="97" cm="1">
        <f t="array" aca="1" ref="XC30" ca="1">IF(INDIRECT(XC$5)&lt;&gt;"",INDIRECT(XC$5),0)</f>
        <v>0</v>
      </c>
      <c r="XD30" s="97">
        <f t="shared" ca="1" si="125"/>
        <v>0</v>
      </c>
      <c r="XE30" s="97">
        <f t="shared" ca="1" si="125"/>
        <v>0</v>
      </c>
      <c r="XF30" s="97">
        <f t="shared" ca="1" si="125"/>
        <v>0</v>
      </c>
      <c r="XG30" s="97">
        <f t="shared" ca="1" si="227"/>
        <v>0</v>
      </c>
      <c r="XH30" s="108">
        <f t="shared" ca="1" si="228"/>
        <v>0</v>
      </c>
      <c r="XI30" s="108">
        <f t="shared" ca="1" si="126"/>
        <v>0</v>
      </c>
      <c r="XJ30" s="108" t="str">
        <f t="shared" ca="1" si="229"/>
        <v/>
      </c>
      <c r="XK30" s="97" t="str">
        <f ca="1">IF(XJ30="",Stammdaten!$BZ$1,IF(AND(XH30=0,XI30&gt;=XJ$25),$A$3,ROUND(SUM(XG30/XJ30)/XK$25,0)*XK$25))</f>
        <v>Zu wenige Werte</v>
      </c>
      <c r="XL30" s="108">
        <f t="shared" ca="1" si="230"/>
        <v>6</v>
      </c>
      <c r="XM30" s="97" t="str">
        <f t="shared" ca="1" si="231"/>
        <v/>
      </c>
      <c r="XN30" s="97" t="str">
        <f t="shared" ca="1" si="232"/>
        <v/>
      </c>
      <c r="XO30" s="97" t="str">
        <f t="shared" ca="1" si="233"/>
        <v/>
      </c>
      <c r="XP30" s="97" t="str">
        <f t="shared" ca="1" si="234"/>
        <v/>
      </c>
      <c r="XQ30" s="97" t="str">
        <f t="shared" ca="1" si="235"/>
        <v>g</v>
      </c>
      <c r="XR30" s="97" t="str">
        <f t="shared" ca="1" si="236"/>
        <v/>
      </c>
      <c r="XS30" s="97">
        <f t="shared" ca="1" si="237"/>
        <v>1</v>
      </c>
      <c r="XT30" s="97" t="str">
        <f ca="1">IF(OR(Geschlecht[[#This Row],[Geschlecht (Skala)]]="",NOT(ISNUMBER(XJ30))),"",XS30)</f>
        <v/>
      </c>
      <c r="XU30" s="97" t="str">
        <f t="shared" ca="1" si="238"/>
        <v/>
      </c>
      <c r="XV30" s="97"/>
      <c r="XW30" s="308" t="str">
        <f t="shared" ca="1" si="127"/>
        <v>Zu wenige Werte</v>
      </c>
      <c r="XX30" s="97"/>
      <c r="XY30" s="97" t="str">
        <f t="shared" ca="1" si="128"/>
        <v>Zu wenige Werte</v>
      </c>
      <c r="XZ30" s="97" t="str">
        <f t="shared" ca="1" si="129"/>
        <v>Zu wenige Werte</v>
      </c>
      <c r="YA30" s="97" t="str">
        <f t="shared" ca="1" si="130"/>
        <v>Zu wenige Werte</v>
      </c>
      <c r="YB30" s="97" t="str">
        <f t="shared" ca="1" si="131"/>
        <v>Zu wenige Werte</v>
      </c>
      <c r="YC30" s="97">
        <f t="shared" ca="1" si="239"/>
        <v>0</v>
      </c>
      <c r="YD30" s="108">
        <f t="shared" ca="1" si="240"/>
        <v>0</v>
      </c>
      <c r="YE30" s="108">
        <f t="shared" ca="1" si="241"/>
        <v>0</v>
      </c>
      <c r="YF30" s="108" t="str">
        <f t="shared" ca="1" si="242"/>
        <v/>
      </c>
      <c r="YG30" s="97" t="str">
        <f ca="1">IF(YF30="",Stammdaten!$BZ$1,IF(YE30=YF$25,$A$3,ROUND(SUM(YC30/YF30)/YG$25,0)*YG$25))</f>
        <v>Zu wenige Werte</v>
      </c>
      <c r="YH30" s="97" t="str">
        <f ca="1">IF(NOT(ISNUMBER(XY30)),"",IF(YH$11&lt;&gt;"2+",TEXT(XY30,YH$11)&amp;" / ",IF(RIGHT(XY30*100,2)="00",TEXT(XY30,"0"&amp;Stammdaten!$AZ$3&amp;"0")&amp;" / ",XY30&amp;" / ")))</f>
        <v/>
      </c>
      <c r="YI30" s="97" t="str">
        <f ca="1">IF(NOT(ISNUMBER(XZ30)),"",IF(YI$11&lt;&gt;"2+",TEXT(XZ30,YI$11)&amp;" / ",IF(RIGHT(XZ30*100,2)="00",TEXT(XZ30,"0"&amp;Stammdaten!$AZ$3&amp;"0")&amp;" / ",XZ30&amp;" / ")))</f>
        <v/>
      </c>
      <c r="YJ30" s="97" t="str">
        <f ca="1">IF(NOT(ISNUMBER(YA30)),"",IF(YJ$11&lt;&gt;"2+",TEXT(YA30,YJ$11)&amp;" / ",IF(RIGHT(YA30*100,2)="00",TEXT(YA30,"0"&amp;Stammdaten!$AZ$3&amp;"0")&amp;" / ",YA30&amp;" / ")))</f>
        <v/>
      </c>
      <c r="YK30" s="97" t="str">
        <f ca="1">IF(NOT(ISNUMBER(YB30)),"",IF(YK$11&lt;&gt;"2+",TEXT(YB30,YK$11)&amp;" / ",IF(RIGHT(YB30*100,2)="00",TEXT(YB30,"0"&amp;Stammdaten!$AZ$3&amp;"0")&amp;" / ",YB30&amp;" / ")))</f>
        <v/>
      </c>
      <c r="YL30" s="97" t="str">
        <f t="shared" ca="1" si="243"/>
        <v/>
      </c>
      <c r="YM30" s="97" t="str">
        <f>IF(Geschlecht[[#This Row],[Geschlecht (Skala)]]="","",IF(ISNUMBER(XY30),1,IF(XY30=$A$3,$A$2,"R")))</f>
        <v/>
      </c>
      <c r="YN30" s="97" t="str">
        <f>IF(Geschlecht[[#This Row],[Geschlecht (Skala)]]="","",IF(ISNUMBER(XZ30),1,IF(XZ30=$A$3,$A$2,"R")))</f>
        <v/>
      </c>
      <c r="YO30" s="97" t="str">
        <f>IF(Geschlecht[[#This Row],[Geschlecht (Skala)]]="","",IF(ISNUMBER(YA30),1,IF(YA30=$A$3,$A$2,"R")))</f>
        <v/>
      </c>
      <c r="YP30" s="97" t="str">
        <f>IF(Geschlecht[[#This Row],[Geschlecht (Skala)]]="","",IF(ISNUMBER(YB30),1,IF(YB30=$A$3,$A$2,"R")))</f>
        <v/>
      </c>
      <c r="YQ30" s="97" t="str">
        <f t="shared" si="244"/>
        <v>g</v>
      </c>
      <c r="YR30" s="97" t="str">
        <f t="shared" ca="1" si="245"/>
        <v/>
      </c>
      <c r="YS30" s="97">
        <f t="shared" ca="1" si="246"/>
        <v>1</v>
      </c>
      <c r="YT30" s="97" t="str">
        <f ca="1">IF(OR(Geschlecht[[#This Row],[Geschlecht (Skala)]]="",NOT(ISNUMBER(YG30))),"",YS30)</f>
        <v/>
      </c>
      <c r="YU30" s="97"/>
      <c r="YV30" s="311" t="str">
        <f t="shared" si="247"/>
        <v>D</v>
      </c>
      <c r="YW30" s="302"/>
      <c r="YX30" s="311" t="str">
        <f t="shared" si="248"/>
        <v>D</v>
      </c>
      <c r="YY30" s="302"/>
      <c r="YZ30" s="311" t="str">
        <f t="shared" si="249"/>
        <v>D</v>
      </c>
      <c r="ZA30" s="302"/>
      <c r="ZB30" s="311" t="str">
        <f t="shared" si="250"/>
        <v>D</v>
      </c>
      <c r="ZC30" s="97"/>
      <c r="ZD30" s="97" t="str">
        <f t="shared" ca="1" si="132"/>
        <v/>
      </c>
      <c r="ZE30" s="97"/>
      <c r="ZF30" s="308" t="str">
        <f t="shared" ca="1" si="251"/>
        <v>Zu wenige Werte</v>
      </c>
      <c r="ZH30" s="317" t="s">
        <v>134</v>
      </c>
      <c r="ZJ30" s="91" t="str" cm="1">
        <f t="array" ref="ZJ30">IF(OR(Geschlecht[[#This Row],[Geschlecht (Skala)]]="",ZH30="",ZH30=Stammdaten!$BZ$5),"",REPLACE(INDEX(StdDisziplinen[TabÜberschriftNote],ZH$3),FIND("X",INDEX(StdDisziplinen[TabÜberschriftNote],ZH$3),1),1,Geschlecht[[#This Row],[Geschlecht (Skala)]]))</f>
        <v/>
      </c>
      <c r="ZK30" s="314"/>
      <c r="ZM30" s="315"/>
      <c r="ZN30" s="97" t="str">
        <f>IFERROR(IFERROR(SUBSTITUTE(SchwimmenResultatMin[[#This Row],[Min]],".",",")*1,SUBSTITUTE(SchwimmenResultatMin[[#This Row],[Min]],",",".")*1),"")</f>
        <v/>
      </c>
      <c r="ZO30" s="91" t="e">
        <f>INT(SchwimmenResultatMin[[#This Row],[Resultat]])=SchwimmenResultatMin[[#This Row],[Resultat]]</f>
        <v>#VALUE!</v>
      </c>
      <c r="ZP30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0" s="315"/>
      <c r="ZS30" s="97" t="str">
        <f>IFERROR(IFERROR(SUBSTITUTE(SchwimmenResultatSek[[#This Row],[Sek]],".",",")*1,SUBSTITUTE(SchwimmenResultatSek[[#This Row],[Sek]],",",".")*1),"")</f>
        <v/>
      </c>
      <c r="ZT30" s="108" t="e">
        <f>INT(SchwimmenResultatSek[[#This Row],[Resultat]])=SchwimmenResultatSek[[#This Row],[Resultat]]</f>
        <v>#VALUE!</v>
      </c>
      <c r="ZU30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0" s="97" t="str" cm="1">
        <f t="array" aca="1" ref="ZW30" ca="1">IF(AND(INDIRECT(ZW$2)="",INDIRECT(ZX$2)=""),"",IFERROR((INDIRECT(ZW$2)*$ZW$25)+INDIRECT(ZX$2),""))</f>
        <v/>
      </c>
      <c r="ZX30" s="91" t="str">
        <f ca="1">REPLACE(ZW$4,ZX$6,1,Geschlecht[[#This Row],[Geschlecht (Skala)]])</f>
        <v>Schwimmen_[Resultat]</v>
      </c>
      <c r="ZY30" s="91" t="str">
        <f ca="1">IFERROR(REPLACE($ZX30,FIND(Stammdaten!$V$2,$ZX30,1),LEN(Stammdaten!$V$2),Stammdaten!$BZ$9),"")</f>
        <v>Schwimmen_[Anzeige]</v>
      </c>
      <c r="ZZ30" s="97" t="str" cm="1">
        <f t="array" aca="1" ref="ZZ30" ca="1">IF(INDIRECT(ZW$3)="","",IF(INDIRECT(ZW$3)=0,0,IF(OR(INDIRECT(ZW$1)=$A$2,INDIRECT(ZW$1)=$A$3),$A$3,IFERROR(INDEX(INDIRECT(ZX30),MATCH(INDIRECT(ZW$3),INDIRECT(ZX30),ZY$25)),IFERROR(IF(ZY$25=-1,MAX(INDIRECT(ZX30)),IF(ZY$25=1,MIN(INDIRECT(ZX30)))),"")))))</f>
        <v/>
      </c>
      <c r="AAA30" s="97" t="str" cm="1">
        <f t="array" aca="1" ref="AAA30" ca="1">IF(INDIRECT(ZX$5)=0,0,IF(OR(INDIRECT(ZW$1)=$A$2,INDIRECT(ZW$1)=$A$3),$A$3,IFERROR(INDEX(INDIRECT($ZY30),MATCH(INDIRECT(ZX$5),INDIRECT($ZX30),0)),"")))</f>
        <v/>
      </c>
      <c r="AAC30" s="91" t="str">
        <f ca="1">REPLACE(ZW$6,ZX$6,1,Geschlecht[[#This Row],[Geschlecht (Skala)]])</f>
        <v>Schwimmen_[Note]</v>
      </c>
      <c r="AAD30" s="97" t="str" cm="1">
        <f t="array" aca="1" ref="AAD30" ca="1">IFERROR(INDEX(INDIRECT(AAC30),MATCH(INDIRECT(ZX$5),INDIRECT(ZX30),0)),IF(INDIRECT(ZX$5)=0,1,""))</f>
        <v/>
      </c>
      <c r="AAE30" s="97"/>
      <c r="AAF30" s="96" t="str">
        <f>ZwölfMinLaufHalleResultat[[#This Row],[Resultat]]</f>
        <v/>
      </c>
      <c r="AAG30" s="96"/>
      <c r="AAH30" s="97" t="str">
        <f ca="1">ZwölfMinLaufHalleSkalawert[[#This Row],[Skala-Wert]]</f>
        <v/>
      </c>
      <c r="AAJ30" s="97" t="str">
        <f ca="1">ZwölfMinLaufHalleNote[[#This Row],[Note]]</f>
        <v/>
      </c>
      <c r="AAK30" s="97"/>
      <c r="AAL30" s="96" t="str">
        <f>ZwölfMinLaufimFreienResultat[[#This Row],[Resultat]]</f>
        <v/>
      </c>
      <c r="AAM30" s="96"/>
      <c r="AAN30" s="97" t="str">
        <f ca="1">ZwölfMinLaufimFreienSkalawert[[#This Row],[Skala-Wert]]</f>
        <v/>
      </c>
      <c r="AAP30" s="97" t="str">
        <f ca="1">ZwölfMinLaufimFreienNote[[#This Row],[Note]]</f>
        <v/>
      </c>
      <c r="AAQ30" s="97"/>
      <c r="AAR30" s="307"/>
      <c r="AAS30" s="96" t="str">
        <f>IFERROR(IFERROR(SUBSTITUTE(BeweglichkeitResultat[[#This Row],[Eingabe]],".",",")*1,SUBSTITUTE(BeweglichkeitResultat[[#This Row],[Eingabe]],",",".")*1),"")</f>
        <v/>
      </c>
      <c r="AAT30" s="96" t="e">
        <f>INT(BeweglichkeitResultat[[#This Row],[Resultat]])=BeweglichkeitResultat[[#This Row],[Resultat]]</f>
        <v>#VALUE!</v>
      </c>
      <c r="AAU30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0" s="96"/>
      <c r="AAW30" s="91" t="str" cm="1">
        <f t="array" aca="1" ref="AAW30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0" s="96" t="str">
        <f ca="1">REPLACE(AAW$4,AAX$6,1,Geschlecht[[#This Row],[Geschlecht (Skala)]])</f>
        <v>Beweglichkeit_[Resultat]</v>
      </c>
      <c r="AAY30" s="96" t="str" cm="1">
        <f t="array" aca="1" ref="AAY30" ca="1">IF(OR(INDIRECT(AAW$1)=$A$2,INDIRECT(AAW$1)=$A$3),$A$3,IF(OR(INDIRECT(AAW$2)="",AND(Geschlecht[[#This Row],[Geschlecht (Skala)]]=Stammdaten!$D$7,INDIRECT(AAW$2)&lt;0)),"",IFERROR(INDEX(INDIRECT(AAX30),MATCH(INDIRECT(AAW$3),INDIRECT(AAX30),AAX$25)),IFERROR(IF(AAX$25=-1,MAX(INDIRECT(AAX30)),IF(AAX$25=1,MIN(INDIRECT(AAX30)))),""))))</f>
        <v/>
      </c>
      <c r="AAZ30" s="97" t="str" cm="1">
        <f t="array" aca="1" ref="AAZ30" ca="1">IF(INDIRECT(AAW$1)="","",IF(INDIRECT(AAW$1)=0,0,IF(OR(INDIRECT(AAW$1)=$A$2,INDIRECT(AAW$1)=$A$3),$A$3,IFERROR(INDEX(INDIRECT(AAY30),MATCH(INDIRECT(AAW$3),INDIRECT(AAY30),AAY$27)),IFERROR(IF(AAY$27=-1,MAX(INDIRECT(AAY30)),IF(AAY$27=1,MIN(INDIRECT(AAY30)))),"")))))</f>
        <v/>
      </c>
      <c r="ABA30" s="96" t="str">
        <f ca="1">REPLACE(AAW$6,AAX$6,1,Geschlecht[[#This Row],[Geschlecht (Skala)]])</f>
        <v>Beweglichkeit_[Note]</v>
      </c>
      <c r="ABB30" s="91" t="str" cm="1">
        <f t="array" aca="1" ref="ABB30" ca="1">IFERROR(INDEX(INDIRECT(ABA30),MATCH(INDIRECT(AAW$5),INDIRECT(AAX30),0)),"")</f>
        <v/>
      </c>
      <c r="ABC30" s="97" t="str" cm="1">
        <f t="array" aca="1" ref="ABC30" ca="1">IFERROR(INDEX(INDIRECT(ABB30),MATCH(INDIRECT(AAW$5),INDIRECT(AAY30),0)),"")</f>
        <v/>
      </c>
      <c r="ABD30" s="307"/>
      <c r="ABE30" s="96" t="str">
        <f>IFERROR(IFERROR(SUBSTITUTE(RumpfkraftResultat[[#This Row],[Eingabe]],".",",")*1,SUBSTITUTE(RumpfkraftResultat[[#This Row],[Eingabe]],",",".")*1),"")</f>
        <v/>
      </c>
      <c r="ABF30" s="96" t="e">
        <f>INT(RumpfkraftResultat[[#This Row],[Resultat]])=RumpfkraftResultat[[#This Row],[Resultat]]</f>
        <v>#VALUE!</v>
      </c>
      <c r="ABG30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0" s="96"/>
      <c r="ABI30" s="91" t="str" cm="1">
        <f t="array" aca="1" ref="ABI30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0" s="96" t="str">
        <f ca="1">REPLACE(ABI$4,ABJ$6,1,Geschlecht[[#This Row],[Geschlecht (Skala)]])</f>
        <v>Rumpfkraft_[Resultat]</v>
      </c>
      <c r="ABK30" s="97" t="str" cm="1">
        <f t="array" aca="1" ref="ABK30" ca="1">IF(INDIRECT(ABI$1)="","",IF(OR(INDIRECT(ABI$1)=$A$2,INDIRECT(ABI$1)=$A$3),$A$3,IFERROR(INDEX(INDIRECT(ABJ30),MATCH(INDIRECT(ABI$3),INDIRECT(ABJ30),ABJ$25)),IFERROR(IF(ABJ$25=-1,MAX(INDIRECT(ABJ30)),IF(ABJ$25=1,MIN(INDIRECT(ABJ30)))),""))))</f>
        <v/>
      </c>
      <c r="ABM30" s="91" t="str">
        <f ca="1">REPLACE(ABI$6,ABJ$6,1,Geschlecht[[#This Row],[Geschlecht (Skala)]])</f>
        <v>Rumpfkraft_[Note]</v>
      </c>
      <c r="ABN30" s="97" t="str" cm="1">
        <f t="array" aca="1" ref="ABN30" ca="1">IFERROR(INDEX(INDIRECT(ABM30),MATCH(INDIRECT(ABI$5),INDIRECT(ABJ30),0)),"")</f>
        <v/>
      </c>
      <c r="ABO30" s="97"/>
      <c r="ABP30" s="96" t="str">
        <f>SechzigmLaufResultat[[#This Row],[Resultat]]</f>
        <v/>
      </c>
      <c r="ABQ30" s="96"/>
      <c r="ABR30" s="97" t="str">
        <f ca="1">SechzigmLaufSkalawert[[#This Row],[Skala-Wert]]</f>
        <v/>
      </c>
      <c r="ABT30" s="97" t="str">
        <f ca="1">SechzigmLaufNote[[#This Row],[Note]]</f>
        <v/>
      </c>
      <c r="ABU30" s="97"/>
      <c r="ABV30" s="96" t="str">
        <f>AchtzigmLaufResultat[[#This Row],[Resultat]]</f>
        <v/>
      </c>
      <c r="ABW30" s="96"/>
      <c r="ABX30" s="97" t="str">
        <f ca="1">AchtzigmLaufSkalawert[[#This Row],[Skala-Wert]]</f>
        <v/>
      </c>
      <c r="ABZ30" s="97" t="str">
        <f ca="1">AchtzigmLaufNote[[#This Row],[Note]]</f>
        <v/>
      </c>
      <c r="ACA30" s="97"/>
      <c r="ACB30" s="307"/>
      <c r="ACC30" s="96" t="str">
        <f>IFERROR(IFERROR(SUBSTITUTE(KonditionsparcoursResultat[[#This Row],[Eingabe]],".",",")*1,SUBSTITUTE(KonditionsparcoursResultat[[#This Row],[Eingabe]],",",".")*1),"")</f>
        <v/>
      </c>
      <c r="ACD30" s="96" t="e">
        <f>INT(KonditionsparcoursResultat[[#This Row],[Resultat]])=KonditionsparcoursResultat[[#This Row],[Resultat]]</f>
        <v>#VALUE!</v>
      </c>
      <c r="ACE30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0" s="96"/>
      <c r="ACG30" s="91" t="str" cm="1">
        <f t="array" aca="1" ref="ACG30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0" s="96" t="str">
        <f ca="1">LEFT(Geschlecht[[#This Row],[Geschlecht (Skala)]],1)&amp;ACM$4</f>
        <v>2</v>
      </c>
      <c r="ACI30" s="96" t="str">
        <f t="shared" ca="1" si="133"/>
        <v>Konditionsparcours_2[Resultat]</v>
      </c>
      <c r="ACJ30" s="97" t="str" cm="1">
        <f t="array" aca="1" ref="ACJ30" ca="1">IF(INDIRECT(ACG$1)="","",IF(OR(INDIRECT(ACG$1)=$A$2,INDIRECT(ACG$1)=$A$3),$A$3,IFERROR(INDEX(INDIRECT(ACI30),MATCH(INDIRECT(ACG$3),INDIRECT(ACI30),ACI$25)),IFERROR(IF(ACI$25=-1,MAX(INDIRECT(ACI30)),IF(ACI$25=1,MIN(INDIRECT(ACI30)))),""))))</f>
        <v/>
      </c>
      <c r="ACL30" s="91" t="str">
        <f t="shared" ca="1" si="134"/>
        <v>Konditionsparcours_2[Note]</v>
      </c>
      <c r="ACM30" s="97" t="str" cm="1">
        <f t="array" aca="1" ref="ACM30" ca="1">IFERROR(INDEX(INDIRECT(ACL30),MATCH(INDIRECT(ACG$5),INDIRECT(ACI30),0)),"")</f>
        <v/>
      </c>
      <c r="ACN30" s="102"/>
    </row>
    <row r="31" spans="1:768">
      <c r="A31" s="305">
        <v>4</v>
      </c>
      <c r="B31" s="133"/>
      <c r="C31" s="133"/>
      <c r="E31" s="306"/>
      <c r="G31" s="307"/>
      <c r="H31" s="96" t="str">
        <f>IFERROR(IFERROR(SUBSTITUTE(SechzigmLaufResultat[[#This Row],[Eingabe]],".",",")*1,SUBSTITUTE(SechzigmLaufResultat[[#This Row],[Eingabe]],",",".")*1),"")</f>
        <v/>
      </c>
      <c r="I31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1" s="96"/>
      <c r="K31" s="91" t="str" cm="1">
        <f t="array" aca="1" ref="K31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1" s="96" t="str">
        <f ca="1">LEFT(Geschlecht[[#This Row],[Geschlecht (Skala)]],1)&amp;Q$4</f>
        <v>2</v>
      </c>
      <c r="M31" s="96" t="str">
        <f t="shared" ca="1" si="37"/>
        <v>SechzigmLauf_2[Resultat]</v>
      </c>
      <c r="N31" s="97" t="str" cm="1">
        <f t="array" aca="1" ref="N31" ca="1">IF(INDIRECT(K$1)="","",IF(INDIRECT(K$2)=0,0,IF(OR(INDIRECT(K$1)=$A$2,INDIRECT(K$1)=$A$3),$A$3,IFERROR(INDEX(INDIRECT(M31),MATCH(INDIRECT(K$3),INDIRECT(M31),M$25)),IFERROR(IF(M$25=-1,MAX(INDIRECT(M31)),IF(M$25=1,MIN(INDIRECT(M31)))),"")))))</f>
        <v/>
      </c>
      <c r="P31" s="91" t="str">
        <f t="shared" ca="1" si="38"/>
        <v>SechzigmLauf_2[Note]</v>
      </c>
      <c r="Q31" s="97" t="str" cm="1">
        <f t="array" aca="1" ref="Q31" ca="1">IFERROR(INDEX(INDIRECT(P31),MATCH(INDIRECT(K$5),INDIRECT(M31),0)),IF(INDIRECT(K$5)=0,1,""))</f>
        <v/>
      </c>
      <c r="R31" s="97"/>
      <c r="S31" s="307"/>
      <c r="T31" s="96" t="str">
        <f>IFERROR(IFERROR(SUBSTITUTE(AchtzigmLaufResultat[[#This Row],[Eingabe]],".",",")*1,SUBSTITUTE(AchtzigmLaufResultat[[#This Row],[Eingabe]],",",".")*1),"")</f>
        <v/>
      </c>
      <c r="U31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1" s="96"/>
      <c r="W31" s="91" t="str" cm="1">
        <f t="array" aca="1" ref="W31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1" s="96" t="str">
        <f ca="1">LEFT(Geschlecht[[#This Row],[Geschlecht (Skala)]],1)&amp;AC$4</f>
        <v>2</v>
      </c>
      <c r="Y31" s="96" t="str">
        <f t="shared" ca="1" si="39"/>
        <v>AchtzigmLauf_2[Resultat]</v>
      </c>
      <c r="Z31" s="97" t="str" cm="1">
        <f t="array" aca="1" ref="Z31" ca="1">IF(INDIRECT(W$1)="","",IF(INDIRECT(W$2)=0,0,IF(OR(INDIRECT(W$1)=$A$2,INDIRECT(W$1)=$A$3),$A$3,IFERROR(INDEX(INDIRECT(Y31),MATCH(INDIRECT(W$3),INDIRECT(Y31),Y$25)),IFERROR(IF(Y$25=-1,MAX(INDIRECT(Y31)),IF(Y$25=1,MIN(INDIRECT(Y31)))),"")))))</f>
        <v/>
      </c>
      <c r="AB31" s="91" t="str">
        <f t="shared" ca="1" si="40"/>
        <v>AchtzigmLauf_2[Note]</v>
      </c>
      <c r="AC31" s="97" t="str" cm="1">
        <f t="array" aca="1" ref="AC31" ca="1">IFERROR(INDEX(INDIRECT(AB31),MATCH(INDIRECT(W$5),INDIRECT(Y31),0)),IF(INDIRECT(W$5)=0,1,""))</f>
        <v/>
      </c>
      <c r="AD31" s="97"/>
      <c r="AE31" s="307"/>
      <c r="AF31" s="96" t="str">
        <f>IFERROR(IFERROR(SUBSTITUTE(ZwölfMinLaufHalleResultat[[#This Row],[Eingabe]],".",",")*1,SUBSTITUTE(ZwölfMinLaufHalleResultat[[#This Row],[Eingabe]],",",".")*1),"")</f>
        <v/>
      </c>
      <c r="AG31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1" s="96"/>
      <c r="AI31" s="91" t="str" cm="1">
        <f t="array" aca="1" ref="AI31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1" s="96" t="str">
        <f ca="1">LEFT(Geschlecht[[#This Row],[Geschlecht (Skala)]],1)&amp;AO$4</f>
        <v>2</v>
      </c>
      <c r="AK31" s="96" t="str">
        <f t="shared" ca="1" si="41"/>
        <v>ZwölfMinLaufHalle_2[Resultat]</v>
      </c>
      <c r="AL31" s="97" t="str" cm="1">
        <f t="array" aca="1" ref="AL31" ca="1">IF(INDIRECT(AI$1)="","",IF(INDIRECT(AI$2)=0,0,IF(OR(INDIRECT(AI$1)=$A$2,INDIRECT(AI$1)=$A$3),$A$3,IFERROR(INDEX(INDIRECT(AK31),MATCH(INDIRECT(AI$3),INDIRECT(AK31),AK$25)),IFERROR(IF(AK$25=-1,MAX(INDIRECT(AK31)),IF(AK$25=1,MIN(INDIRECT(AK31)))),"")))))</f>
        <v/>
      </c>
      <c r="AN31" s="91" t="str">
        <f t="shared" ca="1" si="42"/>
        <v>ZwölfMinLaufHalle_2[Note]</v>
      </c>
      <c r="AO31" s="97" t="str" cm="1">
        <f t="array" aca="1" ref="AO31" ca="1">IFERROR(INDEX(INDIRECT(AN31),MATCH(INDIRECT(AI$5),INDIRECT(AK31),0)),IF(INDIRECT(AI$5)=0,1,""))</f>
        <v/>
      </c>
      <c r="AP31" s="97"/>
      <c r="AQ31" s="307"/>
      <c r="AR31" s="96" t="str">
        <f>IFERROR(IFERROR(SUBSTITUTE(ZwölfMinLaufimFreienResultat[[#This Row],[Eingabe]],".",",")*1,SUBSTITUTE(ZwölfMinLaufimFreienResultat[[#This Row],[Eingabe]],",",".")*1),"")</f>
        <v/>
      </c>
      <c r="AS31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1" s="96"/>
      <c r="AU31" s="91" t="str" cm="1">
        <f t="array" aca="1" ref="AU31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1" s="96" t="str">
        <f ca="1">LEFT(Geschlecht[[#This Row],[Geschlecht (Skala)]],1)&amp;BA$4</f>
        <v>2</v>
      </c>
      <c r="AW31" s="96" t="str">
        <f t="shared" ca="1" si="43"/>
        <v>ZwölfMinLaufimFreien_2[Resultat]</v>
      </c>
      <c r="AX31" s="97" t="str" cm="1">
        <f t="array" aca="1" ref="AX31" ca="1">IF(INDIRECT(AU$1)="","",IF(INDIRECT(AU$2)=0,0,IF(OR(INDIRECT(AU$1)=$A$2,INDIRECT(AU$1)=$A$3),$A$3,IFERROR(INDEX(INDIRECT(AW31),MATCH(INDIRECT(AU$3),INDIRECT(AW31),AW$25)),IFERROR(IF(AW$25=-1,MAX(INDIRECT(AW31)),IF(AW$25=1,MIN(INDIRECT(AW31)))),"")))))</f>
        <v/>
      </c>
      <c r="AZ31" s="91" t="str">
        <f t="shared" ca="1" si="44"/>
        <v>ZwölfMinLaufimFreien_2[Note]</v>
      </c>
      <c r="BA31" s="97" t="str" cm="1">
        <f t="array" aca="1" ref="BA31" ca="1">IFERROR(INDEX(INDIRECT(AZ31),MATCH(INDIRECT(AU$5),INDIRECT(AW31),0)),IF(INDIRECT(AU$5)=0,1,""))</f>
        <v/>
      </c>
      <c r="BB31" s="97"/>
      <c r="BC31" s="307"/>
      <c r="BD31" s="96" t="str">
        <f>IFERROR(IFERROR(SUBSTITUTE(HochsprungResultat[[#This Row],[Eingabe]],".",",")*1,SUBSTITUTE(HochsprungResultat[[#This Row],[Eingabe]],",",".")*1),"")</f>
        <v/>
      </c>
      <c r="BE31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1" s="96"/>
      <c r="BG31" s="91" t="str" cm="1">
        <f t="array" aca="1" ref="BG31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1" s="96" t="str">
        <f ca="1">LEFT(Geschlecht[[#This Row],[Geschlecht (Skala)]],1)&amp;BM$4</f>
        <v>2</v>
      </c>
      <c r="BI31" s="96" t="str">
        <f t="shared" ca="1" si="45"/>
        <v>Hochsprung_2[Resultat]</v>
      </c>
      <c r="BJ31" s="97" t="str" cm="1">
        <f t="array" aca="1" ref="BJ31" ca="1">IF(INDIRECT(BG$1)="","",IF(INDIRECT(BG$2)=0,0,IF(OR(INDIRECT(BG$1)=$A$2,INDIRECT(BG$1)=$A$3),$A$3,IFERROR(INDEX(INDIRECT(BI31),MATCH(INDIRECT(BG$3),INDIRECT(BI31),BI$25)),IFERROR(IF(BI$25=-1,MAX(INDIRECT(BI31)),IF(BI$25=1,MIN(INDIRECT(BI31)))),"")))))</f>
        <v/>
      </c>
      <c r="BL31" s="91" t="str">
        <f t="shared" ca="1" si="46"/>
        <v>Hochsprung_2[Note]</v>
      </c>
      <c r="BM31" s="97" t="str" cm="1">
        <f t="array" aca="1" ref="BM31" ca="1">IFERROR(INDEX(INDIRECT(BL31),MATCH(INDIRECT(BG$5),INDIRECT(BI31),0)),IF(INDIRECT(BG$5)=0,1,""))</f>
        <v/>
      </c>
      <c r="BN31" s="97"/>
      <c r="BO31" s="307"/>
      <c r="BP31" s="96" t="str">
        <f>IFERROR(IFERROR(SUBSTITUTE(WeitsprungResultat[[#This Row],[Eingabe]],".",",")*1,SUBSTITUTE(WeitsprungResultat[[#This Row],[Eingabe]],",",".")*1),"")</f>
        <v/>
      </c>
      <c r="BQ31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1" s="96"/>
      <c r="BS31" s="91" t="str" cm="1">
        <f t="array" aca="1" ref="BS31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1" s="96" t="str">
        <f ca="1">LEFT(Geschlecht[[#This Row],[Geschlecht (Skala)]],1)&amp;BY$4</f>
        <v>2</v>
      </c>
      <c r="BU31" s="96" t="str">
        <f t="shared" ca="1" si="47"/>
        <v>Weitsprung_2[Resultat]</v>
      </c>
      <c r="BV31" s="97" t="str" cm="1">
        <f t="array" aca="1" ref="BV31" ca="1">IF(INDIRECT(BS$1)="","",IF(INDIRECT(BS$2)=0,0,IF(OR(INDIRECT(BS$1)=$A$2,INDIRECT(BS$1)=$A$3),$A$3,IFERROR(INDEX(INDIRECT(BU31),MATCH(INDIRECT(BS$3),INDIRECT(BU31),BU$25)),IFERROR(IF(BU$25=-1,MAX(INDIRECT(BU31)),IF(BU$25=1,MIN(INDIRECT(BU31)))),"")))))</f>
        <v/>
      </c>
      <c r="BX31" s="91" t="str">
        <f t="shared" ca="1" si="48"/>
        <v>Weitsprung_2[Note]</v>
      </c>
      <c r="BY31" s="97" t="str" cm="1">
        <f t="array" aca="1" ref="BY31" ca="1">IFERROR(INDEX(INDIRECT(BX31),MATCH(INDIRECT(BS$5),INDIRECT(BU31),0)),IF(INDIRECT(BS$5)=0,1,""))</f>
        <v/>
      </c>
      <c r="BZ31" s="97"/>
      <c r="CA31" s="307"/>
      <c r="CB31" s="96" t="str">
        <f>IFERROR(IFERROR(SUBSTITUTE(BallwurfResultat[[#This Row],[Eingabe]],".",",")*1,SUBSTITUTE(BallwurfResultat[[#This Row],[Eingabe]],",",".")*1),"")</f>
        <v/>
      </c>
      <c r="CC31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1" s="96"/>
      <c r="CE31" s="91" t="str" cm="1">
        <f t="array" aca="1" ref="CE31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1" s="96" t="str">
        <f ca="1">LEFT(Geschlecht[[#This Row],[Geschlecht (Skala)]],1)&amp;CK$4</f>
        <v>2</v>
      </c>
      <c r="CG31" s="96" t="str">
        <f t="shared" ca="1" si="49"/>
        <v>Ballwurf_2[Resultat]</v>
      </c>
      <c r="CH31" s="97" t="str" cm="1">
        <f t="array" aca="1" ref="CH31" ca="1">IF(INDIRECT(CE$1)="","",IF(INDIRECT(CE$2)=0,0,IF(OR(INDIRECT(CE$1)=$A$2,INDIRECT(CE$1)=$A$3),$A$3,IFERROR(INDEX(INDIRECT(CG31),MATCH(INDIRECT(CE$3),INDIRECT(CG31),CG$25)),IFERROR(IF(CG$25=-1,MAX(INDIRECT(CG31)),IF(CG$25=1,MIN(INDIRECT(CG31)))),"")))))</f>
        <v/>
      </c>
      <c r="CJ31" s="91" t="str">
        <f t="shared" ca="1" si="50"/>
        <v>Ballwurf_2[Note]</v>
      </c>
      <c r="CK31" s="97" t="str" cm="1">
        <f t="array" aca="1" ref="CK31" ca="1">IFERROR(INDEX(INDIRECT(CJ31),MATCH(INDIRECT(CE$5),INDIRECT(CG31),0)),IF(INDIRECT(CE$5)=0,1,""))</f>
        <v/>
      </c>
      <c r="CL31" s="97"/>
      <c r="CM31" s="307"/>
      <c r="CN31" s="96" t="str">
        <f>IFERROR(IFERROR(SUBSTITUTE(KugelstossenResultat[[#This Row],[Eingabe]],".",",")*1,SUBSTITUTE(KugelstossenResultat[[#This Row],[Eingabe]],",",".")*1),"")</f>
        <v/>
      </c>
      <c r="CO31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1" s="96"/>
      <c r="CQ31" s="91" t="str" cm="1">
        <f t="array" aca="1" ref="CQ31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1" s="96" t="str">
        <f ca="1">LEFT(Geschlecht[[#This Row],[Geschlecht (Skala)]],1)&amp;CW$4</f>
        <v>2</v>
      </c>
      <c r="CS31" s="96" t="str">
        <f t="shared" ca="1" si="51"/>
        <v>Kugelstossen_2[Resultat]</v>
      </c>
      <c r="CT31" s="97" t="str" cm="1">
        <f t="array" aca="1" ref="CT31" ca="1">IF(INDIRECT(CQ$1)="","",IF(INDIRECT(CQ$2)=0,0,IF(OR(INDIRECT(CQ$1)=$A$2,INDIRECT(CQ$1)=$A$3),$A$3,IFERROR(INDEX(INDIRECT(CS31),MATCH(INDIRECT(CQ$3),INDIRECT(CS31),CS$25)),IFERROR(IF(CS$25=-1,MAX(INDIRECT(CS31)),IF(CS$25=1,MIN(INDIRECT(CS31)))),"")))))</f>
        <v/>
      </c>
      <c r="CV31" s="91" t="str">
        <f t="shared" ca="1" si="52"/>
        <v>Kugelstossen_2[Note]</v>
      </c>
      <c r="CW31" s="97" t="str" cm="1">
        <f t="array" aca="1" ref="CW31" ca="1">IFERROR(INDEX(INDIRECT(CV31),MATCH(INDIRECT(CQ$5),INDIRECT(CS31),0)),IF(INDIRECT(CQ$5)=0,1,""))</f>
        <v/>
      </c>
      <c r="CX31" s="97"/>
      <c r="CY31" s="307"/>
      <c r="CZ31" s="96" t="str">
        <f>IFERROR(IFERROR(SUBSTITUTE(SpeerwurfResultat[[#This Row],[Eingabe]],".",",")*1,SUBSTITUTE(SpeerwurfResultat[[#This Row],[Eingabe]],",",".")*1),"")</f>
        <v/>
      </c>
      <c r="DA31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1" s="96"/>
      <c r="DC31" s="91" t="str" cm="1">
        <f t="array" aca="1" ref="DC31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1" s="96" t="str">
        <f ca="1">LEFT(Geschlecht[[#This Row],[Geschlecht (Skala)]],1)&amp;DI$4</f>
        <v>2</v>
      </c>
      <c r="DE31" s="96" t="str">
        <f t="shared" ca="1" si="53"/>
        <v>Speerwurf_2[Resultat]</v>
      </c>
      <c r="DF31" s="97" t="str" cm="1">
        <f t="array" aca="1" ref="DF31" ca="1">IF(INDIRECT(DC$1)="","",IF(INDIRECT(DC$2)=0,0,IF(OR(INDIRECT(DC$1)=$A$2,INDIRECT(DC$1)=$A$3),$A$3,IFERROR(INDEX(INDIRECT(DE31),MATCH(INDIRECT(DC$3),INDIRECT(DE31),DE$25)),IFERROR(IF(DE$25=-1,MAX(INDIRECT(DE31)),IF(DE$25=1,MIN(INDIRECT(DE31)))),"")))))</f>
        <v/>
      </c>
      <c r="DH31" s="91" t="str">
        <f t="shared" ca="1" si="54"/>
        <v>Speerwurf_2[Note]</v>
      </c>
      <c r="DI31" s="97" t="str" cm="1">
        <f t="array" aca="1" ref="DI31" ca="1">IFERROR(INDEX(INDIRECT(DH31),MATCH(INDIRECT(DC$5),INDIRECT(DE31),0)),IF(INDIRECT(DC$5)=0,1,""))</f>
        <v/>
      </c>
      <c r="DJ31" s="97"/>
      <c r="DK31" s="97" t="str" cm="1">
        <f t="array" aca="1" ref="DK31" ca="1">INDIRECT(DK$5)</f>
        <v/>
      </c>
      <c r="DL31" s="97" t="str" cm="1">
        <f t="array" aca="1" ref="DL31" ca="1">INDIRECT(DL$5)</f>
        <v/>
      </c>
      <c r="DM31" s="97" t="str" cm="1">
        <f t="array" aca="1" ref="DM31" ca="1">INDIRECT(DM$5)</f>
        <v/>
      </c>
      <c r="DN31" s="97" t="str" cm="1">
        <f t="array" aca="1" ref="DN31" ca="1">INDIRECT(DN$5)</f>
        <v/>
      </c>
      <c r="DO31" s="97" t="str">
        <f t="shared" ca="1" si="135"/>
        <v>Sprintdisziplinen nicht durchgeführt</v>
      </c>
      <c r="DP31" s="97" t="str">
        <f t="shared" ca="1" si="136"/>
        <v/>
      </c>
      <c r="DQ31" s="108">
        <f t="shared" ca="1" si="137"/>
        <v>0</v>
      </c>
      <c r="DR31" s="108">
        <f t="shared" ca="1" si="138"/>
        <v>0</v>
      </c>
      <c r="DS31" s="108" t="str">
        <f t="shared" ca="1" si="139"/>
        <v/>
      </c>
      <c r="DT31" s="97" t="str">
        <f t="shared" ca="1" si="140"/>
        <v>Sprintdisziplinen nicht durchgeführt</v>
      </c>
      <c r="DU31" s="97" t="str">
        <f t="shared" ca="1" si="141"/>
        <v/>
      </c>
      <c r="DV31" s="97" t="str" cm="1">
        <f t="array" aca="1" ref="DV31" ca="1">IFERROR(IF(INDIRECT(INDEX(INDIRECT(DV$5),MATCH(DT31,INDIRECT(DV$4),0)))&lt;&gt;"",INDEX(INDIRECT(DV$5),MATCH(DT31,INDIRECT(DV$4),0)),INDEX(INDIRECT(DV$6),MATCH(DT31,INDIRECT(DV$4),0))),"")</f>
        <v/>
      </c>
      <c r="DW31" s="97" t="str">
        <f t="shared" ca="1" si="142"/>
        <v/>
      </c>
      <c r="DX31" s="97" t="str" cm="1">
        <f t="array" aca="1" ref="DX31" ca="1">IFERROR(INDIRECT(DV31),IF(NOT(ISERROR(FIND(Stammdaten!$CC$3,DT31,1))),$A$2,""))</f>
        <v/>
      </c>
      <c r="DY31" s="97" t="str">
        <f ca="1">IF(DX31="","",IF(AND(DU31=Stammdaten!$BX$20,DW31="0",DX31=1),SUBSTITUTE(TEXT(DX31,DW31)&amp;" "&amp;LEFT(DU31,LEN(DU31)-1),".",","),SUBSTITUTE(TEXT(DX31,DW31)&amp;" "&amp;DU31,".",",")))</f>
        <v/>
      </c>
      <c r="DZ31" s="97" t="str">
        <f t="shared" ca="1" si="55"/>
        <v/>
      </c>
      <c r="EA31" s="97" t="str" cm="1">
        <f t="array" aca="1" ref="EA31" ca="1">IFERROR(LEFT(INDIRECT(DZ31),1)&amp;"]","")</f>
        <v/>
      </c>
      <c r="EB31" s="97" t="str">
        <f t="shared" ca="1" si="56"/>
        <v/>
      </c>
      <c r="EC31" s="97" t="str">
        <f ca="1">IFERROR(LEFT(DT31,FIND(Stammdaten!$CA$4,DT31,1)-2),IFERROR(LEFT(DT31,FIND(Stammdaten!$CC$3,DT31,1)-2),DT31))</f>
        <v>Sprintdisziplinen</v>
      </c>
      <c r="ED31" s="97" t="str">
        <f ca="1">IF(NOT(ISERROR(FIND(Stammdaten!$CA$4,DT31,1))),Stammdaten!$CA$4,IF(EE31&lt;&gt;Stammdaten!$CC$3,EB31,""))</f>
        <v>nicht durchgeführt</v>
      </c>
      <c r="EE31" s="91" t="str">
        <f ca="1">IF(DX31=$A$2,Stammdaten!$CC$3,DY31)</f>
        <v/>
      </c>
      <c r="EF31" s="97" t="str" cm="1">
        <f t="array" aca="1" ref="EF31" ca="1">INDIRECT(EF$5)</f>
        <v/>
      </c>
      <c r="EG31" s="97" t="str" cm="1">
        <f t="array" aca="1" ref="EG31" ca="1">INDIRECT(EG$5)</f>
        <v/>
      </c>
      <c r="EH31" s="97" t="str" cm="1">
        <f t="array" aca="1" ref="EH31" ca="1">INDIRECT(EH$5)</f>
        <v/>
      </c>
      <c r="EI31" s="97" t="str" cm="1">
        <f t="array" aca="1" ref="EI31" ca="1">INDIRECT(EI$5)</f>
        <v/>
      </c>
      <c r="EJ31" s="97" t="str">
        <f t="shared" ca="1" si="143"/>
        <v>Ausdauerdisziplinen nicht durchgeführt</v>
      </c>
      <c r="EK31" s="97" t="str">
        <f t="shared" ca="1" si="144"/>
        <v/>
      </c>
      <c r="EL31" s="108">
        <f t="shared" ca="1" si="145"/>
        <v>0</v>
      </c>
      <c r="EM31" s="108">
        <f t="shared" ca="1" si="146"/>
        <v>0</v>
      </c>
      <c r="EN31" s="108" t="str">
        <f t="shared" ca="1" si="147"/>
        <v/>
      </c>
      <c r="EO31" s="97" t="str">
        <f t="shared" ca="1" si="148"/>
        <v>Ausdauerdisziplinen nicht durchgeführt</v>
      </c>
      <c r="EP31" s="97" t="str">
        <f t="shared" ca="1" si="149"/>
        <v/>
      </c>
      <c r="EQ31" s="97" t="str" cm="1">
        <f t="array" aca="1" ref="EQ31" ca="1">IFERROR(IF(INDIRECT(INDEX(INDIRECT(EQ$5),MATCH(EO31,INDIRECT(EQ$4),0)))&lt;&gt;"",INDEX(INDIRECT(EQ$5),MATCH(EO31,INDIRECT(EQ$4),0)),INDEX(INDIRECT(EQ$6),MATCH(EO31,INDIRECT(EQ$4),0))),"")</f>
        <v/>
      </c>
      <c r="ER31" s="97" t="str">
        <f t="shared" ca="1" si="150"/>
        <v/>
      </c>
      <c r="ES31" s="97" t="str" cm="1">
        <f t="array" aca="1" ref="ES31" ca="1">IFERROR(INDIRECT(EQ31),IF(NOT(ISERROR(FIND(Stammdaten!$CC$3,EO31,1))),$A$2,""))</f>
        <v/>
      </c>
      <c r="ET31" s="97" t="str">
        <f ca="1">IF(ES31="","",IF(AND(EP31=Stammdaten!$BX$20,ER31="0",ES31=1),SUBSTITUTE(TEXT(ES31,ER31)&amp;" "&amp;LEFT(EP31,LEN(EP31)-1),".",","),SUBSTITUTE(TEXT(ES31,ER31)&amp;" "&amp;EP31,".",",")))</f>
        <v/>
      </c>
      <c r="EU31" s="97" t="str">
        <f t="shared" ca="1" si="57"/>
        <v/>
      </c>
      <c r="EV31" s="97" t="str" cm="1">
        <f t="array" aca="1" ref="EV31" ca="1">IFERROR(LEFT(INDIRECT(EU31),1)&amp;"]","")</f>
        <v/>
      </c>
      <c r="EW31" s="97" t="str">
        <f t="shared" ca="1" si="58"/>
        <v/>
      </c>
      <c r="EX31" s="97" t="str">
        <f ca="1">IFERROR(LEFT(EO31,FIND(Stammdaten!$CA$4,EO31,1)-2),IFERROR(LEFT(EO31,FIND(Stammdaten!$CC$3,EO31,1)-2),EO31))</f>
        <v>Ausdauerdisziplinen</v>
      </c>
      <c r="EY31" s="97" t="str">
        <f ca="1">IF(NOT(ISERROR(FIND(Stammdaten!$CA$4,EO31,1))),Stammdaten!$CA$4,IF(EZ31&lt;&gt;Stammdaten!$CC$3,EW31,""))</f>
        <v>nicht durchgeführt</v>
      </c>
      <c r="EZ31" s="91" t="str">
        <f ca="1">IF(ES31=$A$2,Stammdaten!$CC$3,ET31)</f>
        <v/>
      </c>
      <c r="FA31" s="97" t="str" cm="1">
        <f t="array" aca="1" ref="FA31" ca="1">INDIRECT(FA$5)</f>
        <v/>
      </c>
      <c r="FB31" s="97" t="str" cm="1">
        <f t="array" aca="1" ref="FB31" ca="1">INDIRECT(FB$5)</f>
        <v/>
      </c>
      <c r="FC31" s="97" t="str" cm="1">
        <f t="array" aca="1" ref="FC31" ca="1">INDIRECT(FC$5)</f>
        <v/>
      </c>
      <c r="FD31" s="97" t="str" cm="1">
        <f t="array" aca="1" ref="FD31" ca="1">INDIRECT(FD$5)</f>
        <v/>
      </c>
      <c r="FE31" s="97" t="str">
        <f t="shared" ca="1" si="151"/>
        <v>Sprungdisziplinen nicht durchgeführt</v>
      </c>
      <c r="FF31" s="97" t="str">
        <f t="shared" ca="1" si="152"/>
        <v/>
      </c>
      <c r="FG31" s="108">
        <f t="shared" ca="1" si="153"/>
        <v>0</v>
      </c>
      <c r="FH31" s="108">
        <f t="shared" ca="1" si="154"/>
        <v>0</v>
      </c>
      <c r="FI31" s="108" t="str">
        <f t="shared" ca="1" si="155"/>
        <v/>
      </c>
      <c r="FJ31" s="97" t="str">
        <f t="shared" ca="1" si="156"/>
        <v>Sprungdisziplinen nicht durchgeführt</v>
      </c>
      <c r="FK31" s="97" t="str">
        <f t="shared" ca="1" si="157"/>
        <v/>
      </c>
      <c r="FL31" s="97" t="str" cm="1">
        <f t="array" aca="1" ref="FL31" ca="1">IFERROR(IF(INDIRECT(INDEX(INDIRECT(FL$5),MATCH(FJ31,INDIRECT(FL$4),0)))&lt;&gt;"",INDEX(INDIRECT(FL$5),MATCH(FJ31,INDIRECT(FL$4),0)),INDEX(INDIRECT(FL$6),MATCH(FJ31,INDIRECT(FL$4),0))),"")</f>
        <v/>
      </c>
      <c r="FM31" s="97" t="str">
        <f t="shared" ca="1" si="158"/>
        <v/>
      </c>
      <c r="FN31" s="97" t="str" cm="1">
        <f t="array" aca="1" ref="FN31" ca="1">IFERROR(INDIRECT(FL31),IF(NOT(ISERROR(FIND(Stammdaten!$CC$3,FJ31,1))),$A$2,""))</f>
        <v/>
      </c>
      <c r="FO31" s="97" t="str">
        <f ca="1">IF(FN31="","",IF(AND(FK31=Stammdaten!$BX$20,FM31="0",FN31=1),SUBSTITUTE(TEXT(FN31,FM31)&amp;" "&amp;LEFT(FK31,LEN(FK31)-1),".",","),SUBSTITUTE(TEXT(FN31,FM31)&amp;" "&amp;FK31,".",",")))</f>
        <v/>
      </c>
      <c r="FP31" s="97" t="str">
        <f t="shared" ca="1" si="59"/>
        <v/>
      </c>
      <c r="FQ31" s="97" t="str" cm="1">
        <f t="array" aca="1" ref="FQ31" ca="1">IFERROR(LEFT(INDIRECT(FP31),1)&amp;"]","")</f>
        <v/>
      </c>
      <c r="FR31" s="97" t="str">
        <f t="shared" ca="1" si="60"/>
        <v/>
      </c>
      <c r="FS31" s="97" t="str">
        <f ca="1">IFERROR(LEFT(FJ31,FIND(Stammdaten!$CA$4,FJ31,1)-2),IFERROR(LEFT(FJ31,FIND(Stammdaten!$CC$3,FJ31,1)-2),FJ31))</f>
        <v>Sprungdisziplinen</v>
      </c>
      <c r="FT31" s="97" t="str">
        <f ca="1">IF(NOT(ISERROR(FIND(Stammdaten!$CA$4,FJ31,1))),Stammdaten!$CA$4,IF(FU31&lt;&gt;Stammdaten!$CC$3,FR31,""))</f>
        <v>nicht durchgeführt</v>
      </c>
      <c r="FU31" s="91" t="str">
        <f ca="1">IF(FN31=$A$2,Stammdaten!$CC$3,FO31)</f>
        <v/>
      </c>
      <c r="FV31" s="97" t="str" cm="1">
        <f t="array" aca="1" ref="FV31" ca="1">INDIRECT(FV$5)</f>
        <v/>
      </c>
      <c r="FW31" s="97" t="str" cm="1">
        <f t="array" aca="1" ref="FW31" ca="1">INDIRECT(FW$5)</f>
        <v/>
      </c>
      <c r="FX31" s="97" t="str" cm="1">
        <f t="array" aca="1" ref="FX31" ca="1">INDIRECT(FX$5)</f>
        <v/>
      </c>
      <c r="FY31" s="97" t="str" cm="1">
        <f t="array" aca="1" ref="FY31" ca="1">INDIRECT(FY$5)</f>
        <v/>
      </c>
      <c r="FZ31" s="97" t="str" cm="1">
        <f t="array" aca="1" ref="FZ31" ca="1">INDIRECT(FZ$5)</f>
        <v/>
      </c>
      <c r="GA31" s="97" t="str" cm="1">
        <f t="array" aca="1" ref="GA31" ca="1">INDIRECT(GA$5)</f>
        <v/>
      </c>
      <c r="GB31" s="97" t="str">
        <f t="shared" ca="1" si="159"/>
        <v>Wurfdisziplinen nicht durchgeführt</v>
      </c>
      <c r="GC31" s="97" t="str">
        <f t="shared" ca="1" si="160"/>
        <v/>
      </c>
      <c r="GD31" s="108">
        <f t="shared" ca="1" si="161"/>
        <v>0</v>
      </c>
      <c r="GE31" s="108">
        <f t="shared" ca="1" si="162"/>
        <v>0</v>
      </c>
      <c r="GF31" s="108" t="str">
        <f t="shared" ca="1" si="163"/>
        <v/>
      </c>
      <c r="GG31" s="97" t="str">
        <f t="shared" ca="1" si="164"/>
        <v>Wurfdisziplinen nicht durchgeführt</v>
      </c>
      <c r="GH31" s="97" t="str">
        <f t="shared" ca="1" si="165"/>
        <v/>
      </c>
      <c r="GI31" s="97" t="str" cm="1">
        <f t="array" aca="1" ref="GI31" ca="1">IFERROR(IF(INDIRECT(INDEX(INDIRECT(GI$5),MATCH(GG31,INDIRECT(GI$4),0)))&lt;&gt;"",INDEX(INDIRECT(GI$5),MATCH(GG31,INDIRECT(GI$4),0)),INDEX(INDIRECT(GI$6),MATCH(GG31,INDIRECT(GI$4),0))),"")</f>
        <v/>
      </c>
      <c r="GJ31" s="97" t="str">
        <f t="shared" ca="1" si="166"/>
        <v/>
      </c>
      <c r="GK31" s="97" t="str" cm="1">
        <f t="array" aca="1" ref="GK31" ca="1">IFERROR(INDIRECT(GI31),IF(NOT(ISERROR(FIND(Stammdaten!$CC$3,GG31,1))),$A$2,""))</f>
        <v/>
      </c>
      <c r="GL31" s="97" t="str">
        <f ca="1">IF(GK31="","",IF(AND(GH31=Stammdaten!$BX$20,GJ31="0",GK31=1),SUBSTITUTE(TEXT(GK31,GJ31)&amp;" "&amp;LEFT(GH31,LEN(GH31)-1),".",","),SUBSTITUTE(TEXT(GK31,GJ31)&amp;" "&amp;GH31,".",",")))</f>
        <v/>
      </c>
      <c r="GM31" s="97" t="str">
        <f t="shared" ca="1" si="61"/>
        <v/>
      </c>
      <c r="GN31" s="97" t="str" cm="1">
        <f t="array" aca="1" ref="GN31" ca="1">IFERROR(LEFT(INDIRECT(GM31),1)&amp;"]","")</f>
        <v/>
      </c>
      <c r="GO31" s="97" t="str">
        <f t="shared" ca="1" si="62"/>
        <v/>
      </c>
      <c r="GP31" s="97" t="str">
        <f ca="1">IFERROR(LEFT(GG31,FIND(Stammdaten!$CA$4,GG31,1)-2),IFERROR(LEFT(GG31,FIND(Stammdaten!$CC$3,GG31,1)-2),GG31))</f>
        <v>Wurfdisziplinen</v>
      </c>
      <c r="GQ31" s="97" t="str">
        <f ca="1">IF(NOT(ISERROR(FIND(Stammdaten!$CA$4,GG31,1))),Stammdaten!$CA$4,IF(GR31&lt;&gt;Stammdaten!$CC$3,GO31,""))</f>
        <v>nicht durchgeführt</v>
      </c>
      <c r="GR31" s="91" t="str">
        <f ca="1">IF(GK31=$A$2,Stammdaten!$CC$3,GL31)</f>
        <v/>
      </c>
      <c r="GS31" s="97" t="str">
        <f t="shared" ca="1" si="63"/>
        <v/>
      </c>
      <c r="GT31" s="97" t="str">
        <f t="shared" ca="1" si="64"/>
        <v/>
      </c>
      <c r="GU31" s="97" t="str">
        <f t="shared" ca="1" si="65"/>
        <v/>
      </c>
      <c r="GV31" s="97" t="str">
        <f t="shared" ca="1" si="66"/>
        <v/>
      </c>
      <c r="GW31" s="97">
        <f t="shared" ca="1" si="167"/>
        <v>0</v>
      </c>
      <c r="GX31" s="108">
        <f t="shared" ca="1" si="168"/>
        <v>0</v>
      </c>
      <c r="GY31" s="108">
        <f t="shared" ca="1" si="169"/>
        <v>0</v>
      </c>
      <c r="GZ31" s="108" t="str">
        <f t="shared" ca="1" si="170"/>
        <v/>
      </c>
      <c r="HA31" s="97" t="str">
        <f ca="1">IF(GZ31="",Stammdaten!$BZ$1,IF(AND(GX31=0,GY31&gt;=GZ$25),$A$3,ROUND(SUM(GW31/GZ31)/HA$25,0)*HA$25))</f>
        <v>Zu wenige Werte</v>
      </c>
      <c r="HB31" s="108">
        <f t="shared" ca="1" si="171"/>
        <v>6</v>
      </c>
      <c r="HC31" s="97" t="str">
        <f t="shared" ca="1" si="172"/>
        <v/>
      </c>
      <c r="HD31" s="97" t="str">
        <f t="shared" ca="1" si="173"/>
        <v/>
      </c>
      <c r="HE31" s="97" t="str">
        <f t="shared" ca="1" si="174"/>
        <v/>
      </c>
      <c r="HF31" s="97" t="str">
        <f t="shared" ca="1" si="175"/>
        <v/>
      </c>
      <c r="HG31" s="97" t="str">
        <f t="shared" ca="1" si="176"/>
        <v/>
      </c>
      <c r="HH31" s="97" t="str">
        <f t="shared" ca="1" si="177"/>
        <v>g</v>
      </c>
      <c r="HI31" s="97" t="str">
        <f t="shared" ca="1" si="178"/>
        <v/>
      </c>
      <c r="HJ31" s="97">
        <f t="shared" ca="1" si="179"/>
        <v>1</v>
      </c>
      <c r="HK31" s="97" t="str">
        <f ca="1">IF(OR(Geschlecht[[#This Row],[Geschlecht (Skala)]]="",NOT(ISNUMBER(GZ31))),"",HJ31)</f>
        <v/>
      </c>
      <c r="HL31" s="97" t="str">
        <f t="shared" ca="1" si="180"/>
        <v/>
      </c>
      <c r="HM31" s="97"/>
      <c r="HN31" s="308" t="str">
        <f t="shared" ca="1" si="68"/>
        <v>Zu wenige Werte</v>
      </c>
      <c r="HO31" s="97"/>
      <c r="HP31" s="307"/>
      <c r="HQ31" s="96" t="str">
        <f>IFERROR(IFERROR(SUBSTITUTE(ReckResultat[[#This Row],[Eingabe]],".",",")*1,SUBSTITUTE(ReckResultat[[#This Row],[Eingabe]],",",".")*1),"")</f>
        <v/>
      </c>
      <c r="HR31" s="96" t="e">
        <f>INT(ReckResultat[[#This Row],[Resultat]])=ReckResultat[[#This Row],[Resultat]]</f>
        <v>#VALUE!</v>
      </c>
      <c r="HS31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1" s="96"/>
      <c r="HX31" s="97"/>
      <c r="HY31" s="307"/>
      <c r="HZ31" s="96" t="str">
        <f>IFERROR(IFERROR(SUBSTITUTE(BodenResultat[[#This Row],[Eingabe]],".",",")*1,SUBSTITUTE(BodenResultat[[#This Row],[Eingabe]],",",".")*1),"")</f>
        <v/>
      </c>
      <c r="IA31" s="96" t="e">
        <f>INT(BodenResultat[[#This Row],[Resultat]])=BodenResultat[[#This Row],[Resultat]]</f>
        <v>#VALUE!</v>
      </c>
      <c r="IB31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1" s="96"/>
      <c r="IG31" s="97"/>
      <c r="IH31" s="307"/>
      <c r="II31" s="96" t="str">
        <f>IFERROR(IFERROR(SUBSTITUTE(StufenbarrenResultat[[#This Row],[Eingabe]],".",",")*1,SUBSTITUTE(StufenbarrenResultat[[#This Row],[Eingabe]],",",".")*1),"")</f>
        <v/>
      </c>
      <c r="IJ31" s="96" t="e">
        <f>INT(StufenbarrenResultat[[#This Row],[Resultat]])=StufenbarrenResultat[[#This Row],[Resultat]]</f>
        <v>#VALUE!</v>
      </c>
      <c r="IK31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1" s="96"/>
      <c r="IP31" s="97"/>
      <c r="IQ31" s="307"/>
      <c r="IR31" s="96" t="str">
        <f>IFERROR(IFERROR(SUBSTITUTE(ParallelbarrenResultat[[#This Row],[Eingabe]],".",",")*1,SUBSTITUTE(ParallelbarrenResultat[[#This Row],[Eingabe]],",",".")*1),"")</f>
        <v/>
      </c>
      <c r="IS31" s="96" t="e">
        <f>INT(ParallelbarrenResultat[[#This Row],[Resultat]])=ParallelbarrenResultat[[#This Row],[Resultat]]</f>
        <v>#VALUE!</v>
      </c>
      <c r="IT31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1" s="96"/>
      <c r="IY31" s="97"/>
      <c r="IZ31" s="307"/>
      <c r="JA31" s="96" t="str">
        <f>IFERROR(IFERROR(SUBSTITUTE(SchaukelringeResultat[[#This Row],[Eingabe]],".",",")*1,SUBSTITUTE(SchaukelringeResultat[[#This Row],[Eingabe]],",",".")*1),"")</f>
        <v/>
      </c>
      <c r="JB31" s="96" t="e">
        <f>INT(SchaukelringeResultat[[#This Row],[Resultat]])=SchaukelringeResultat[[#This Row],[Resultat]]</f>
        <v>#VALUE!</v>
      </c>
      <c r="JC31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1" s="96"/>
      <c r="JH31" s="97"/>
      <c r="JI31" s="307"/>
      <c r="JJ31" s="96" t="str">
        <f>IFERROR(IFERROR(SUBSTITUTE(SprungResultat[[#This Row],[Eingabe]],".",",")*1,SUBSTITUTE(SprungResultat[[#This Row],[Eingabe]],",",".")*1),"")</f>
        <v/>
      </c>
      <c r="JK31" s="96" t="e">
        <f>INT(SprungResultat[[#This Row],[Resultat]])=SprungResultat[[#This Row],[Resultat]]</f>
        <v>#VALUE!</v>
      </c>
      <c r="JL31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1" s="96"/>
      <c r="JQ31" s="97"/>
      <c r="JR31" s="309" t="str" cm="1">
        <f t="array" aca="1" ref="JR31" ca="1">IF(AND(ISNUMBER(INDIRECT(JR$3)),INDIRECT(JR$3)&gt;0),INDIRECT(JR$3),"")</f>
        <v/>
      </c>
      <c r="JS31" s="309" t="str" cm="1">
        <f t="array" aca="1" ref="JS31" ca="1">IF(AND(ISNUMBER(INDIRECT(JS$3)),INDIRECT(JS$3)&gt;0),INDIRECT(JS$3),"")</f>
        <v/>
      </c>
      <c r="JT31" s="309" t="str" cm="1">
        <f t="array" aca="1" ref="JT31" ca="1">IF(AND(ISNUMBER(INDIRECT(JT$3)),INDIRECT(JT$3)&gt;0),INDIRECT(JT$3),"")</f>
        <v/>
      </c>
      <c r="JU31" s="309" t="str" cm="1">
        <f t="array" aca="1" ref="JU31" ca="1">IF(AND(ISNUMBER(INDIRECT(JU$3)),INDIRECT(JU$3)&gt;0),INDIRECT(JU$3),"")</f>
        <v/>
      </c>
      <c r="JV31" s="309" t="str" cm="1">
        <f t="array" aca="1" ref="JV31" ca="1">IF(AND(ISNUMBER(INDIRECT(JV$3)),INDIRECT(JV$3)&gt;0),INDIRECT(JV$3),"")</f>
        <v/>
      </c>
      <c r="JW31" s="309" t="str" cm="1">
        <f t="array" aca="1" ref="JW31" ca="1">IF(AND(ISNUMBER(INDIRECT(JW$3)),INDIRECT(JW$3)&gt;0),INDIRECT(JW$3),"")</f>
        <v/>
      </c>
      <c r="JX31" s="309" t="str">
        <f t="shared" ca="1" si="69"/>
        <v>x</v>
      </c>
      <c r="JY31" s="309" t="str">
        <f t="shared" ca="1" si="70"/>
        <v>y</v>
      </c>
      <c r="JZ31" s="309" t="str">
        <f t="shared" ca="1" si="71"/>
        <v>z</v>
      </c>
      <c r="KA31" s="309" t="str">
        <f t="shared" ca="1" si="181"/>
        <v>a</v>
      </c>
      <c r="KB31" s="309" t="str" cm="1">
        <f t="array" aca="1" ref="KB31" ca="1">IF(KA31="a","",INDEX($JR$23:$JW$23,,MATCH(KA31,$JR31:$JW31,0)))</f>
        <v/>
      </c>
      <c r="KC31" s="309" t="str" cm="1">
        <f t="array" aca="1" ref="KC31" ca="1">IF(OR(KB31="",KB31&gt;=$JW$23),"",INDEX(INDIRECT(ADDRESS(ROW($JR$23),KB31+1)):$JW$23,,MATCH(KA31,INDIRECT(ADDRESS(ROW(),KB31+1)):$JW31,0)))</f>
        <v/>
      </c>
      <c r="KD31" s="309" t="str" cm="1">
        <f t="array" aca="1" ref="KD31" ca="1">IF(OR(KC31="",KC31&gt;=$JW$23),"",INDEX(INDIRECT(ADDRESS(ROW($JR$23),KC31+1)):$JW$23,,MATCH(KA31,INDIRECT(ADDRESS(ROW(),KC31+1)):$JW31,0)))</f>
        <v/>
      </c>
      <c r="KE31" s="309" t="str">
        <f t="shared" ca="1" si="182"/>
        <v>c</v>
      </c>
      <c r="KF31" s="309" t="str" cm="1">
        <f t="array" aca="1" ref="KF31" ca="1">IF(OR(KE31="b",KE31="c"),"",INDEX($JR$23:$JW$23,,MATCH(KE31,$JR31:$JW31,0)))</f>
        <v/>
      </c>
      <c r="KG31" s="309" t="str" cm="1">
        <f t="array" aca="1" ref="KG31" ca="1">IF(OR(KF31="",KF31&gt;=$JW$23),"",INDEX(INDIRECT(ADDRESS(ROW($JR$23),KF31+1)):$JW$23,,MATCH(KE31,INDIRECT(ADDRESS(ROW(),KF31+1)):$JW31,0)))</f>
        <v/>
      </c>
      <c r="KH31" s="309" t="str">
        <f t="shared" ca="1" si="72"/>
        <v/>
      </c>
      <c r="KI31" s="309" t="str">
        <f t="shared" ca="1" si="183"/>
        <v>e</v>
      </c>
      <c r="KJ31" s="309" t="str">
        <f t="shared" ca="1" si="73"/>
        <v/>
      </c>
      <c r="KK31" s="309" t="str" cm="1">
        <f t="array" aca="1" ref="KK31" ca="1">IF(OR(KI31="d",KI31="e"),"",INDEX($JR$23:$JW$23,,MATCH(KI31,$JR31:$JW31,0)))</f>
        <v/>
      </c>
      <c r="KL31" s="309" t="str" cm="1">
        <f t="array" aca="1" ref="KL31" ca="1">IF(OR(KK31="",KK31&gt;=$JW$23),"",INDEX(INDIRECT(ADDRESS(ROW($JR$23),KK31+1)):$JW$23,,MATCH(KI31,INDIRECT(ADDRESS(ROW(),KK31+1)):$JW31,0)))</f>
        <v/>
      </c>
      <c r="KM31" s="309" t="str" cm="1">
        <f t="array" aca="1" ref="KM31" ca="1">IFERROR(IF(ISNUMBER(KB31),KB31,IF(ISNUMBER(KF31),KF31,IF(ISNUMBER(KJ31),KJ31,INDEX($JR$23:$JW$23,,MATCH(JX31,$JR31:$JW31,0))))),"x1")</f>
        <v>x1</v>
      </c>
      <c r="KN31" s="309" t="str" cm="1">
        <f t="array" aca="1" ref="KN31" ca="1">IFERROR(IF(ISNUMBER(KC31),KC31,IF(ISNUMBER(KG31),KG31,IF(ISNUMBER(KK31),KK31,INDEX($JR$23:$JW$23,,MATCH(JY31,$JR31:$JW31,0))))),IF(KM31="x1","x2","x1"))</f>
        <v>x2</v>
      </c>
      <c r="KO31" s="309" t="str" cm="1">
        <f t="array" aca="1" ref="KO31" ca="1">IFERROR(IF(ISNUMBER(KD31),KD31,IF(ISNUMBER(KH31),KH31,IF(ISNUMBER(KL31),KL31,INDEX($JR$23:$JW$23,,MATCH(JZ31,$JR31:$JW31,0))))),IF(KN31="x1","x2",IF(KN31="x2","x3","x1")))</f>
        <v>x3</v>
      </c>
      <c r="KP31" s="97" t="str" cm="1">
        <f t="array" aca="1" ref="KP31" ca="1">IF(OR(INDIRECT(KP$3)=$A$2,INDIRECT(KP$3)=$A$3),COLUMN(),"")</f>
        <v/>
      </c>
      <c r="KQ31" s="97" t="str" cm="1">
        <f t="array" aca="1" ref="KQ31" ca="1">IF(OR(INDIRECT(KQ$3)=$A$2,INDIRECT(KQ$3)=$A$3),COLUMN(),"")</f>
        <v/>
      </c>
      <c r="KR31" s="97" t="str" cm="1">
        <f t="array" aca="1" ref="KR31" ca="1">IF(OR(INDIRECT(KR$3)=$A$2,INDIRECT(KR$3)=$A$3),COLUMN(),"")</f>
        <v/>
      </c>
      <c r="KS31" s="97" t="str" cm="1">
        <f t="array" aca="1" ref="KS31" ca="1">IF(OR(INDIRECT(KS$3)=$A$2,INDIRECT(KS$3)=$A$3),COLUMN(),"")</f>
        <v/>
      </c>
      <c r="KT31" s="97" t="str" cm="1">
        <f t="array" aca="1" ref="KT31" ca="1">IF(OR(INDIRECT(KT$3)=$A$2,INDIRECT(KT$3)=$A$3),COLUMN(),"")</f>
        <v/>
      </c>
      <c r="KU31" s="97" t="str" cm="1">
        <f t="array" aca="1" ref="KU31" ca="1">IF(OR(INDIRECT(KU$3)=$A$2,INDIRECT(KU$3)=$A$3),COLUMN(),"")</f>
        <v/>
      </c>
      <c r="KV31" s="97" t="str" cm="1">
        <f t="array" aca="1" ref="KV31" ca="1">IF(AND(ISNUMBER(INDIRECT(KV$3)),INDIRECT(KV$3)=0),COLUMN(),"")</f>
        <v/>
      </c>
      <c r="KW31" s="97" t="str" cm="1">
        <f t="array" aca="1" ref="KW31" ca="1">IF(AND(ISNUMBER(INDIRECT(KW$3)),INDIRECT(KW$3)=0),COLUMN(),"")</f>
        <v/>
      </c>
      <c r="KX31" s="97" t="str" cm="1">
        <f t="array" aca="1" ref="KX31" ca="1">IF(AND(ISNUMBER(INDIRECT(KX$3)),INDIRECT(KX$3)=0),COLUMN(),"")</f>
        <v/>
      </c>
      <c r="KY31" s="97" t="str" cm="1">
        <f t="array" aca="1" ref="KY31" ca="1">IF(AND(ISNUMBER(INDIRECT(KY$3)),INDIRECT(KY$3)=0),COLUMN(),"")</f>
        <v/>
      </c>
      <c r="KZ31" s="97" t="str" cm="1">
        <f t="array" aca="1" ref="KZ31" ca="1">IF(AND(ISNUMBER(INDIRECT(KZ$3)),INDIRECT(KZ$3)=0),COLUMN(),"")</f>
        <v/>
      </c>
      <c r="LA31" s="97" t="str" cm="1">
        <f t="array" aca="1" ref="LA31" ca="1">IF(AND(ISNUMBER(INDIRECT(LA$3)),INDIRECT(LA$3)=0),COLUMN(),"")</f>
        <v/>
      </c>
      <c r="LB31" s="97" t="str">
        <f t="shared" ca="1" si="184"/>
        <v>x1</v>
      </c>
      <c r="LC31" s="97" t="str">
        <f t="shared" ca="1" si="185"/>
        <v>x2</v>
      </c>
      <c r="LD31" s="97" t="str">
        <f t="shared" ca="1" si="186"/>
        <v>x3</v>
      </c>
      <c r="LE31" s="97" t="str">
        <f ca="1">IFERROR(IF(ISNUMBER(LB31),LB31,SMALL($KV31:$LA31,VALUE(RIGHT(LB31,1)))),Stammdaten!$CA$17)</f>
        <v>Erstes Gerät nicht durchgeführt</v>
      </c>
      <c r="LF31" s="97" t="str">
        <f ca="1">IFERROR(IF(ISNUMBER(LC31),LC31,SMALL($KV31:$LA31,VALUE(RIGHT(LC31,1)))),Stammdaten!$CA$18)</f>
        <v>Zweites Gerät nicht durchgeführt</v>
      </c>
      <c r="LG31" s="97" t="str">
        <f ca="1">IFERROR(IF(ISNUMBER(LD31),LD31,SMALL($KV31:$LA31,VALUE(RIGHT(LD31,1)))),Stammdaten!$CA$19)</f>
        <v>Drittes Gerät nicht durchgeführt</v>
      </c>
      <c r="LH31" s="91" t="str" cm="1">
        <f t="array" aca="1" ref="LH31" ca="1">IFERROR(INDIRECT(ADDRESS(ROW($JR$5),LE31)),LE31)</f>
        <v>Erstes Gerät nicht durchgeführt</v>
      </c>
      <c r="LI31" s="97" t="str">
        <f t="shared" ca="1" si="187"/>
        <v/>
      </c>
      <c r="LJ31" s="97" t="str" cm="1">
        <f t="array" aca="1" ref="LJ31" ca="1">IFERROR(IF(INDIRECT(INDEX(INDIRECT(LJ$5),MATCH(LH31,INDIRECT(LJ$4),0)))&lt;&gt;"",INDEX(INDIRECT(LJ$5),MATCH(LH31,INDIRECT(LJ$4),0)),INDEX(INDIRECT(LJ$6),MATCH(LH31,INDIRECT(LJ$4),0))),"")</f>
        <v/>
      </c>
      <c r="LK31" s="97" t="str">
        <f t="shared" ca="1" si="188"/>
        <v/>
      </c>
      <c r="LL31" s="97" t="str" cm="1">
        <f t="array" aca="1" ref="LL31" ca="1">IFERROR(INDIRECT(LJ31),"")</f>
        <v/>
      </c>
      <c r="LM31" s="97" t="str">
        <f ca="1">IF(LL31="","",IF(AND(LI31=Stammdaten!$BX$20,LK31="0",LL31=1),SUBSTITUTE(TEXT(LL31,LK31)&amp;" "&amp;LEFT(LI31,LEN(LI31)-1),".",","),SUBSTITUTE(TEXT(LL31,LK31)&amp;" "&amp;LI31,".",",")))</f>
        <v/>
      </c>
      <c r="LN31" s="97" t="str">
        <f t="shared" ca="1" si="74"/>
        <v/>
      </c>
      <c r="LO31" s="97" t="str" cm="1">
        <f t="array" aca="1" ref="LO31" ca="1">IFERROR(LEFT(INDIRECT(LN31),1)&amp;"]","")</f>
        <v/>
      </c>
      <c r="LP31" s="97" t="str">
        <f t="shared" ca="1" si="75"/>
        <v/>
      </c>
      <c r="LQ31" s="97" t="str">
        <f ca="1">IFERROR(LEFT(LH31,FIND(Stammdaten!$CA$4,LH31,1)-2),IFERROR(LEFT(LH31,FIND(Stammdaten!$CC$3,LH31,1)-2),LH31))</f>
        <v>Erstes Gerät</v>
      </c>
      <c r="LR31" s="97" t="str">
        <f ca="1">IF(NOT(ISERROR(FIND(Stammdaten!$CA$4,LH31,1))),Stammdaten!$CA$4,IF(LS31&lt;&gt;Stammdaten!$CC$3,LP31,""))</f>
        <v>nicht durchgeführt</v>
      </c>
      <c r="LS31" s="91" t="str">
        <f ca="1">IF(LL31=$A$2,Stammdaten!$CC$3,LM31)</f>
        <v/>
      </c>
      <c r="LT31" s="91" t="str" cm="1">
        <f t="array" aca="1" ref="LT31" ca="1">IFERROR(INDIRECT(ADDRESS(ROW($JR$5),LF31)),LF31)</f>
        <v>Zweites Gerät nicht durchgeführt</v>
      </c>
      <c r="LU31" s="97" t="str">
        <f t="shared" ca="1" si="189"/>
        <v/>
      </c>
      <c r="LV31" s="97" t="str" cm="1">
        <f t="array" aca="1" ref="LV31" ca="1">IFERROR(IF(INDIRECT(INDEX(INDIRECT(LV$5),MATCH(LT31,INDIRECT(LV$4),0)))&lt;&gt;"",INDEX(INDIRECT(LV$5),MATCH(LT31,INDIRECT(LV$4),0)),INDEX(INDIRECT(LV$6),MATCH(LT31,INDIRECT(LV$4),0))),"")</f>
        <v/>
      </c>
      <c r="LW31" s="97" t="str">
        <f t="shared" ca="1" si="190"/>
        <v/>
      </c>
      <c r="LX31" s="97" t="str" cm="1">
        <f t="array" aca="1" ref="LX31" ca="1">IFERROR(INDIRECT(LV31),"")</f>
        <v/>
      </c>
      <c r="LY31" s="97" t="str">
        <f ca="1">IF(LX31="","",IF(AND(LU31=Stammdaten!$BX$20,LW31="0",LX31=1),SUBSTITUTE(TEXT(LX31,LW31)&amp;" "&amp;LEFT(LU31,LEN(LU31)-1),".",","),SUBSTITUTE(TEXT(LX31,LW31)&amp;" "&amp;LU31,".",",")))</f>
        <v/>
      </c>
      <c r="LZ31" s="97" t="str">
        <f t="shared" ca="1" si="76"/>
        <v/>
      </c>
      <c r="MA31" s="97" t="str" cm="1">
        <f t="array" aca="1" ref="MA31" ca="1">IFERROR(LEFT(INDIRECT(LZ31),1)&amp;"]","")</f>
        <v/>
      </c>
      <c r="MB31" s="97" t="str">
        <f t="shared" ca="1" si="77"/>
        <v/>
      </c>
      <c r="MC31" s="97" t="str">
        <f ca="1">IFERROR(LEFT(LT31,FIND(Stammdaten!$CA$4,LT31,1)-2),IFERROR(LEFT(LT31,FIND(Stammdaten!$CC$3,LT31,1)-2),LT31))</f>
        <v>Zweites Gerät</v>
      </c>
      <c r="MD31" s="97" t="str">
        <f ca="1">IF(NOT(ISERROR(FIND(Stammdaten!$CA$4,LT31,1))),Stammdaten!$CA$4,IF(ME31&lt;&gt;Stammdaten!$CC$3,MB31,""))</f>
        <v>nicht durchgeführt</v>
      </c>
      <c r="ME31" s="91" t="str">
        <f ca="1">IF(LX31=$A$2,Stammdaten!$CC$3,LY31)</f>
        <v/>
      </c>
      <c r="MF31" s="91" t="str" cm="1">
        <f t="array" aca="1" ref="MF31" ca="1">IFERROR(INDIRECT(ADDRESS(ROW($JR$5),LG31)),LG31)</f>
        <v>Drittes Gerät nicht durchgeführt</v>
      </c>
      <c r="MG31" s="97" t="str">
        <f t="shared" ca="1" si="191"/>
        <v/>
      </c>
      <c r="MH31" s="97" t="str" cm="1">
        <f t="array" aca="1" ref="MH31" ca="1">IFERROR(IF(INDIRECT(INDEX(INDIRECT(MH$5),MATCH(MF31,INDIRECT(MH$4),0)))&lt;&gt;"",INDEX(INDIRECT(MH$5),MATCH(MF31,INDIRECT(MH$4),0)),INDEX(INDIRECT(MH$6),MATCH(MF31,INDIRECT(MH$4),0))),"")</f>
        <v/>
      </c>
      <c r="MI31" s="97" t="str">
        <f t="shared" ca="1" si="192"/>
        <v/>
      </c>
      <c r="MJ31" s="97" t="str" cm="1">
        <f t="array" aca="1" ref="MJ31" ca="1">IFERROR(INDIRECT(MH31),"")</f>
        <v/>
      </c>
      <c r="MK31" s="97" t="str">
        <f ca="1">IF(MJ31="","",IF(AND(MG31=Stammdaten!$BX$20,MI31="0",MJ31=1),SUBSTITUTE(TEXT(MJ31,MI31)&amp;" "&amp;LEFT(MG31,LEN(MG31)-1),".",","),SUBSTITUTE(TEXT(MJ31,MI31)&amp;" "&amp;MG31,".",",")))</f>
        <v/>
      </c>
      <c r="ML31" s="97" t="str">
        <f t="shared" ca="1" si="78"/>
        <v/>
      </c>
      <c r="MM31" s="97" t="str" cm="1">
        <f t="array" aca="1" ref="MM31" ca="1">IFERROR(LEFT(INDIRECT(ML31),1)&amp;"]","")</f>
        <v/>
      </c>
      <c r="MN31" s="97" t="str">
        <f t="shared" ca="1" si="79"/>
        <v/>
      </c>
      <c r="MO31" s="97" t="str">
        <f ca="1">IFERROR(LEFT(MF31,FIND(Stammdaten!$CA$4,MF31,1)-2),IFERROR(LEFT(MF31,FIND(Stammdaten!$CC$3,MF31,1)-2),MF31))</f>
        <v>Drittes Gerät</v>
      </c>
      <c r="MP31" s="97" t="str">
        <f ca="1">IF(NOT(ISERROR(FIND(Stammdaten!$CA$4,MF31,1))),Stammdaten!$CA$4,IF(MQ31&lt;&gt;Stammdaten!$CC$3,MN31,""))</f>
        <v>nicht durchgeführt</v>
      </c>
      <c r="MQ31" s="91" t="str">
        <f ca="1">IF(MJ31=$A$2,Stammdaten!$CC$3,MK31)</f>
        <v/>
      </c>
      <c r="MR31" s="97">
        <f t="shared" ca="1" si="80"/>
        <v>0</v>
      </c>
      <c r="MS31" s="108">
        <f t="shared" ca="1" si="193"/>
        <v>0</v>
      </c>
      <c r="MT31" s="108">
        <f t="shared" ca="1" si="194"/>
        <v>0</v>
      </c>
      <c r="MU31" s="108">
        <f t="shared" ca="1" si="195"/>
        <v>0</v>
      </c>
      <c r="MV31" s="108" t="str">
        <f t="shared" ca="1" si="196"/>
        <v/>
      </c>
      <c r="MW31" s="97" t="str">
        <f ca="1">IF(MV31="",Stammdaten!$BZ$1,IF(AND(MS31+MT31=0,MU31&gt;=MV$25),$A$3,MR31))</f>
        <v>Zu wenige Werte</v>
      </c>
      <c r="MX31" s="97"/>
      <c r="MY31" s="91" t="str">
        <f t="shared" ca="1" si="81"/>
        <v/>
      </c>
      <c r="MZ31" s="96" t="str">
        <f>LEFT(Geschlecht[[#This Row],[Geschlecht (Skala)]],1)&amp;$MZ$27</f>
        <v>2</v>
      </c>
      <c r="NA31" s="96" t="str">
        <f t="shared" ca="1" si="82"/>
        <v>Geräteturnen_2[Resultat]</v>
      </c>
      <c r="NB31" s="97" t="str" cm="1">
        <f t="array" aca="1" ref="NB31" ca="1">IF(OR($MW31="",$MW31=Stammdaten!$BZ$1),"",IF($MW31=0,0,IF(OR($MW31=$A$2,$MW31=$A$3),$A$3,IFERROR(INDEX(INDIRECT(NA31),MATCH(INDIRECT(MY$3),INDIRECT(NA31),NA$25)),IFERROR(IF(NA$25=-1,MAX(INDIRECT(NA31)),IF(NA$25=1,MIN(INDIRECT(NA31)))),"")))))</f>
        <v/>
      </c>
      <c r="ND31" s="91" t="str">
        <f t="shared" ca="1" si="83"/>
        <v>Geräteturnen_2[Note]</v>
      </c>
      <c r="NE31" s="97" t="str" cm="1">
        <f t="array" aca="1" ref="NE31" ca="1">IFERROR(INDEX(INDIRECT(ND31),MATCH(INDIRECT(MY$5),INDIRECT(NA31),0)),IF(INDIRECT(MY$5)=0,1,""))</f>
        <v/>
      </c>
      <c r="NF31" s="97"/>
      <c r="NG31" s="307"/>
      <c r="NH31" s="96" t="str">
        <f>IFERROR(IFERROR(SUBSTITUTE(ParkourResultat[[#This Row],[Eingabe]],".",",")*1,SUBSTITUTE(ParkourResultat[[#This Row],[Eingabe]],",",".")*1),"")</f>
        <v/>
      </c>
      <c r="NI31" s="96" t="e">
        <f>INT(ParkourResultat[[#This Row],[Resultat]])=ParkourResultat[[#This Row],[Resultat]]</f>
        <v>#VALUE!</v>
      </c>
      <c r="NJ31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1" s="96"/>
      <c r="NL31" s="91" t="str" cm="1">
        <f t="array" aca="1" ref="NL31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1" s="96" t="str">
        <f ca="1">LEFT(Geschlecht[[#This Row],[Geschlecht (Skala)]],1)&amp;NR$4</f>
        <v>2</v>
      </c>
      <c r="NN31" s="96" t="str">
        <f t="shared" ca="1" si="84"/>
        <v>Parkour_2[Resultat]</v>
      </c>
      <c r="NO31" s="97" t="str" cm="1">
        <f t="array" aca="1" ref="NO31" ca="1">IF(INDIRECT(NL$1)="","",IF(INDIRECT(NL$2)=0,0,IF(OR(INDIRECT(NL$1)=$A$2,INDIRECT(NL$1)=$A$3),$A$3,IFERROR(INDEX(INDIRECT(NN31),MATCH(INDIRECT(NL$3),INDIRECT(NN31),NN$25)),IFERROR(IF(NN$25=-1,MAX(INDIRECT(NN31)),IF(NN$25=1,MIN(INDIRECT(NN31)))),"")))))</f>
        <v/>
      </c>
      <c r="NQ31" s="91" t="str">
        <f t="shared" ca="1" si="85"/>
        <v>Parkour_2[Note]</v>
      </c>
      <c r="NR31" s="97" t="str" cm="1">
        <f t="array" aca="1" ref="NR31" ca="1">IFERROR(INDEX(INDIRECT(NQ31),MATCH(INDIRECT(NL$5),INDIRECT(NN31),0)),IF(INDIRECT(NL$5)=0,1,""))</f>
        <v/>
      </c>
      <c r="NS31" s="97"/>
      <c r="NT31" s="97" t="str" cm="1">
        <f t="array" aca="1" ref="NT31" ca="1">INDIRECT(NT$5)</f>
        <v/>
      </c>
      <c r="NU31" s="97" t="str" cm="1">
        <f t="array" aca="1" ref="NU31" ca="1">INDIRECT(NU$5)</f>
        <v/>
      </c>
      <c r="NV31" s="97" t="str" cm="1">
        <f t="array" aca="1" ref="NV31" ca="1">INDIRECT(NV$5)</f>
        <v/>
      </c>
      <c r="NW31" s="97" t="str" cm="1">
        <f t="array" aca="1" ref="NW31" ca="1">INDIRECT(NW$5)</f>
        <v/>
      </c>
      <c r="NX31" s="97" t="str">
        <f t="shared" ca="1" si="86"/>
        <v>Parkour nicht durchgeführt</v>
      </c>
      <c r="NY31" s="97" t="str">
        <f t="shared" ca="1" si="197"/>
        <v/>
      </c>
      <c r="NZ31" s="97" t="str" cm="1">
        <f t="array" aca="1" ref="NZ31" ca="1">IFERROR(IF(INDIRECT(INDEX(INDIRECT(NZ$5),MATCH(NX31,INDIRECT(NZ$4),0)))&lt;&gt;"",INDEX(INDIRECT(NZ$5),MATCH(NX31,INDIRECT(NZ$4),0)),INDEX(INDIRECT(NZ$6),MATCH(NX31,INDIRECT(NZ$4),0))),"")</f>
        <v/>
      </c>
      <c r="OA31" s="97" t="str">
        <f t="shared" ca="1" si="198"/>
        <v/>
      </c>
      <c r="OB31" s="97" t="str" cm="1">
        <f t="array" aca="1" ref="OB31" ca="1">IFERROR(INDIRECT(NZ31),IF(NOT(ISERROR(FIND(Stammdaten!$CC$3,NX31,1))),$A$2,""))</f>
        <v/>
      </c>
      <c r="OC31" s="97" t="str">
        <f ca="1">IF(OB31="","",IF(AND(NY31=Stammdaten!$BX$20,OA31="0",OB31=1),SUBSTITUTE(TEXT(OB31,OA31)&amp;" "&amp;LEFT(NY31,LEN(NY31)-1),".",","),SUBSTITUTE(TEXT(OB31,OA31)&amp;" "&amp;NY31,".",",")))</f>
        <v/>
      </c>
      <c r="OD31" s="97" t="str">
        <f t="shared" ca="1" si="87"/>
        <v/>
      </c>
      <c r="OE31" s="97" t="str" cm="1">
        <f t="array" aca="1" ref="OE31" ca="1">IFERROR(LEFT(INDIRECT(OD31),1)&amp;"]","")</f>
        <v/>
      </c>
      <c r="OF31" s="97" t="str">
        <f t="shared" ca="1" si="88"/>
        <v/>
      </c>
      <c r="OG31" s="97" t="str">
        <f ca="1">IFERROR(LEFT(NX31,FIND(Stammdaten!$CA$4,NX31,1)-2),IFERROR(LEFT(NX31,FIND(Stammdaten!$CC$3,NX31,1)-2),NX31))</f>
        <v>Parkour</v>
      </c>
      <c r="OH31" s="97" t="str">
        <f ca="1">IF(NOT(ISERROR(FIND(Stammdaten!$CA$4,NX31,1))),Stammdaten!$CA$4,IF(OI31&lt;&gt;Stammdaten!$CC$3,OF31,""))</f>
        <v>nicht durchgeführt</v>
      </c>
      <c r="OI31" s="91" t="str">
        <f ca="1">IF(OB31=$A$2,Stammdaten!$CC$3,OC31)</f>
        <v/>
      </c>
      <c r="OJ31" s="97" t="str">
        <f t="shared" ca="1" si="89"/>
        <v/>
      </c>
      <c r="OK31" s="97" t="str">
        <f t="shared" ca="1" si="90"/>
        <v/>
      </c>
      <c r="OL31" s="97">
        <f t="shared" ca="1" si="199"/>
        <v>0</v>
      </c>
      <c r="OM31" s="108">
        <f t="shared" ca="1" si="91"/>
        <v>0</v>
      </c>
      <c r="ON31" s="108">
        <f t="shared" ca="1" si="92"/>
        <v>0</v>
      </c>
      <c r="OO31" s="108" t="str">
        <f t="shared" ca="1" si="200"/>
        <v/>
      </c>
      <c r="OP31" s="97" t="str">
        <f ca="1">IF(OO31="",Stammdaten!$BZ$1,IF(AND(OM31=0,ON31&gt;=OO$25),$A$3,ROUND(SUM(OL31/OO31)/OP$25,0)*OP$25))</f>
        <v>Zu wenige Werte</v>
      </c>
      <c r="OQ31" s="108">
        <f t="shared" ca="1" si="201"/>
        <v>6</v>
      </c>
      <c r="OR31" s="97" t="str">
        <f t="shared" ca="1" si="202"/>
        <v/>
      </c>
      <c r="OS31" s="97" t="str">
        <f t="shared" ca="1" si="203"/>
        <v/>
      </c>
      <c r="OT31" s="97" t="str">
        <f t="shared" ca="1" si="204"/>
        <v/>
      </c>
      <c r="OU31" s="97" t="str">
        <f t="shared" ca="1" si="205"/>
        <v>g</v>
      </c>
      <c r="OV31" s="97" t="str">
        <f t="shared" ca="1" si="206"/>
        <v/>
      </c>
      <c r="OW31" s="97">
        <f t="shared" ca="1" si="207"/>
        <v>1</v>
      </c>
      <c r="OX31" s="97" t="str">
        <f ca="1">IF(OR(Geschlecht[[#This Row],[Geschlecht (Skala)]]="",NOT(ISNUMBER(OO31))),"",OW31)</f>
        <v/>
      </c>
      <c r="OY31" s="97" t="str">
        <f t="shared" ca="1" si="208"/>
        <v/>
      </c>
      <c r="OZ31" s="97"/>
      <c r="PA31" s="308" t="str">
        <f t="shared" ca="1" si="209"/>
        <v>Zu wenige Werte</v>
      </c>
      <c r="PB31" s="97"/>
      <c r="PC31" s="307"/>
      <c r="PD31" s="96" t="str">
        <f>IFERROR(IFERROR(SUBSTITUTE(TanzenResultat[[#This Row],[Eingabe]],".",",")*1,SUBSTITUTE(TanzenResultat[[#This Row],[Eingabe]],",",".")*1),"")</f>
        <v/>
      </c>
      <c r="PE31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1" s="96"/>
      <c r="PG31" s="91" t="str" cm="1">
        <f t="array" aca="1" ref="PG31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1" s="96" t="str">
        <f ca="1">LEFT(Geschlecht[[#This Row],[Geschlecht (Skala)]],1)&amp;PM$4</f>
        <v>2</v>
      </c>
      <c r="PI31" s="96" t="str">
        <f t="shared" ca="1" si="93"/>
        <v>Tanzen_2[Resultat]</v>
      </c>
      <c r="PJ31" s="97" t="str" cm="1">
        <f t="array" aca="1" ref="PJ31" ca="1">IF(INDIRECT(PG$1)="","",IF(INDIRECT(PG$2)=0,0,IF(OR(INDIRECT(PG$1)=$A$2,INDIRECT(PG$1)=$A$3),$A$3,IFERROR(INDEX(INDIRECT(PI31),MATCH(INDIRECT(PG$3),INDIRECT(PI31),PI$25)),IFERROR(IF(PI$25=-1,MAX(INDIRECT(PI31)),IF(PI$25=1,MIN(INDIRECT(PI31)))),"")))))</f>
        <v/>
      </c>
      <c r="PL31" s="91" t="str">
        <f t="shared" ca="1" si="94"/>
        <v>Tanzen_2[Note]</v>
      </c>
      <c r="PM31" s="97" t="str" cm="1">
        <f t="array" aca="1" ref="PM31" ca="1">IFERROR(INDEX(INDIRECT(PL31),MATCH(INDIRECT(PG$5),INDIRECT(PI31),0)),IF(INDIRECT(PG$5)=0,1,""))</f>
        <v/>
      </c>
      <c r="PN31" s="97"/>
      <c r="PO31" s="307"/>
      <c r="PP31" s="96" t="str">
        <f>IFERROR(IFERROR(SUBSTITUTE(RopeSkippingResultat[[#This Row],[Eingabe]],".",",")*1,SUBSTITUTE(RopeSkippingResultat[[#This Row],[Eingabe]],",",".")*1),"")</f>
        <v/>
      </c>
      <c r="PQ31" s="96" t="e">
        <f>INT(RopeSkippingResultat[[#This Row],[Resultat]])=RopeSkippingResultat[[#This Row],[Resultat]]</f>
        <v>#VALUE!</v>
      </c>
      <c r="PR31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1" s="96"/>
      <c r="PT31" s="91" t="str" cm="1">
        <f t="array" aca="1" ref="PT31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1" s="96" t="str">
        <f ca="1">LEFT(Geschlecht[[#This Row],[Geschlecht (Skala)]],1)&amp;PZ$4</f>
        <v>2</v>
      </c>
      <c r="PV31" s="96" t="str">
        <f t="shared" ca="1" si="95"/>
        <v>RopeSkipping_2[Resultat]</v>
      </c>
      <c r="PW31" s="97" t="str" cm="1">
        <f t="array" aca="1" ref="PW31" ca="1">IF(INDIRECT(PT$1)="","",IF(INDIRECT(PT$2)=0,0,IF(OR(INDIRECT(PT$1)=$A$2,INDIRECT(PT$1)=$A$3),$A$3,IFERROR(INDEX(INDIRECT(PV31),MATCH(INDIRECT(PT$3),INDIRECT(PV31),PV$25)),IFERROR(IF(PV$25=-1,MAX(INDIRECT(PV31)),IF(PV$25=1,MIN(INDIRECT(PV31)))),"")))))</f>
        <v/>
      </c>
      <c r="PY31" s="91" t="str">
        <f t="shared" ca="1" si="96"/>
        <v>RopeSkipping_2[Note]</v>
      </c>
      <c r="PZ31" s="97" t="str" cm="1">
        <f t="array" aca="1" ref="PZ31" ca="1">IFERROR(INDEX(INDIRECT(PY31),MATCH(INDIRECT(PT$5),INDIRECT(PV31),0)),IF(INDIRECT(PT$5)=0,1,""))</f>
        <v/>
      </c>
      <c r="QA31" s="97"/>
      <c r="QB31" s="307"/>
      <c r="QC31" s="96" t="str">
        <f>IFERROR(IFERROR(SUBSTITUTE(AerobicResultat[[#This Row],[Eingabe]],".",",")*1,SUBSTITUTE(AerobicResultat[[#This Row],[Eingabe]],",",".")*1),"")</f>
        <v/>
      </c>
      <c r="QD31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1" s="96"/>
      <c r="QF31" s="91" t="str" cm="1">
        <f t="array" aca="1" ref="QF31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1" s="96" t="str">
        <f ca="1">LEFT(Geschlecht[[#This Row],[Geschlecht (Skala)]],1)&amp;QL$4</f>
        <v>2</v>
      </c>
      <c r="QH31" s="96" t="str">
        <f t="shared" ca="1" si="97"/>
        <v>Aerobic_2[Resultat]</v>
      </c>
      <c r="QI31" s="97" t="str" cm="1">
        <f t="array" aca="1" ref="QI31" ca="1">IF(INDIRECT(QF$1)="","",IF(INDIRECT(QF$2)=0,0,IF(OR(INDIRECT(QF$1)=$A$2,INDIRECT(QF$1)=$A$3),$A$3,IFERROR(INDEX(INDIRECT(QH31),MATCH(INDIRECT(QF$3),INDIRECT(QH31),QH$25)),IFERROR(IF(QH$25=-1,MAX(INDIRECT(QH31)),IF(QH$25=1,MIN(INDIRECT(QH31)))),"")))))</f>
        <v/>
      </c>
      <c r="QK31" s="91" t="str">
        <f t="shared" ca="1" si="98"/>
        <v>Aerobic_2[Note]</v>
      </c>
      <c r="QL31" s="97" t="str" cm="1">
        <f t="array" aca="1" ref="QL31" ca="1">IFERROR(INDEX(INDIRECT(QK31),MATCH(INDIRECT(QF$5),INDIRECT(QH31),0)),IF(INDIRECT(QF$5)=0,1,""))</f>
        <v/>
      </c>
      <c r="QM31" s="97"/>
      <c r="QN31" s="97" t="str" cm="1">
        <f t="array" aca="1" ref="QN31" ca="1">INDIRECT(QN$5)</f>
        <v/>
      </c>
      <c r="QO31" s="97" t="str" cm="1">
        <f t="array" aca="1" ref="QO31" ca="1">INDIRECT(QO$5)</f>
        <v/>
      </c>
      <c r="QP31" s="97" t="str" cm="1">
        <f t="array" aca="1" ref="QP31" ca="1">INDIRECT(QP$5)</f>
        <v/>
      </c>
      <c r="QQ31" s="97" t="str" cm="1">
        <f t="array" aca="1" ref="QQ31" ca="1">INDIRECT(QQ$5)</f>
        <v/>
      </c>
      <c r="QR31" s="97" t="str" cm="1">
        <f t="array" aca="1" ref="QR31" ca="1">INDIRECT(QR$5)</f>
        <v/>
      </c>
      <c r="QS31" s="97" t="str" cm="1">
        <f t="array" aca="1" ref="QS31" ca="1">INDIRECT(QS$5)</f>
        <v/>
      </c>
      <c r="QT31" s="97" t="str">
        <f t="shared" ca="1" si="99"/>
        <v>Darstellen und Tanzen nicht durchgeführt</v>
      </c>
      <c r="QU31" s="108">
        <f t="shared" ca="1" si="100"/>
        <v>0</v>
      </c>
      <c r="QV31" s="108">
        <f t="shared" ca="1" si="101"/>
        <v>0</v>
      </c>
      <c r="QW31" s="108" t="str">
        <f t="shared" ca="1" si="210"/>
        <v/>
      </c>
      <c r="QX31" s="97" t="str">
        <f t="shared" ca="1" si="211"/>
        <v>Darstellen und Tanzen nicht durchgeführt</v>
      </c>
      <c r="QY31" s="97" t="str">
        <f t="shared" ca="1" si="212"/>
        <v/>
      </c>
      <c r="QZ31" s="97" t="str" cm="1">
        <f t="array" aca="1" ref="QZ31" ca="1">IFERROR(IF(INDIRECT(INDEX(INDIRECT(QZ$5),MATCH(QX31,INDIRECT(QZ$4),0)))&lt;&gt;"",INDEX(INDIRECT(QZ$5),MATCH(QX31,INDIRECT(QZ$4),0)),INDEX(INDIRECT(QZ$6),MATCH(QX31,INDIRECT(QZ$4),0))),"")</f>
        <v/>
      </c>
      <c r="RA31" s="97" t="str">
        <f t="shared" ca="1" si="213"/>
        <v/>
      </c>
      <c r="RB31" s="97" t="str" cm="1">
        <f t="array" aca="1" ref="RB31" ca="1">IFERROR(INDIRECT(QZ31),IF(NOT(ISERROR(FIND(Stammdaten!$CC$3,QX31,1))),$A$2,""))</f>
        <v/>
      </c>
      <c r="RC31" s="97" t="str">
        <f ca="1">IF(RB31="","",IF(AND(QY31=Stammdaten!$BX$20,RA31="0",RB31=1),SUBSTITUTE(TEXT(RB31,RA31)&amp;" "&amp;LEFT(QY31,LEN(QY31)-1),".",","),SUBSTITUTE(TEXT(RB31,RA31)&amp;" "&amp;QY31,".",",")))</f>
        <v/>
      </c>
      <c r="RD31" s="97" t="str">
        <f t="shared" ca="1" si="102"/>
        <v/>
      </c>
      <c r="RE31" s="97" t="str" cm="1">
        <f t="array" aca="1" ref="RE31" ca="1">IFERROR(LEFT(INDIRECT(RD31),1)&amp;"]","")</f>
        <v/>
      </c>
      <c r="RF31" s="97" t="str">
        <f t="shared" ca="1" si="103"/>
        <v/>
      </c>
      <c r="RG31" s="97" t="str">
        <f ca="1">IFERROR(LEFT(QX31,FIND(Stammdaten!$CA$4,QX31,1)-2),IFERROR(LEFT(QX31,FIND(Stammdaten!$CC$3,QX31,1)-2),QX31))</f>
        <v>Darstellen und Tanzen</v>
      </c>
      <c r="RH31" s="97" t="str">
        <f ca="1">IF(NOT(ISERROR(FIND(Stammdaten!$CA$4,QX31,1))),Stammdaten!$CA$4,IF(RI31&lt;&gt;Stammdaten!$CC$3,RF31,""))</f>
        <v>nicht durchgeführt</v>
      </c>
      <c r="RI31" s="91" t="str">
        <f ca="1">IF(RB31=$A$2,Stammdaten!$CC$3,RC31)</f>
        <v/>
      </c>
      <c r="RJ31" s="108">
        <f t="shared" ca="1" si="214"/>
        <v>6</v>
      </c>
      <c r="RK31" s="97"/>
      <c r="RL31" s="308" t="str">
        <f ca="1">IF(QT31=$QT$4,Stammdaten!$BZ$1,IF(QT31=$QT$5,$A$3,QT31))</f>
        <v>Zu wenige Werte</v>
      </c>
      <c r="RM31" s="97"/>
      <c r="RN31" s="307"/>
      <c r="RO31" s="96" t="str">
        <f>IFERROR(IFERROR(SUBSTITUTE(BasketballResultat[[#This Row],[Eingabe]],".",",")*1,SUBSTITUTE(BasketballResultat[[#This Row],[Eingabe]],",",".")*1),"")</f>
        <v/>
      </c>
      <c r="RP31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1" s="96"/>
      <c r="RR31" s="91" t="str" cm="1">
        <f t="array" aca="1" ref="RR31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1" s="96" t="str">
        <f ca="1">LEFT(Geschlecht[[#This Row],[Geschlecht (Skala)]],1)&amp;RX$4</f>
        <v>2</v>
      </c>
      <c r="RT31" s="96" t="str">
        <f t="shared" ca="1" si="104"/>
        <v>Basketball_2[Resultat]</v>
      </c>
      <c r="RU31" s="97" t="str" cm="1">
        <f t="array" aca="1" ref="RU31" ca="1">IF(INDIRECT(RR$1)="","",IF(INDIRECT(RR$2)=0,0,IF(OR(INDIRECT(RR$1)=$A$2,INDIRECT(RR$1)=$A$3),$A$3,IFERROR(INDEX(INDIRECT(RT31),MATCH(INDIRECT(RR$3),INDIRECT(RT31),RT$25)),IFERROR(IF(RT$25=-1,MAX(INDIRECT(RT31)),IF(RT$25=1,MIN(INDIRECT(RT31)))),"")))))</f>
        <v/>
      </c>
      <c r="RW31" s="91" t="str">
        <f t="shared" ca="1" si="105"/>
        <v>Basketball_2[Note]</v>
      </c>
      <c r="RX31" s="97" t="str" cm="1">
        <f t="array" aca="1" ref="RX31" ca="1">IFERROR(INDEX(INDIRECT(RW31),MATCH(INDIRECT(RR$5),INDIRECT(RT31),0)),IF(INDIRECT(RR$5)=0,1,""))</f>
        <v/>
      </c>
      <c r="RY31" s="97"/>
      <c r="RZ31" s="307"/>
      <c r="SA31" s="96" t="str">
        <f>IFERROR(IFERROR(SUBSTITUTE(FussballResultat[[#This Row],[Eingabe]],".",",")*1,SUBSTITUTE(FussballResultat[[#This Row],[Eingabe]],",",".")*1),"")</f>
        <v/>
      </c>
      <c r="SB31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1" s="96"/>
      <c r="SD31" s="316" t="str" cm="1">
        <f t="array" aca="1" ref="SD31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1" s="96" t="str">
        <f ca="1">LEFT(Geschlecht[[#This Row],[Geschlecht (Skala)]],1)&amp;SJ$4</f>
        <v>2</v>
      </c>
      <c r="SF31" s="96" t="str">
        <f t="shared" ca="1" si="106"/>
        <v>Fussball_2[Resultat]</v>
      </c>
      <c r="SG31" s="97" t="str" cm="1">
        <f t="array" aca="1" ref="SG31" ca="1">IF(INDIRECT(SD$1)="","",IF(INDIRECT(SD$2)=0,0,IF(OR(INDIRECT(SD$1)=$A$2,INDIRECT(SD$1)=$A$3),$A$3,IFERROR(INDEX(INDIRECT(SF31),MATCH(INDIRECT(SD$3),INDIRECT(SF31),SF$25)),IFERROR(IF(SF$25=-1,MAX(INDIRECT(SF31)),IF(SF$25=1,MIN(INDIRECT(SF31)))),"")))))</f>
        <v/>
      </c>
      <c r="SI31" s="91" t="str">
        <f t="shared" ca="1" si="107"/>
        <v>Fussball_2[Note]</v>
      </c>
      <c r="SJ31" s="97" t="str" cm="1">
        <f t="array" aca="1" ref="SJ31" ca="1">IFERROR(INDEX(INDIRECT(SI31),MATCH(INDIRECT(SD$5),INDIRECT(SF31),0)),IF(INDIRECT(SD$5)=0,1,""))</f>
        <v/>
      </c>
      <c r="SK31" s="97"/>
      <c r="SL31" s="307"/>
      <c r="SM31" s="96" t="str">
        <f>IFERROR(IFERROR(SUBSTITUTE(HandballResultat[[#This Row],[Eingabe]],".",",")*1,SUBSTITUTE(HandballResultat[[#This Row],[Eingabe]],",",".")*1),"")</f>
        <v/>
      </c>
      <c r="SN31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1" s="96"/>
      <c r="SP31" s="91" t="str" cm="1">
        <f t="array" aca="1" ref="SP31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1" s="96" t="str">
        <f ca="1">LEFT(Geschlecht[[#This Row],[Geschlecht (Skala)]],1)&amp;SV$4</f>
        <v>2</v>
      </c>
      <c r="SR31" s="96" t="str">
        <f t="shared" ca="1" si="108"/>
        <v>Handball_2[Resultat]</v>
      </c>
      <c r="SS31" s="97" t="str" cm="1">
        <f t="array" aca="1" ref="SS31" ca="1">IF(INDIRECT(SP$1)="","",IF(INDIRECT(SP$2)=0,0,IF(OR(INDIRECT(SP$1)=$A$2,INDIRECT(SP$1)=$A$3),$A$3,IFERROR(INDEX(INDIRECT(SR31),MATCH(INDIRECT(SP$3),INDIRECT(SR31),SR$25)),IFERROR(IF(SR$25=-1,MAX(INDIRECT(SR31)),IF(SR$25=1,MIN(INDIRECT(SR31)))),"")))))</f>
        <v/>
      </c>
      <c r="SU31" s="91" t="str">
        <f t="shared" ca="1" si="109"/>
        <v>Handball_2[Note]</v>
      </c>
      <c r="SV31" s="97" t="str" cm="1">
        <f t="array" aca="1" ref="SV31" ca="1">IFERROR(INDEX(INDIRECT(SU31),MATCH(INDIRECT(SP$5),INDIRECT(SR31),0)),IF(INDIRECT(SP$5)=0,1,""))</f>
        <v/>
      </c>
      <c r="SW31" s="97"/>
      <c r="SX31" s="307"/>
      <c r="SY31" s="96" t="str">
        <f>IFERROR(IFERROR(SUBSTITUTE(UnihockeyResultat[[#This Row],[Eingabe]],".",",")*1,SUBSTITUTE(UnihockeyResultat[[#This Row],[Eingabe]],",",".")*1),"")</f>
        <v/>
      </c>
      <c r="SZ31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1" s="96"/>
      <c r="TB31" s="91" t="str" cm="1">
        <f t="array" aca="1" ref="TB31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1" s="96" t="str">
        <f ca="1">LEFT(Geschlecht[[#This Row],[Geschlecht (Skala)]],1)&amp;TH$4</f>
        <v>2</v>
      </c>
      <c r="TD31" s="96" t="str">
        <f t="shared" ca="1" si="110"/>
        <v>Unihockey_2[Resultat]</v>
      </c>
      <c r="TE31" s="97" t="str" cm="1">
        <f t="array" aca="1" ref="TE31" ca="1">IF(INDIRECT(TB$1)="","",IF(INDIRECT(TB$2)=0,0,IF(OR(INDIRECT(TB$1)=$A$2,INDIRECT(TB$1)=$A$3),$A$3,IFERROR(INDEX(INDIRECT(TD31),MATCH(INDIRECT(TB$3),INDIRECT(TD31),TD$25)),IFERROR(IF(TD$25=-1,MAX(INDIRECT(TD31)),IF(TD$25=1,MIN(INDIRECT(TD31)))),"")))))</f>
        <v/>
      </c>
      <c r="TG31" s="91" t="str">
        <f t="shared" ca="1" si="111"/>
        <v>Unihockey_2[Note]</v>
      </c>
      <c r="TH31" s="97" t="str" cm="1">
        <f t="array" aca="1" ref="TH31" ca="1">IFERROR(INDEX(INDIRECT(TG31),MATCH(INDIRECT(TB$5),INDIRECT(TD31),0)),IF(INDIRECT(TB$5)=0,1,""))</f>
        <v/>
      </c>
      <c r="TI31" s="97"/>
      <c r="TJ31" s="307"/>
      <c r="TK31" s="96" t="str">
        <f>IFERROR(IFERROR(SUBSTITUTE(VolleyballResultat[[#This Row],[Eingabe]],".",",")*1,SUBSTITUTE(VolleyballResultat[[#This Row],[Eingabe]],",",".")*1),"")</f>
        <v/>
      </c>
      <c r="TL31" s="96" t="e">
        <f>INT(VolleyballResultat[[#This Row],[Resultat]])=VolleyballResultat[[#This Row],[Resultat]]</f>
        <v>#VALUE!</v>
      </c>
      <c r="TM31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1" s="96"/>
      <c r="TO31" s="91" t="str" cm="1">
        <f t="array" aca="1" ref="TO31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1" s="96" t="str">
        <f ca="1">LEFT(Geschlecht[[#This Row],[Geschlecht (Skala)]],1)&amp;TU$4</f>
        <v>2</v>
      </c>
      <c r="TQ31" s="96" t="str">
        <f t="shared" ca="1" si="112"/>
        <v>Volleyball_2[Resultat]</v>
      </c>
      <c r="TR31" s="97" t="str" cm="1">
        <f t="array" aca="1" ref="TR31" ca="1">IF(INDIRECT(TO$1)="","",IF(INDIRECT(TO$2)=0,0,IF(OR(INDIRECT(TO$1)=$A$2,INDIRECT(TO$1)=$A$3),$A$3,IFERROR(INDEX(INDIRECT(TQ31),MATCH(INDIRECT(TO$3),INDIRECT(TQ31),TQ$25)),IFERROR(IF(TQ$25=-1,MAX(INDIRECT(TQ31)),IF(TQ$25=1,MIN(INDIRECT(TQ31)))),"")))))</f>
        <v/>
      </c>
      <c r="TT31" s="91" t="str">
        <f t="shared" ca="1" si="113"/>
        <v>Volleyball_2[Note]</v>
      </c>
      <c r="TU31" s="97" t="str" cm="1">
        <f t="array" aca="1" ref="TU31" ca="1">IFERROR(INDEX(INDIRECT(TT31),MATCH(INDIRECT(TO$5),INDIRECT(TQ31),0)),IF(INDIRECT(TO$5)=0,1,""))</f>
        <v/>
      </c>
      <c r="TV31" s="97"/>
      <c r="TW31" s="309" t="str" cm="1">
        <f t="array" aca="1" ref="TW31" ca="1">IF(AND(ISNUMBER(INDIRECT(TW$3)),INDIRECT(TW$3)&gt;1),INDIRECT(TW$3),"")</f>
        <v/>
      </c>
      <c r="TX31" s="309" t="str" cm="1">
        <f t="array" aca="1" ref="TX31" ca="1">IF(AND(ISNUMBER(INDIRECT(TX$3)),INDIRECT(TX$3)&gt;1),INDIRECT(TX$3),"")</f>
        <v/>
      </c>
      <c r="TY31" s="309" t="str" cm="1">
        <f t="array" aca="1" ref="TY31" ca="1">IF(AND(ISNUMBER(INDIRECT(TY$3)),INDIRECT(TY$3)&gt;1),INDIRECT(TY$3),"")</f>
        <v/>
      </c>
      <c r="TZ31" s="309" t="str" cm="1">
        <f t="array" aca="1" ref="TZ31" ca="1">IF(AND(ISNUMBER(INDIRECT(TZ$3)),INDIRECT(TZ$3)&gt;1),INDIRECT(TZ$3),"")</f>
        <v/>
      </c>
      <c r="UA31" s="309" t="str" cm="1">
        <f t="array" aca="1" ref="UA31" ca="1">IF(AND(ISNUMBER(INDIRECT(UA$3)),INDIRECT(UA$3)&gt;1),INDIRECT(UA$3),"")</f>
        <v/>
      </c>
      <c r="UB31" s="309" t="str">
        <f t="shared" ca="1" si="114"/>
        <v>x</v>
      </c>
      <c r="UC31" s="309" t="str">
        <f t="shared" ca="1" si="115"/>
        <v>y</v>
      </c>
      <c r="UD31" s="309" t="str">
        <f t="shared" ca="1" si="116"/>
        <v>z</v>
      </c>
      <c r="UE31" s="309" t="str">
        <f t="shared" ca="1" si="215"/>
        <v>a</v>
      </c>
      <c r="UF31" s="309" t="str" cm="1">
        <f t="array" aca="1" ref="UF31" ca="1">IF(UE31="a","",INDEX($TW$23:$UA$23,,MATCH(UE31,$TW31:$UA31,0)))</f>
        <v/>
      </c>
      <c r="UG31" s="309" t="str" cm="1">
        <f t="array" aca="1" ref="UG31" ca="1">IF(OR(UF31="",UF31&gt;=$UA$23),"",INDEX(INDIRECT(ADDRESS(ROW($TW$23),UF31+1)):$UA$23,,MATCH(UE31,INDIRECT(ADDRESS(ROW(),UF31+1)):$UA31,0)))</f>
        <v/>
      </c>
      <c r="UH31" s="309" t="str" cm="1">
        <f t="array" aca="1" ref="UH31" ca="1">IF(OR(UG31="",UG31&gt;=$UA$23),"",INDEX(INDIRECT(ADDRESS(ROW($TW$23),UG31+1)):$UA$23,,MATCH(UE31,INDIRECT(ADDRESS(ROW(),UG31+1)):$UA31,0)))</f>
        <v/>
      </c>
      <c r="UI31" s="309" t="str">
        <f t="shared" ca="1" si="216"/>
        <v>c</v>
      </c>
      <c r="UJ31" s="309" t="str" cm="1">
        <f t="array" aca="1" ref="UJ31" ca="1">IF(OR(UI31="b",UI31="c"),"",INDEX($TW$23:$UA$23,,MATCH(UI31,$TW31:$UA31,0)))</f>
        <v/>
      </c>
      <c r="UK31" s="309" t="str" cm="1">
        <f t="array" aca="1" ref="UK31" ca="1">IF(OR(UJ31="",UJ31&gt;=$UA$23),"",INDEX(INDIRECT(ADDRESS(ROW($TW$23),UJ31+1)):$UA$23,,MATCH(UI31,INDIRECT(ADDRESS(ROW(),UJ31+1)):$UA31,0)))</f>
        <v/>
      </c>
      <c r="UL31" s="309" t="str">
        <f t="shared" ca="1" si="117"/>
        <v/>
      </c>
      <c r="UM31" s="309" t="str">
        <f t="shared" ca="1" si="217"/>
        <v>e</v>
      </c>
      <c r="UN31" s="309" t="str">
        <f t="shared" ca="1" si="118"/>
        <v/>
      </c>
      <c r="UO31" s="309" t="str" cm="1">
        <f t="array" aca="1" ref="UO31" ca="1">IF(OR(UM31="d",UM31="e"),"",INDEX($TW$23:$UA$23,,MATCH(UM31,$TW31:$UA31,0)))</f>
        <v/>
      </c>
      <c r="UP31" s="309" t="str" cm="1">
        <f t="array" aca="1" ref="UP31" ca="1">IF(OR(UO31="",UO31&gt;=$UA$23),"",INDEX(INDIRECT(ADDRESS(ROW($TW$23),UO31+1)):$UA$23,,MATCH(UM31,INDIRECT(ADDRESS(ROW(),UO31+1)):$UA31,0)))</f>
        <v/>
      </c>
      <c r="UQ31" s="309" t="str" cm="1">
        <f t="array" aca="1" ref="UQ31" ca="1">IFERROR(IF(ISNUMBER(UF31),UF31,IF(ISNUMBER(UJ31),UJ31,IF(ISNUMBER(UN31),UN31,INDEX($TW$23:$UA$23,,MATCH(UB31,$TW31:$UA31,0))))),"x1")</f>
        <v>x1</v>
      </c>
      <c r="UR31" s="309" t="str" cm="1">
        <f t="array" aca="1" ref="UR31" ca="1">IFERROR(IF(ISNUMBER(UG31),UG31,IF(ISNUMBER(UK31),UK31,IF(ISNUMBER(UO31),UO31,INDEX($TW$23:$UA$23,,MATCH(UC31,$TW31:$UA31,0))))),IF(UQ31="x1","x2","x1"))</f>
        <v>x2</v>
      </c>
      <c r="US31" s="309" t="str" cm="1">
        <f t="array" aca="1" ref="US31" ca="1">IFERROR(IF(ISNUMBER(UH31),UH31,IF(ISNUMBER(UL31),UL31,IF(ISNUMBER(UP31),UP31,INDEX($TW$23:$UA$23,,MATCH(UD31,$TW31:$UA31,0))))),IF(UR31="x1","x2",IF(UR31="x2","x3","x1")))</f>
        <v>x3</v>
      </c>
      <c r="UT31" s="97" t="str" cm="1">
        <f t="array" aca="1" ref="UT31" ca="1">IF(OR(INDIRECT(UT$3)=$A$2,INDIRECT(UT$3)=$A$3),COLUMN(),"")</f>
        <v/>
      </c>
      <c r="UU31" s="97" t="str" cm="1">
        <f t="array" aca="1" ref="UU31" ca="1">IF(OR(INDIRECT(UU$3)=$A$2,INDIRECT(UU$3)=$A$3),COLUMN(),"")</f>
        <v/>
      </c>
      <c r="UV31" s="97" t="str" cm="1">
        <f t="array" aca="1" ref="UV31" ca="1">IF(OR(INDIRECT(UV$3)=$A$2,INDIRECT(UV$3)=$A$3),COLUMN(),"")</f>
        <v/>
      </c>
      <c r="UW31" s="97" t="str" cm="1">
        <f t="array" aca="1" ref="UW31" ca="1">IF(OR(INDIRECT(UW$3)=$A$2,INDIRECT(UW$3)=$A$3),COLUMN(),"")</f>
        <v/>
      </c>
      <c r="UX31" s="97" t="str" cm="1">
        <f t="array" aca="1" ref="UX31" ca="1">IF(OR(INDIRECT(UX$3)=$A$2,INDIRECT(UX$3)=$A$3),COLUMN(),"")</f>
        <v/>
      </c>
      <c r="UY31" s="97" t="str" cm="1">
        <f t="array" aca="1" ref="UY31" ca="1">IF(AND(ISNUMBER(INDIRECT(UY$3)),INDIRECT(UY$3)=0),COLUMN(),"")</f>
        <v/>
      </c>
      <c r="UZ31" s="97" t="str" cm="1">
        <f t="array" aca="1" ref="UZ31" ca="1">IF(AND(ISNUMBER(INDIRECT(UZ$3)),INDIRECT(UZ$3)=0),COLUMN(),"")</f>
        <v/>
      </c>
      <c r="VA31" s="97" t="str" cm="1">
        <f t="array" aca="1" ref="VA31" ca="1">IF(AND(ISNUMBER(INDIRECT(VA$3)),INDIRECT(VA$3)=0),COLUMN(),"")</f>
        <v/>
      </c>
      <c r="VB31" s="97" t="str" cm="1">
        <f t="array" aca="1" ref="VB31" ca="1">IF(AND(ISNUMBER(INDIRECT(VB$3)),INDIRECT(VB$3)=0),COLUMN(),"")</f>
        <v/>
      </c>
      <c r="VC31" s="97" t="str" cm="1">
        <f t="array" aca="1" ref="VC31" ca="1">IF(AND(ISNUMBER(INDIRECT(VC$3)),INDIRECT(VC$3)=0),COLUMN(),"")</f>
        <v/>
      </c>
      <c r="VD31" s="97" t="str">
        <f t="shared" ca="1" si="218"/>
        <v>x1</v>
      </c>
      <c r="VE31" s="97" t="str">
        <f t="shared" ca="1" si="219"/>
        <v>x2</v>
      </c>
      <c r="VF31" s="97" t="str">
        <f t="shared" ca="1" si="220"/>
        <v>x3</v>
      </c>
      <c r="VG31" s="97" t="str">
        <f ca="1">IFERROR(IF(ISNUMBER(VD31),VD31,SMALL($UY31:$VC31,VALUE(RIGHT(VD31,1)))),Stammdaten!$CB$17)</f>
        <v>Erste Spielsportart nicht durchgeführt</v>
      </c>
      <c r="VH31" s="97" t="str">
        <f ca="1">IFERROR(IF(ISNUMBER(VE31),VE31,SMALL($UY31:$VC31,VALUE(RIGHT(VE31,1)))),Stammdaten!$CB$18)</f>
        <v>Zweite Spielsportart nicht durchgeführt</v>
      </c>
      <c r="VI31" s="97" t="str">
        <f ca="1">IFERROR(IF(ISNUMBER(VF31),VF31,SMALL($UY31:$VC31,VALUE(RIGHT(VF31,1)))),Stammdaten!$CB$19)</f>
        <v>Dritte Spielsportart nicht durchgeführt</v>
      </c>
      <c r="VJ31" s="91" t="str" cm="1">
        <f t="array" aca="1" ref="VJ31" ca="1">IFERROR(INDIRECT(ADDRESS(ROW($TW$5),VG31)),VG31)</f>
        <v>Erste Spielsportart nicht durchgeführt</v>
      </c>
      <c r="VK31" s="97" t="str">
        <f t="shared" ca="1" si="221"/>
        <v/>
      </c>
      <c r="VL31" s="97" t="str" cm="1">
        <f t="array" aca="1" ref="VL31" ca="1">IFERROR(IF(INDIRECT(INDEX(INDIRECT(VL$5),MATCH(VJ31,INDIRECT(VL$4),0)))&lt;&gt;"",INDEX(INDIRECT(VL$5),MATCH(VJ31,INDIRECT(VL$4),0)),INDEX(INDIRECT(VL$6),MATCH(VJ31,INDIRECT(VL$4),0))),"")</f>
        <v/>
      </c>
      <c r="VM31" s="97" t="str">
        <f t="shared" ca="1" si="222"/>
        <v/>
      </c>
      <c r="VN31" s="97" t="str" cm="1">
        <f t="array" aca="1" ref="VN31" ca="1">IFERROR(INDIRECT(VL31),"")</f>
        <v/>
      </c>
      <c r="VO31" s="97" t="str">
        <f ca="1">IF(VN31="","",IF(AND(VK31=Stammdaten!$BX$20,VM31="0",VN31=1),SUBSTITUTE(TEXT(VN31,VM31)&amp;" "&amp;LEFT(VK31,LEN(VK31)-1),".",","),SUBSTITUTE(TEXT(VN31,VM31)&amp;" "&amp;VK31,".",",")))</f>
        <v/>
      </c>
      <c r="VP31" s="97" t="str">
        <f t="shared" ca="1" si="119"/>
        <v/>
      </c>
      <c r="VQ31" s="97" t="str" cm="1">
        <f t="array" aca="1" ref="VQ31" ca="1">IFERROR(LEFT(INDIRECT(VP31),1)&amp;"]","")</f>
        <v/>
      </c>
      <c r="VR31" s="97" t="str">
        <f t="shared" ca="1" si="120"/>
        <v/>
      </c>
      <c r="VS31" s="97" t="str">
        <f ca="1">IFERROR(LEFT(VJ31,FIND(Stammdaten!$CA$4,VJ31,1)-2),IFERROR(LEFT(VJ31,FIND(Stammdaten!$CC$3,VJ31,1)-2),VJ31))</f>
        <v>Erste Spielsportart</v>
      </c>
      <c r="VT31" s="97" t="str">
        <f ca="1">IF(NOT(ISERROR(FIND(Stammdaten!$CA$4,VJ31,1))),Stammdaten!$CA$4,IF(VU31&lt;&gt;Stammdaten!$CC$3,VR31,""))</f>
        <v>nicht durchgeführt</v>
      </c>
      <c r="VU31" s="91" t="str">
        <f ca="1">IF(VN31=$A$2,Stammdaten!$CC$3,VO31)</f>
        <v/>
      </c>
      <c r="VV31" s="91" t="str" cm="1">
        <f t="array" aca="1" ref="VV31" ca="1">IFERROR(INDIRECT(ADDRESS(ROW($TW$5),VH31)),VH31)</f>
        <v>Zweite Spielsportart nicht durchgeführt</v>
      </c>
      <c r="VW31" s="97" t="str">
        <f t="shared" ca="1" si="223"/>
        <v/>
      </c>
      <c r="VX31" s="97" t="str" cm="1">
        <f t="array" aca="1" ref="VX31" ca="1">IFERROR(IF(INDIRECT(INDEX(INDIRECT(VX$5),MATCH(VV31,INDIRECT(VX$4),0)))&lt;&gt;"",INDEX(INDIRECT(VX$5),MATCH(VV31,INDIRECT(VX$4),0)),INDEX(INDIRECT(VX$6),MATCH(VV31,INDIRECT(VX$4),0))),"")</f>
        <v/>
      </c>
      <c r="VY31" s="97" t="str">
        <f t="shared" ca="1" si="224"/>
        <v/>
      </c>
      <c r="VZ31" s="97" t="str" cm="1">
        <f t="array" aca="1" ref="VZ31" ca="1">IFERROR(INDIRECT(VX31),"")</f>
        <v/>
      </c>
      <c r="WA31" s="97" t="str">
        <f ca="1">IF(VZ31="","",IF(AND(VW31=Stammdaten!$BX$20,VY31="0",VZ31=1),SUBSTITUTE(TEXT(VZ31,VY31)&amp;" "&amp;LEFT(VW31,LEN(VW31)-1),".",","),SUBSTITUTE(TEXT(VZ31,VY31)&amp;" "&amp;VW31,".",",")))</f>
        <v/>
      </c>
      <c r="WB31" s="97" t="str">
        <f t="shared" ca="1" si="121"/>
        <v/>
      </c>
      <c r="WC31" s="97" t="str" cm="1">
        <f t="array" aca="1" ref="WC31" ca="1">IFERROR(LEFT(INDIRECT(WB31),1)&amp;"]","")</f>
        <v/>
      </c>
      <c r="WD31" s="97" t="str">
        <f t="shared" ca="1" si="122"/>
        <v/>
      </c>
      <c r="WE31" s="97" t="str">
        <f ca="1">IFERROR(LEFT(VV31,FIND(Stammdaten!$CA$4,VV31,1)-2),IFERROR(LEFT(VV31,FIND(Stammdaten!$CC$3,VV31,1)-2),VV31))</f>
        <v>Zweite Spielsportart</v>
      </c>
      <c r="WF31" s="97" t="str">
        <f ca="1">IF(NOT(ISERROR(FIND(Stammdaten!$CA$4,VV31,1))),Stammdaten!$CA$4,IF(WG31&lt;&gt;Stammdaten!$CC$3,WD31,""))</f>
        <v>nicht durchgeführt</v>
      </c>
      <c r="WG31" s="91" t="str">
        <f ca="1">IF(VZ31=$A$2,Stammdaten!$CC$3,WA31)</f>
        <v/>
      </c>
      <c r="WH31" s="91" t="str" cm="1">
        <f t="array" aca="1" ref="WH31" ca="1">IFERROR(INDIRECT(ADDRESS(ROW($TW$5),VI31)),VI31)</f>
        <v>Dritte Spielsportart nicht durchgeführt</v>
      </c>
      <c r="WI31" s="97" t="str">
        <f t="shared" ca="1" si="225"/>
        <v/>
      </c>
      <c r="WJ31" s="97" t="str" cm="1">
        <f t="array" aca="1" ref="WJ31" ca="1">IFERROR(IF(INDIRECT(INDEX(INDIRECT(WJ$5),MATCH(WH31,INDIRECT(WJ$4),0)))&lt;&gt;"",INDEX(INDIRECT(WJ$5),MATCH(WH31,INDIRECT(WJ$4),0)),INDEX(INDIRECT(WJ$6),MATCH(WH31,INDIRECT(WJ$4),0))),"")</f>
        <v/>
      </c>
      <c r="WK31" s="97" t="str">
        <f t="shared" ca="1" si="226"/>
        <v/>
      </c>
      <c r="WL31" s="97" t="str" cm="1">
        <f t="array" aca="1" ref="WL31" ca="1">IFERROR(INDIRECT(WJ31),"")</f>
        <v/>
      </c>
      <c r="WM31" s="97" t="str">
        <f ca="1">IF(WL31="","",IF(AND(WI31=Stammdaten!$BX$20,WK31="0",WL31=1),SUBSTITUTE(TEXT(WL31,WK31)&amp;" "&amp;LEFT(WI31,LEN(WI31)-1),".",","),SUBSTITUTE(TEXT(WL31,WK31)&amp;" "&amp;WI31,".",",")))</f>
        <v/>
      </c>
      <c r="WN31" s="97" t="str">
        <f t="shared" ca="1" si="123"/>
        <v/>
      </c>
      <c r="WO31" s="97" t="str" cm="1">
        <f t="array" aca="1" ref="WO31" ca="1">IFERROR(LEFT(INDIRECT(WN31),1)&amp;"]","")</f>
        <v/>
      </c>
      <c r="WP31" s="97" t="str">
        <f t="shared" ca="1" si="124"/>
        <v/>
      </c>
      <c r="WQ31" s="97" t="str">
        <f ca="1">IFERROR(LEFT(WH31,FIND(Stammdaten!$CA$4,WH31,1)-2),IFERROR(LEFT(WH31,FIND(Stammdaten!$CC$3,WH31,1)-2),WH31))</f>
        <v>Dritte Spielsportart</v>
      </c>
      <c r="WR31" s="97" t="str">
        <f ca="1">IF(NOT(ISERROR(FIND(Stammdaten!$CA$4,WH31,1))),Stammdaten!$CA$4,IF(WS31&lt;&gt;Stammdaten!$CC$3,WP31,""))</f>
        <v>nicht durchgeführt</v>
      </c>
      <c r="WS31" s="91" t="str">
        <f ca="1">IF(WL31=$A$2,Stammdaten!$CC$3,WM31)</f>
        <v/>
      </c>
      <c r="WT31" s="97" t="str" cm="1">
        <f t="array" aca="1" ref="WT31" ca="1">INDIRECT(WT$5)</f>
        <v/>
      </c>
      <c r="WU31" s="97" t="str" cm="1">
        <f t="array" aca="1" ref="WU31" ca="1">INDIRECT(WU$5)</f>
        <v/>
      </c>
      <c r="WV31" s="97" t="str" cm="1">
        <f t="array" aca="1" ref="WV31" ca="1">INDIRECT(WV$5)</f>
        <v/>
      </c>
      <c r="WW31" s="97" t="str" cm="1">
        <f t="array" aca="1" ref="WW31" ca="1">INDIRECT(WW$5)</f>
        <v/>
      </c>
      <c r="WX31" s="97" t="str" cm="1">
        <f t="array" aca="1" ref="WX31" ca="1">INDIRECT(WX$5)</f>
        <v/>
      </c>
      <c r="WY31" s="97" cm="1">
        <f t="array" aca="1" ref="WY31" ca="1">IF(INDIRECT(WY$5)&lt;&gt;"",INDIRECT(WY$5),0)</f>
        <v>0</v>
      </c>
      <c r="WZ31" s="97" cm="1">
        <f t="array" aca="1" ref="WZ31" ca="1">IF(INDIRECT(WZ$5)&lt;&gt;"",INDIRECT(WZ$5),0)</f>
        <v>0</v>
      </c>
      <c r="XA31" s="97" cm="1">
        <f t="array" aca="1" ref="XA31" ca="1">IF(INDIRECT(XA$5)&lt;&gt;"",INDIRECT(XA$5),0)</f>
        <v>0</v>
      </c>
      <c r="XB31" s="97" cm="1">
        <f t="array" aca="1" ref="XB31" ca="1">IF(INDIRECT(XB$5)&lt;&gt;"",INDIRECT(XB$5),0)</f>
        <v>0</v>
      </c>
      <c r="XC31" s="97" cm="1">
        <f t="array" aca="1" ref="XC31" ca="1">IF(INDIRECT(XC$5)&lt;&gt;"",INDIRECT(XC$5),0)</f>
        <v>0</v>
      </c>
      <c r="XD31" s="97">
        <f t="shared" ca="1" si="125"/>
        <v>0</v>
      </c>
      <c r="XE31" s="97">
        <f t="shared" ca="1" si="125"/>
        <v>0</v>
      </c>
      <c r="XF31" s="97">
        <f t="shared" ca="1" si="125"/>
        <v>0</v>
      </c>
      <c r="XG31" s="97">
        <f t="shared" ca="1" si="227"/>
        <v>0</v>
      </c>
      <c r="XH31" s="108">
        <f t="shared" ca="1" si="228"/>
        <v>0</v>
      </c>
      <c r="XI31" s="108">
        <f t="shared" ca="1" si="126"/>
        <v>0</v>
      </c>
      <c r="XJ31" s="108" t="str">
        <f t="shared" ca="1" si="229"/>
        <v/>
      </c>
      <c r="XK31" s="97" t="str">
        <f ca="1">IF(XJ31="",Stammdaten!$BZ$1,IF(AND(XH31=0,XI31&gt;=XJ$25),$A$3,ROUND(SUM(XG31/XJ31)/XK$25,0)*XK$25))</f>
        <v>Zu wenige Werte</v>
      </c>
      <c r="XL31" s="108">
        <f t="shared" ca="1" si="230"/>
        <v>6</v>
      </c>
      <c r="XM31" s="97" t="str">
        <f t="shared" ca="1" si="231"/>
        <v/>
      </c>
      <c r="XN31" s="97" t="str">
        <f t="shared" ca="1" si="232"/>
        <v/>
      </c>
      <c r="XO31" s="97" t="str">
        <f t="shared" ca="1" si="233"/>
        <v/>
      </c>
      <c r="XP31" s="97" t="str">
        <f t="shared" ca="1" si="234"/>
        <v/>
      </c>
      <c r="XQ31" s="97" t="str">
        <f t="shared" ca="1" si="235"/>
        <v>g</v>
      </c>
      <c r="XR31" s="97" t="str">
        <f t="shared" ca="1" si="236"/>
        <v/>
      </c>
      <c r="XS31" s="97">
        <f t="shared" ca="1" si="237"/>
        <v>1</v>
      </c>
      <c r="XT31" s="97" t="str">
        <f ca="1">IF(OR(Geschlecht[[#This Row],[Geschlecht (Skala)]]="",NOT(ISNUMBER(XJ31))),"",XS31)</f>
        <v/>
      </c>
      <c r="XU31" s="97" t="str">
        <f t="shared" ca="1" si="238"/>
        <v/>
      </c>
      <c r="XV31" s="97"/>
      <c r="XW31" s="308" t="str">
        <f t="shared" ca="1" si="127"/>
        <v>Zu wenige Werte</v>
      </c>
      <c r="XX31" s="97"/>
      <c r="XY31" s="97" t="str">
        <f t="shared" ca="1" si="128"/>
        <v>Zu wenige Werte</v>
      </c>
      <c r="XZ31" s="97" t="str">
        <f t="shared" ca="1" si="129"/>
        <v>Zu wenige Werte</v>
      </c>
      <c r="YA31" s="97" t="str">
        <f t="shared" ca="1" si="130"/>
        <v>Zu wenige Werte</v>
      </c>
      <c r="YB31" s="97" t="str">
        <f t="shared" ca="1" si="131"/>
        <v>Zu wenige Werte</v>
      </c>
      <c r="YC31" s="97">
        <f t="shared" ca="1" si="239"/>
        <v>0</v>
      </c>
      <c r="YD31" s="108">
        <f t="shared" ca="1" si="240"/>
        <v>0</v>
      </c>
      <c r="YE31" s="108">
        <f t="shared" ca="1" si="241"/>
        <v>0</v>
      </c>
      <c r="YF31" s="108" t="str">
        <f t="shared" ca="1" si="242"/>
        <v/>
      </c>
      <c r="YG31" s="97" t="str">
        <f ca="1">IF(YF31="",Stammdaten!$BZ$1,IF(YE31=YF$25,$A$3,ROUND(SUM(YC31/YF31)/YG$25,0)*YG$25))</f>
        <v>Zu wenige Werte</v>
      </c>
      <c r="YH31" s="97" t="str">
        <f ca="1">IF(NOT(ISNUMBER(XY31)),"",IF(YH$11&lt;&gt;"2+",TEXT(XY31,YH$11)&amp;" / ",IF(RIGHT(XY31*100,2)="00",TEXT(XY31,"0"&amp;Stammdaten!$AZ$3&amp;"0")&amp;" / ",XY31&amp;" / ")))</f>
        <v/>
      </c>
      <c r="YI31" s="97" t="str">
        <f ca="1">IF(NOT(ISNUMBER(XZ31)),"",IF(YI$11&lt;&gt;"2+",TEXT(XZ31,YI$11)&amp;" / ",IF(RIGHT(XZ31*100,2)="00",TEXT(XZ31,"0"&amp;Stammdaten!$AZ$3&amp;"0")&amp;" / ",XZ31&amp;" / ")))</f>
        <v/>
      </c>
      <c r="YJ31" s="97" t="str">
        <f ca="1">IF(NOT(ISNUMBER(YA31)),"",IF(YJ$11&lt;&gt;"2+",TEXT(YA31,YJ$11)&amp;" / ",IF(RIGHT(YA31*100,2)="00",TEXT(YA31,"0"&amp;Stammdaten!$AZ$3&amp;"0")&amp;" / ",YA31&amp;" / ")))</f>
        <v/>
      </c>
      <c r="YK31" s="97" t="str">
        <f ca="1">IF(NOT(ISNUMBER(YB31)),"",IF(YK$11&lt;&gt;"2+",TEXT(YB31,YK$11)&amp;" / ",IF(RIGHT(YB31*100,2)="00",TEXT(YB31,"0"&amp;Stammdaten!$AZ$3&amp;"0")&amp;" / ",YB31&amp;" / ")))</f>
        <v/>
      </c>
      <c r="YL31" s="97" t="str">
        <f t="shared" ca="1" si="243"/>
        <v/>
      </c>
      <c r="YM31" s="97" t="str">
        <f>IF(Geschlecht[[#This Row],[Geschlecht (Skala)]]="","",IF(ISNUMBER(XY31),1,IF(XY31=$A$3,$A$2,"R")))</f>
        <v/>
      </c>
      <c r="YN31" s="97" t="str">
        <f>IF(Geschlecht[[#This Row],[Geschlecht (Skala)]]="","",IF(ISNUMBER(XZ31),1,IF(XZ31=$A$3,$A$2,"R")))</f>
        <v/>
      </c>
      <c r="YO31" s="97" t="str">
        <f>IF(Geschlecht[[#This Row],[Geschlecht (Skala)]]="","",IF(ISNUMBER(YA31),1,IF(YA31=$A$3,$A$2,"R")))</f>
        <v/>
      </c>
      <c r="YP31" s="97" t="str">
        <f>IF(Geschlecht[[#This Row],[Geschlecht (Skala)]]="","",IF(ISNUMBER(YB31),1,IF(YB31=$A$3,$A$2,"R")))</f>
        <v/>
      </c>
      <c r="YQ31" s="97" t="str">
        <f t="shared" si="244"/>
        <v>g</v>
      </c>
      <c r="YR31" s="97" t="str">
        <f t="shared" ca="1" si="245"/>
        <v/>
      </c>
      <c r="YS31" s="97">
        <f t="shared" ca="1" si="246"/>
        <v>1</v>
      </c>
      <c r="YT31" s="97" t="str">
        <f ca="1">IF(OR(Geschlecht[[#This Row],[Geschlecht (Skala)]]="",NOT(ISNUMBER(YG31))),"",YS31)</f>
        <v/>
      </c>
      <c r="YU31" s="97"/>
      <c r="YV31" s="311" t="str">
        <f t="shared" si="247"/>
        <v>D</v>
      </c>
      <c r="YW31" s="302"/>
      <c r="YX31" s="311" t="str">
        <f t="shared" si="248"/>
        <v>D</v>
      </c>
      <c r="YY31" s="302"/>
      <c r="YZ31" s="311" t="str">
        <f t="shared" si="249"/>
        <v>D</v>
      </c>
      <c r="ZA31" s="302"/>
      <c r="ZB31" s="311" t="str">
        <f t="shared" si="250"/>
        <v>D</v>
      </c>
      <c r="ZC31" s="97"/>
      <c r="ZD31" s="97" t="str">
        <f t="shared" ca="1" si="132"/>
        <v/>
      </c>
      <c r="ZE31" s="97"/>
      <c r="ZF31" s="308" t="str">
        <f t="shared" ca="1" si="251"/>
        <v>Zu wenige Werte</v>
      </c>
      <c r="ZH31" s="317" t="s">
        <v>134</v>
      </c>
      <c r="ZJ31" s="91" t="str" cm="1">
        <f t="array" ref="ZJ31">IF(OR(Geschlecht[[#This Row],[Geschlecht (Skala)]]="",ZH31="",ZH31=Stammdaten!$BZ$5),"",REPLACE(INDEX(StdDisziplinen[TabÜberschriftNote],ZH$3),FIND("X",INDEX(StdDisziplinen[TabÜberschriftNote],ZH$3),1),1,Geschlecht[[#This Row],[Geschlecht (Skala)]]))</f>
        <v/>
      </c>
      <c r="ZK31" s="314"/>
      <c r="ZM31" s="315"/>
      <c r="ZN31" s="97" t="str">
        <f>IFERROR(IFERROR(SUBSTITUTE(SchwimmenResultatMin[[#This Row],[Min]],".",",")*1,SUBSTITUTE(SchwimmenResultatMin[[#This Row],[Min]],",",".")*1),"")</f>
        <v/>
      </c>
      <c r="ZO31" s="91" t="e">
        <f>INT(SchwimmenResultatMin[[#This Row],[Resultat]])=SchwimmenResultatMin[[#This Row],[Resultat]]</f>
        <v>#VALUE!</v>
      </c>
      <c r="ZP31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1" s="315"/>
      <c r="ZS31" s="97" t="str">
        <f>IFERROR(IFERROR(SUBSTITUTE(SchwimmenResultatSek[[#This Row],[Sek]],".",",")*1,SUBSTITUTE(SchwimmenResultatSek[[#This Row],[Sek]],",",".")*1),"")</f>
        <v/>
      </c>
      <c r="ZT31" s="108" t="e">
        <f>INT(SchwimmenResultatSek[[#This Row],[Resultat]])=SchwimmenResultatSek[[#This Row],[Resultat]]</f>
        <v>#VALUE!</v>
      </c>
      <c r="ZU31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1" s="97" t="str" cm="1">
        <f t="array" aca="1" ref="ZW31" ca="1">IF(AND(INDIRECT(ZW$2)="",INDIRECT(ZX$2)=""),"",IFERROR((INDIRECT(ZW$2)*$ZW$25)+INDIRECT(ZX$2),""))</f>
        <v/>
      </c>
      <c r="ZX31" s="91" t="str">
        <f ca="1">REPLACE(ZW$4,ZX$6,1,Geschlecht[[#This Row],[Geschlecht (Skala)]])</f>
        <v>Schwimmen_[Resultat]</v>
      </c>
      <c r="ZY31" s="91" t="str">
        <f ca="1">IFERROR(REPLACE($ZX31,FIND(Stammdaten!$V$2,$ZX31,1),LEN(Stammdaten!$V$2),Stammdaten!$BZ$9),"")</f>
        <v>Schwimmen_[Anzeige]</v>
      </c>
      <c r="ZZ31" s="97" t="str" cm="1">
        <f t="array" aca="1" ref="ZZ31" ca="1">IF(INDIRECT(ZW$3)="","",IF(INDIRECT(ZW$3)=0,0,IF(OR(INDIRECT(ZW$1)=$A$2,INDIRECT(ZW$1)=$A$3),$A$3,IFERROR(INDEX(INDIRECT(ZX31),MATCH(INDIRECT(ZW$3),INDIRECT(ZX31),ZY$25)),IFERROR(IF(ZY$25=-1,MAX(INDIRECT(ZX31)),IF(ZY$25=1,MIN(INDIRECT(ZX31)))),"")))))</f>
        <v/>
      </c>
      <c r="AAA31" s="97" t="str" cm="1">
        <f t="array" aca="1" ref="AAA31" ca="1">IF(INDIRECT(ZX$5)=0,0,IF(OR(INDIRECT(ZW$1)=$A$2,INDIRECT(ZW$1)=$A$3),$A$3,IFERROR(INDEX(INDIRECT($ZY31),MATCH(INDIRECT(ZX$5),INDIRECT($ZX31),0)),"")))</f>
        <v/>
      </c>
      <c r="AAC31" s="91" t="str">
        <f ca="1">REPLACE(ZW$6,ZX$6,1,Geschlecht[[#This Row],[Geschlecht (Skala)]])</f>
        <v>Schwimmen_[Note]</v>
      </c>
      <c r="AAD31" s="97" t="str" cm="1">
        <f t="array" aca="1" ref="AAD31" ca="1">IFERROR(INDEX(INDIRECT(AAC31),MATCH(INDIRECT(ZX$5),INDIRECT(ZX31),0)),IF(INDIRECT(ZX$5)=0,1,""))</f>
        <v/>
      </c>
      <c r="AAE31" s="97"/>
      <c r="AAF31" s="96" t="str">
        <f>ZwölfMinLaufHalleResultat[[#This Row],[Resultat]]</f>
        <v/>
      </c>
      <c r="AAG31" s="96"/>
      <c r="AAH31" s="97" t="str">
        <f ca="1">ZwölfMinLaufHalleSkalawert[[#This Row],[Skala-Wert]]</f>
        <v/>
      </c>
      <c r="AAJ31" s="97" t="str">
        <f ca="1">ZwölfMinLaufHalleNote[[#This Row],[Note]]</f>
        <v/>
      </c>
      <c r="AAK31" s="97"/>
      <c r="AAL31" s="96" t="str">
        <f>ZwölfMinLaufimFreienResultat[[#This Row],[Resultat]]</f>
        <v/>
      </c>
      <c r="AAM31" s="96"/>
      <c r="AAN31" s="97" t="str">
        <f ca="1">ZwölfMinLaufimFreienSkalawert[[#This Row],[Skala-Wert]]</f>
        <v/>
      </c>
      <c r="AAP31" s="97" t="str">
        <f ca="1">ZwölfMinLaufimFreienNote[[#This Row],[Note]]</f>
        <v/>
      </c>
      <c r="AAQ31" s="97"/>
      <c r="AAR31" s="307"/>
      <c r="AAS31" s="96" t="str">
        <f>IFERROR(IFERROR(SUBSTITUTE(BeweglichkeitResultat[[#This Row],[Eingabe]],".",",")*1,SUBSTITUTE(BeweglichkeitResultat[[#This Row],[Eingabe]],",",".")*1),"")</f>
        <v/>
      </c>
      <c r="AAT31" s="96" t="e">
        <f>INT(BeweglichkeitResultat[[#This Row],[Resultat]])=BeweglichkeitResultat[[#This Row],[Resultat]]</f>
        <v>#VALUE!</v>
      </c>
      <c r="AAU31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1" s="96"/>
      <c r="AAW31" s="91" t="str" cm="1">
        <f t="array" aca="1" ref="AAW31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1" s="96" t="str">
        <f ca="1">REPLACE(AAW$4,AAX$6,1,Geschlecht[[#This Row],[Geschlecht (Skala)]])</f>
        <v>Beweglichkeit_[Resultat]</v>
      </c>
      <c r="AAY31" s="96" t="str" cm="1">
        <f t="array" aca="1" ref="AAY31" ca="1">IF(OR(INDIRECT(AAW$1)=$A$2,INDIRECT(AAW$1)=$A$3),$A$3,IF(OR(INDIRECT(AAW$2)="",AND(Geschlecht[[#This Row],[Geschlecht (Skala)]]=Stammdaten!$D$7,INDIRECT(AAW$2)&lt;0)),"",IFERROR(INDEX(INDIRECT(AAX31),MATCH(INDIRECT(AAW$3),INDIRECT(AAX31),AAX$25)),IFERROR(IF(AAX$25=-1,MAX(INDIRECT(AAX31)),IF(AAX$25=1,MIN(INDIRECT(AAX31)))),""))))</f>
        <v/>
      </c>
      <c r="AAZ31" s="97" t="str" cm="1">
        <f t="array" aca="1" ref="AAZ31" ca="1">IF(INDIRECT(AAW$1)="","",IF(INDIRECT(AAW$1)=0,0,IF(OR(INDIRECT(AAW$1)=$A$2,INDIRECT(AAW$1)=$A$3),$A$3,IFERROR(INDEX(INDIRECT(AAY31),MATCH(INDIRECT(AAW$3),INDIRECT(AAY31),AAY$27)),IFERROR(IF(AAY$27=-1,MAX(INDIRECT(AAY31)),IF(AAY$27=1,MIN(INDIRECT(AAY31)))),"")))))</f>
        <v/>
      </c>
      <c r="ABA31" s="96" t="str">
        <f ca="1">REPLACE(AAW$6,AAX$6,1,Geschlecht[[#This Row],[Geschlecht (Skala)]])</f>
        <v>Beweglichkeit_[Note]</v>
      </c>
      <c r="ABB31" s="91" t="str" cm="1">
        <f t="array" aca="1" ref="ABB31" ca="1">IFERROR(INDEX(INDIRECT(ABA31),MATCH(INDIRECT(AAW$5),INDIRECT(AAX31),0)),"")</f>
        <v/>
      </c>
      <c r="ABC31" s="97" t="str" cm="1">
        <f t="array" aca="1" ref="ABC31" ca="1">IFERROR(INDEX(INDIRECT(ABB31),MATCH(INDIRECT(AAW$5),INDIRECT(AAY31),0)),"")</f>
        <v/>
      </c>
      <c r="ABD31" s="307"/>
      <c r="ABE31" s="96" t="str">
        <f>IFERROR(IFERROR(SUBSTITUTE(RumpfkraftResultat[[#This Row],[Eingabe]],".",",")*1,SUBSTITUTE(RumpfkraftResultat[[#This Row],[Eingabe]],",",".")*1),"")</f>
        <v/>
      </c>
      <c r="ABF31" s="96" t="e">
        <f>INT(RumpfkraftResultat[[#This Row],[Resultat]])=RumpfkraftResultat[[#This Row],[Resultat]]</f>
        <v>#VALUE!</v>
      </c>
      <c r="ABG31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1" s="96"/>
      <c r="ABI31" s="91" t="str" cm="1">
        <f t="array" aca="1" ref="ABI31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1" s="96" t="str">
        <f ca="1">REPLACE(ABI$4,ABJ$6,1,Geschlecht[[#This Row],[Geschlecht (Skala)]])</f>
        <v>Rumpfkraft_[Resultat]</v>
      </c>
      <c r="ABK31" s="97" t="str" cm="1">
        <f t="array" aca="1" ref="ABK31" ca="1">IF(INDIRECT(ABI$1)="","",IF(OR(INDIRECT(ABI$1)=$A$2,INDIRECT(ABI$1)=$A$3),$A$3,IFERROR(INDEX(INDIRECT(ABJ31),MATCH(INDIRECT(ABI$3),INDIRECT(ABJ31),ABJ$25)),IFERROR(IF(ABJ$25=-1,MAX(INDIRECT(ABJ31)),IF(ABJ$25=1,MIN(INDIRECT(ABJ31)))),""))))</f>
        <v/>
      </c>
      <c r="ABM31" s="91" t="str">
        <f ca="1">REPLACE(ABI$6,ABJ$6,1,Geschlecht[[#This Row],[Geschlecht (Skala)]])</f>
        <v>Rumpfkraft_[Note]</v>
      </c>
      <c r="ABN31" s="97" t="str" cm="1">
        <f t="array" aca="1" ref="ABN31" ca="1">IFERROR(INDEX(INDIRECT(ABM31),MATCH(INDIRECT(ABI$5),INDIRECT(ABJ31),0)),"")</f>
        <v/>
      </c>
      <c r="ABO31" s="97"/>
      <c r="ABP31" s="96" t="str">
        <f>SechzigmLaufResultat[[#This Row],[Resultat]]</f>
        <v/>
      </c>
      <c r="ABQ31" s="96"/>
      <c r="ABR31" s="97" t="str">
        <f ca="1">SechzigmLaufSkalawert[[#This Row],[Skala-Wert]]</f>
        <v/>
      </c>
      <c r="ABT31" s="97" t="str">
        <f ca="1">SechzigmLaufNote[[#This Row],[Note]]</f>
        <v/>
      </c>
      <c r="ABU31" s="97"/>
      <c r="ABV31" s="96" t="str">
        <f>AchtzigmLaufResultat[[#This Row],[Resultat]]</f>
        <v/>
      </c>
      <c r="ABW31" s="96"/>
      <c r="ABX31" s="97" t="str">
        <f ca="1">AchtzigmLaufSkalawert[[#This Row],[Skala-Wert]]</f>
        <v/>
      </c>
      <c r="ABZ31" s="97" t="str">
        <f ca="1">AchtzigmLaufNote[[#This Row],[Note]]</f>
        <v/>
      </c>
      <c r="ACA31" s="97"/>
      <c r="ACB31" s="307"/>
      <c r="ACC31" s="96" t="str">
        <f>IFERROR(IFERROR(SUBSTITUTE(KonditionsparcoursResultat[[#This Row],[Eingabe]],".",",")*1,SUBSTITUTE(KonditionsparcoursResultat[[#This Row],[Eingabe]],",",".")*1),"")</f>
        <v/>
      </c>
      <c r="ACD31" s="96" t="e">
        <f>INT(KonditionsparcoursResultat[[#This Row],[Resultat]])=KonditionsparcoursResultat[[#This Row],[Resultat]]</f>
        <v>#VALUE!</v>
      </c>
      <c r="ACE31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1" s="96"/>
      <c r="ACG31" s="91" t="str" cm="1">
        <f t="array" aca="1" ref="ACG31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1" s="96" t="str">
        <f ca="1">LEFT(Geschlecht[[#This Row],[Geschlecht (Skala)]],1)&amp;ACM$4</f>
        <v>2</v>
      </c>
      <c r="ACI31" s="96" t="str">
        <f t="shared" ca="1" si="133"/>
        <v>Konditionsparcours_2[Resultat]</v>
      </c>
      <c r="ACJ31" s="97" t="str" cm="1">
        <f t="array" aca="1" ref="ACJ31" ca="1">IF(INDIRECT(ACG$1)="","",IF(OR(INDIRECT(ACG$1)=$A$2,INDIRECT(ACG$1)=$A$3),$A$3,IFERROR(INDEX(INDIRECT(ACI31),MATCH(INDIRECT(ACG$3),INDIRECT(ACI31),ACI$25)),IFERROR(IF(ACI$25=-1,MAX(INDIRECT(ACI31)),IF(ACI$25=1,MIN(INDIRECT(ACI31)))),""))))</f>
        <v/>
      </c>
      <c r="ACL31" s="91" t="str">
        <f t="shared" ca="1" si="134"/>
        <v>Konditionsparcours_2[Note]</v>
      </c>
      <c r="ACM31" s="97" t="str" cm="1">
        <f t="array" aca="1" ref="ACM31" ca="1">IFERROR(INDEX(INDIRECT(ACL31),MATCH(INDIRECT(ACG$5),INDIRECT(ACI31),0)),"")</f>
        <v/>
      </c>
      <c r="ACN31" s="102"/>
    </row>
    <row r="32" spans="1:768">
      <c r="A32" s="305">
        <v>5</v>
      </c>
      <c r="B32" s="133"/>
      <c r="C32" s="133"/>
      <c r="E32" s="306"/>
      <c r="G32" s="307"/>
      <c r="H32" s="96" t="str">
        <f>IFERROR(IFERROR(SUBSTITUTE(SechzigmLaufResultat[[#This Row],[Eingabe]],".",",")*1,SUBSTITUTE(SechzigmLaufResultat[[#This Row],[Eingabe]],",",".")*1),"")</f>
        <v/>
      </c>
      <c r="I32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2" s="96"/>
      <c r="K32" s="91" t="str" cm="1">
        <f t="array" aca="1" ref="K32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2" s="96" t="str">
        <f ca="1">LEFT(Geschlecht[[#This Row],[Geschlecht (Skala)]],1)&amp;Q$4</f>
        <v>2</v>
      </c>
      <c r="M32" s="96" t="str">
        <f t="shared" ca="1" si="37"/>
        <v>SechzigmLauf_2[Resultat]</v>
      </c>
      <c r="N32" s="97" t="str" cm="1">
        <f t="array" aca="1" ref="N32" ca="1">IF(INDIRECT(K$1)="","",IF(INDIRECT(K$2)=0,0,IF(OR(INDIRECT(K$1)=$A$2,INDIRECT(K$1)=$A$3),$A$3,IFERROR(INDEX(INDIRECT(M32),MATCH(INDIRECT(K$3),INDIRECT(M32),M$25)),IFERROR(IF(M$25=-1,MAX(INDIRECT(M32)),IF(M$25=1,MIN(INDIRECT(M32)))),"")))))</f>
        <v/>
      </c>
      <c r="P32" s="91" t="str">
        <f t="shared" ca="1" si="38"/>
        <v>SechzigmLauf_2[Note]</v>
      </c>
      <c r="Q32" s="97" t="str" cm="1">
        <f t="array" aca="1" ref="Q32" ca="1">IFERROR(INDEX(INDIRECT(P32),MATCH(INDIRECT(K$5),INDIRECT(M32),0)),IF(INDIRECT(K$5)=0,1,""))</f>
        <v/>
      </c>
      <c r="R32" s="97"/>
      <c r="S32" s="307"/>
      <c r="T32" s="96" t="str">
        <f>IFERROR(IFERROR(SUBSTITUTE(AchtzigmLaufResultat[[#This Row],[Eingabe]],".",",")*1,SUBSTITUTE(AchtzigmLaufResultat[[#This Row],[Eingabe]],",",".")*1),"")</f>
        <v/>
      </c>
      <c r="U32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2" s="96"/>
      <c r="W32" s="91" t="str" cm="1">
        <f t="array" aca="1" ref="W32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2" s="96" t="str">
        <f ca="1">LEFT(Geschlecht[[#This Row],[Geschlecht (Skala)]],1)&amp;AC$4</f>
        <v>2</v>
      </c>
      <c r="Y32" s="96" t="str">
        <f t="shared" ca="1" si="39"/>
        <v>AchtzigmLauf_2[Resultat]</v>
      </c>
      <c r="Z32" s="97" t="str" cm="1">
        <f t="array" aca="1" ref="Z32" ca="1">IF(INDIRECT(W$1)="","",IF(INDIRECT(W$2)=0,0,IF(OR(INDIRECT(W$1)=$A$2,INDIRECT(W$1)=$A$3),$A$3,IFERROR(INDEX(INDIRECT(Y32),MATCH(INDIRECT(W$3),INDIRECT(Y32),Y$25)),IFERROR(IF(Y$25=-1,MAX(INDIRECT(Y32)),IF(Y$25=1,MIN(INDIRECT(Y32)))),"")))))</f>
        <v/>
      </c>
      <c r="AB32" s="91" t="str">
        <f t="shared" ca="1" si="40"/>
        <v>AchtzigmLauf_2[Note]</v>
      </c>
      <c r="AC32" s="97" t="str" cm="1">
        <f t="array" aca="1" ref="AC32" ca="1">IFERROR(INDEX(INDIRECT(AB32),MATCH(INDIRECT(W$5),INDIRECT(Y32),0)),IF(INDIRECT(W$5)=0,1,""))</f>
        <v/>
      </c>
      <c r="AD32" s="97"/>
      <c r="AE32" s="307"/>
      <c r="AF32" s="96" t="str">
        <f>IFERROR(IFERROR(SUBSTITUTE(ZwölfMinLaufHalleResultat[[#This Row],[Eingabe]],".",",")*1,SUBSTITUTE(ZwölfMinLaufHalleResultat[[#This Row],[Eingabe]],",",".")*1),"")</f>
        <v/>
      </c>
      <c r="AG32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2" s="96"/>
      <c r="AI32" s="91" t="str" cm="1">
        <f t="array" aca="1" ref="AI32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2" s="96" t="str">
        <f ca="1">LEFT(Geschlecht[[#This Row],[Geschlecht (Skala)]],1)&amp;AO$4</f>
        <v>2</v>
      </c>
      <c r="AK32" s="96" t="str">
        <f t="shared" ca="1" si="41"/>
        <v>ZwölfMinLaufHalle_2[Resultat]</v>
      </c>
      <c r="AL32" s="97" t="str" cm="1">
        <f t="array" aca="1" ref="AL32" ca="1">IF(INDIRECT(AI$1)="","",IF(INDIRECT(AI$2)=0,0,IF(OR(INDIRECT(AI$1)=$A$2,INDIRECT(AI$1)=$A$3),$A$3,IFERROR(INDEX(INDIRECT(AK32),MATCH(INDIRECT(AI$3),INDIRECT(AK32),AK$25)),IFERROR(IF(AK$25=-1,MAX(INDIRECT(AK32)),IF(AK$25=1,MIN(INDIRECT(AK32)))),"")))))</f>
        <v/>
      </c>
      <c r="AN32" s="91" t="str">
        <f t="shared" ca="1" si="42"/>
        <v>ZwölfMinLaufHalle_2[Note]</v>
      </c>
      <c r="AO32" s="97" t="str" cm="1">
        <f t="array" aca="1" ref="AO32" ca="1">IFERROR(INDEX(INDIRECT(AN32),MATCH(INDIRECT(AI$5),INDIRECT(AK32),0)),IF(INDIRECT(AI$5)=0,1,""))</f>
        <v/>
      </c>
      <c r="AP32" s="97"/>
      <c r="AQ32" s="307"/>
      <c r="AR32" s="96" t="str">
        <f>IFERROR(IFERROR(SUBSTITUTE(ZwölfMinLaufimFreienResultat[[#This Row],[Eingabe]],".",",")*1,SUBSTITUTE(ZwölfMinLaufimFreienResultat[[#This Row],[Eingabe]],",",".")*1),"")</f>
        <v/>
      </c>
      <c r="AS32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2" s="96"/>
      <c r="AU32" s="91" t="str" cm="1">
        <f t="array" aca="1" ref="AU32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2" s="96" t="str">
        <f ca="1">LEFT(Geschlecht[[#This Row],[Geschlecht (Skala)]],1)&amp;BA$4</f>
        <v>2</v>
      </c>
      <c r="AW32" s="96" t="str">
        <f t="shared" ca="1" si="43"/>
        <v>ZwölfMinLaufimFreien_2[Resultat]</v>
      </c>
      <c r="AX32" s="97" t="str" cm="1">
        <f t="array" aca="1" ref="AX32" ca="1">IF(INDIRECT(AU$1)="","",IF(INDIRECT(AU$2)=0,0,IF(OR(INDIRECT(AU$1)=$A$2,INDIRECT(AU$1)=$A$3),$A$3,IFERROR(INDEX(INDIRECT(AW32),MATCH(INDIRECT(AU$3),INDIRECT(AW32),AW$25)),IFERROR(IF(AW$25=-1,MAX(INDIRECT(AW32)),IF(AW$25=1,MIN(INDIRECT(AW32)))),"")))))</f>
        <v/>
      </c>
      <c r="AZ32" s="91" t="str">
        <f t="shared" ca="1" si="44"/>
        <v>ZwölfMinLaufimFreien_2[Note]</v>
      </c>
      <c r="BA32" s="97" t="str" cm="1">
        <f t="array" aca="1" ref="BA32" ca="1">IFERROR(INDEX(INDIRECT(AZ32),MATCH(INDIRECT(AU$5),INDIRECT(AW32),0)),IF(INDIRECT(AU$5)=0,1,""))</f>
        <v/>
      </c>
      <c r="BB32" s="97"/>
      <c r="BC32" s="307"/>
      <c r="BD32" s="96" t="str">
        <f>IFERROR(IFERROR(SUBSTITUTE(HochsprungResultat[[#This Row],[Eingabe]],".",",")*1,SUBSTITUTE(HochsprungResultat[[#This Row],[Eingabe]],",",".")*1),"")</f>
        <v/>
      </c>
      <c r="BE32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2" s="96"/>
      <c r="BG32" s="91" t="str" cm="1">
        <f t="array" aca="1" ref="BG32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2" s="96" t="str">
        <f ca="1">LEFT(Geschlecht[[#This Row],[Geschlecht (Skala)]],1)&amp;BM$4</f>
        <v>2</v>
      </c>
      <c r="BI32" s="96" t="str">
        <f t="shared" ca="1" si="45"/>
        <v>Hochsprung_2[Resultat]</v>
      </c>
      <c r="BJ32" s="97" t="str" cm="1">
        <f t="array" aca="1" ref="BJ32" ca="1">IF(INDIRECT(BG$1)="","",IF(INDIRECT(BG$2)=0,0,IF(OR(INDIRECT(BG$1)=$A$2,INDIRECT(BG$1)=$A$3),$A$3,IFERROR(INDEX(INDIRECT(BI32),MATCH(INDIRECT(BG$3),INDIRECT(BI32),BI$25)),IFERROR(IF(BI$25=-1,MAX(INDIRECT(BI32)),IF(BI$25=1,MIN(INDIRECT(BI32)))),"")))))</f>
        <v/>
      </c>
      <c r="BL32" s="91" t="str">
        <f t="shared" ca="1" si="46"/>
        <v>Hochsprung_2[Note]</v>
      </c>
      <c r="BM32" s="97" t="str" cm="1">
        <f t="array" aca="1" ref="BM32" ca="1">IFERROR(INDEX(INDIRECT(BL32),MATCH(INDIRECT(BG$5),INDIRECT(BI32),0)),IF(INDIRECT(BG$5)=0,1,""))</f>
        <v/>
      </c>
      <c r="BN32" s="97"/>
      <c r="BO32" s="307"/>
      <c r="BP32" s="96" t="str">
        <f>IFERROR(IFERROR(SUBSTITUTE(WeitsprungResultat[[#This Row],[Eingabe]],".",",")*1,SUBSTITUTE(WeitsprungResultat[[#This Row],[Eingabe]],",",".")*1),"")</f>
        <v/>
      </c>
      <c r="BQ32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2" s="96"/>
      <c r="BS32" s="91" t="str" cm="1">
        <f t="array" aca="1" ref="BS32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2" s="96" t="str">
        <f ca="1">LEFT(Geschlecht[[#This Row],[Geschlecht (Skala)]],1)&amp;BY$4</f>
        <v>2</v>
      </c>
      <c r="BU32" s="96" t="str">
        <f t="shared" ca="1" si="47"/>
        <v>Weitsprung_2[Resultat]</v>
      </c>
      <c r="BV32" s="97" t="str" cm="1">
        <f t="array" aca="1" ref="BV32" ca="1">IF(INDIRECT(BS$1)="","",IF(INDIRECT(BS$2)=0,0,IF(OR(INDIRECT(BS$1)=$A$2,INDIRECT(BS$1)=$A$3),$A$3,IFERROR(INDEX(INDIRECT(BU32),MATCH(INDIRECT(BS$3),INDIRECT(BU32),BU$25)),IFERROR(IF(BU$25=-1,MAX(INDIRECT(BU32)),IF(BU$25=1,MIN(INDIRECT(BU32)))),"")))))</f>
        <v/>
      </c>
      <c r="BX32" s="91" t="str">
        <f t="shared" ca="1" si="48"/>
        <v>Weitsprung_2[Note]</v>
      </c>
      <c r="BY32" s="97" t="str" cm="1">
        <f t="array" aca="1" ref="BY32" ca="1">IFERROR(INDEX(INDIRECT(BX32),MATCH(INDIRECT(BS$5),INDIRECT(BU32),0)),IF(INDIRECT(BS$5)=0,1,""))</f>
        <v/>
      </c>
      <c r="BZ32" s="97"/>
      <c r="CA32" s="307"/>
      <c r="CB32" s="96" t="str">
        <f>IFERROR(IFERROR(SUBSTITUTE(BallwurfResultat[[#This Row],[Eingabe]],".",",")*1,SUBSTITUTE(BallwurfResultat[[#This Row],[Eingabe]],",",".")*1),"")</f>
        <v/>
      </c>
      <c r="CC32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2" s="96"/>
      <c r="CE32" s="91" t="str" cm="1">
        <f t="array" aca="1" ref="CE32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2" s="96" t="str">
        <f ca="1">LEFT(Geschlecht[[#This Row],[Geschlecht (Skala)]],1)&amp;CK$4</f>
        <v>2</v>
      </c>
      <c r="CG32" s="96" t="str">
        <f t="shared" ca="1" si="49"/>
        <v>Ballwurf_2[Resultat]</v>
      </c>
      <c r="CH32" s="97" t="str" cm="1">
        <f t="array" aca="1" ref="CH32" ca="1">IF(INDIRECT(CE$1)="","",IF(INDIRECT(CE$2)=0,0,IF(OR(INDIRECT(CE$1)=$A$2,INDIRECT(CE$1)=$A$3),$A$3,IFERROR(INDEX(INDIRECT(CG32),MATCH(INDIRECT(CE$3),INDIRECT(CG32),CG$25)),IFERROR(IF(CG$25=-1,MAX(INDIRECT(CG32)),IF(CG$25=1,MIN(INDIRECT(CG32)))),"")))))</f>
        <v/>
      </c>
      <c r="CJ32" s="91" t="str">
        <f t="shared" ca="1" si="50"/>
        <v>Ballwurf_2[Note]</v>
      </c>
      <c r="CK32" s="97" t="str" cm="1">
        <f t="array" aca="1" ref="CK32" ca="1">IFERROR(INDEX(INDIRECT(CJ32),MATCH(INDIRECT(CE$5),INDIRECT(CG32),0)),IF(INDIRECT(CE$5)=0,1,""))</f>
        <v/>
      </c>
      <c r="CL32" s="97"/>
      <c r="CM32" s="307"/>
      <c r="CN32" s="96" t="str">
        <f>IFERROR(IFERROR(SUBSTITUTE(KugelstossenResultat[[#This Row],[Eingabe]],".",",")*1,SUBSTITUTE(KugelstossenResultat[[#This Row],[Eingabe]],",",".")*1),"")</f>
        <v/>
      </c>
      <c r="CO32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2" s="96"/>
      <c r="CQ32" s="91" t="str" cm="1">
        <f t="array" aca="1" ref="CQ32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2" s="96" t="str">
        <f ca="1">LEFT(Geschlecht[[#This Row],[Geschlecht (Skala)]],1)&amp;CW$4</f>
        <v>2</v>
      </c>
      <c r="CS32" s="96" t="str">
        <f t="shared" ca="1" si="51"/>
        <v>Kugelstossen_2[Resultat]</v>
      </c>
      <c r="CT32" s="97" t="str" cm="1">
        <f t="array" aca="1" ref="CT32" ca="1">IF(INDIRECT(CQ$1)="","",IF(INDIRECT(CQ$2)=0,0,IF(OR(INDIRECT(CQ$1)=$A$2,INDIRECT(CQ$1)=$A$3),$A$3,IFERROR(INDEX(INDIRECT(CS32),MATCH(INDIRECT(CQ$3),INDIRECT(CS32),CS$25)),IFERROR(IF(CS$25=-1,MAX(INDIRECT(CS32)),IF(CS$25=1,MIN(INDIRECT(CS32)))),"")))))</f>
        <v/>
      </c>
      <c r="CV32" s="91" t="str">
        <f t="shared" ca="1" si="52"/>
        <v>Kugelstossen_2[Note]</v>
      </c>
      <c r="CW32" s="97" t="str" cm="1">
        <f t="array" aca="1" ref="CW32" ca="1">IFERROR(INDEX(INDIRECT(CV32),MATCH(INDIRECT(CQ$5),INDIRECT(CS32),0)),IF(INDIRECT(CQ$5)=0,1,""))</f>
        <v/>
      </c>
      <c r="CX32" s="97"/>
      <c r="CY32" s="307"/>
      <c r="CZ32" s="96" t="str">
        <f>IFERROR(IFERROR(SUBSTITUTE(SpeerwurfResultat[[#This Row],[Eingabe]],".",",")*1,SUBSTITUTE(SpeerwurfResultat[[#This Row],[Eingabe]],",",".")*1),"")</f>
        <v/>
      </c>
      <c r="DA32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2" s="96"/>
      <c r="DC32" s="91" t="str" cm="1">
        <f t="array" aca="1" ref="DC32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2" s="96" t="str">
        <f ca="1">LEFT(Geschlecht[[#This Row],[Geschlecht (Skala)]],1)&amp;DI$4</f>
        <v>2</v>
      </c>
      <c r="DE32" s="96" t="str">
        <f t="shared" ca="1" si="53"/>
        <v>Speerwurf_2[Resultat]</v>
      </c>
      <c r="DF32" s="97" t="str" cm="1">
        <f t="array" aca="1" ref="DF32" ca="1">IF(INDIRECT(DC$1)="","",IF(INDIRECT(DC$2)=0,0,IF(OR(INDIRECT(DC$1)=$A$2,INDIRECT(DC$1)=$A$3),$A$3,IFERROR(INDEX(INDIRECT(DE32),MATCH(INDIRECT(DC$3),INDIRECT(DE32),DE$25)),IFERROR(IF(DE$25=-1,MAX(INDIRECT(DE32)),IF(DE$25=1,MIN(INDIRECT(DE32)))),"")))))</f>
        <v/>
      </c>
      <c r="DH32" s="91" t="str">
        <f t="shared" ca="1" si="54"/>
        <v>Speerwurf_2[Note]</v>
      </c>
      <c r="DI32" s="97" t="str" cm="1">
        <f t="array" aca="1" ref="DI32" ca="1">IFERROR(INDEX(INDIRECT(DH32),MATCH(INDIRECT(DC$5),INDIRECT(DE32),0)),IF(INDIRECT(DC$5)=0,1,""))</f>
        <v/>
      </c>
      <c r="DJ32" s="97"/>
      <c r="DK32" s="97" t="str" cm="1">
        <f t="array" aca="1" ref="DK32" ca="1">INDIRECT(DK$5)</f>
        <v/>
      </c>
      <c r="DL32" s="97" t="str" cm="1">
        <f t="array" aca="1" ref="DL32" ca="1">INDIRECT(DL$5)</f>
        <v/>
      </c>
      <c r="DM32" s="97" t="str" cm="1">
        <f t="array" aca="1" ref="DM32" ca="1">INDIRECT(DM$5)</f>
        <v/>
      </c>
      <c r="DN32" s="97" t="str" cm="1">
        <f t="array" aca="1" ref="DN32" ca="1">INDIRECT(DN$5)</f>
        <v/>
      </c>
      <c r="DO32" s="97" t="str">
        <f t="shared" ca="1" si="135"/>
        <v>Sprintdisziplinen nicht durchgeführt</v>
      </c>
      <c r="DP32" s="97" t="str">
        <f t="shared" ca="1" si="136"/>
        <v/>
      </c>
      <c r="DQ32" s="108">
        <f t="shared" ca="1" si="137"/>
        <v>0</v>
      </c>
      <c r="DR32" s="108">
        <f t="shared" ca="1" si="138"/>
        <v>0</v>
      </c>
      <c r="DS32" s="108" t="str">
        <f t="shared" ca="1" si="139"/>
        <v/>
      </c>
      <c r="DT32" s="97" t="str">
        <f t="shared" ca="1" si="140"/>
        <v>Sprintdisziplinen nicht durchgeführt</v>
      </c>
      <c r="DU32" s="97" t="str">
        <f t="shared" ca="1" si="141"/>
        <v/>
      </c>
      <c r="DV32" s="97" t="str" cm="1">
        <f t="array" aca="1" ref="DV32" ca="1">IFERROR(IF(INDIRECT(INDEX(INDIRECT(DV$5),MATCH(DT32,INDIRECT(DV$4),0)))&lt;&gt;"",INDEX(INDIRECT(DV$5),MATCH(DT32,INDIRECT(DV$4),0)),INDEX(INDIRECT(DV$6),MATCH(DT32,INDIRECT(DV$4),0))),"")</f>
        <v/>
      </c>
      <c r="DW32" s="97" t="str">
        <f t="shared" ca="1" si="142"/>
        <v/>
      </c>
      <c r="DX32" s="97" t="str" cm="1">
        <f t="array" aca="1" ref="DX32" ca="1">IFERROR(INDIRECT(DV32),IF(NOT(ISERROR(FIND(Stammdaten!$CC$3,DT32,1))),$A$2,""))</f>
        <v/>
      </c>
      <c r="DY32" s="97" t="str">
        <f ca="1">IF(DX32="","",IF(AND(DU32=Stammdaten!$BX$20,DW32="0",DX32=1),SUBSTITUTE(TEXT(DX32,DW32)&amp;" "&amp;LEFT(DU32,LEN(DU32)-1),".",","),SUBSTITUTE(TEXT(DX32,DW32)&amp;" "&amp;DU32,".",",")))</f>
        <v/>
      </c>
      <c r="DZ32" s="97" t="str">
        <f t="shared" ca="1" si="55"/>
        <v/>
      </c>
      <c r="EA32" s="97" t="str" cm="1">
        <f t="array" aca="1" ref="EA32" ca="1">IFERROR(LEFT(INDIRECT(DZ32),1)&amp;"]","")</f>
        <v/>
      </c>
      <c r="EB32" s="97" t="str">
        <f t="shared" ca="1" si="56"/>
        <v/>
      </c>
      <c r="EC32" s="97" t="str">
        <f ca="1">IFERROR(LEFT(DT32,FIND(Stammdaten!$CA$4,DT32,1)-2),IFERROR(LEFT(DT32,FIND(Stammdaten!$CC$3,DT32,1)-2),DT32))</f>
        <v>Sprintdisziplinen</v>
      </c>
      <c r="ED32" s="97" t="str">
        <f ca="1">IF(NOT(ISERROR(FIND(Stammdaten!$CA$4,DT32,1))),Stammdaten!$CA$4,IF(EE32&lt;&gt;Stammdaten!$CC$3,EB32,""))</f>
        <v>nicht durchgeführt</v>
      </c>
      <c r="EE32" s="91" t="str">
        <f ca="1">IF(DX32=$A$2,Stammdaten!$CC$3,DY32)</f>
        <v/>
      </c>
      <c r="EF32" s="97" t="str" cm="1">
        <f t="array" aca="1" ref="EF32" ca="1">INDIRECT(EF$5)</f>
        <v/>
      </c>
      <c r="EG32" s="97" t="str" cm="1">
        <f t="array" aca="1" ref="EG32" ca="1">INDIRECT(EG$5)</f>
        <v/>
      </c>
      <c r="EH32" s="97" t="str" cm="1">
        <f t="array" aca="1" ref="EH32" ca="1">INDIRECT(EH$5)</f>
        <v/>
      </c>
      <c r="EI32" s="97" t="str" cm="1">
        <f t="array" aca="1" ref="EI32" ca="1">INDIRECT(EI$5)</f>
        <v/>
      </c>
      <c r="EJ32" s="97" t="str">
        <f t="shared" ca="1" si="143"/>
        <v>Ausdauerdisziplinen nicht durchgeführt</v>
      </c>
      <c r="EK32" s="97" t="str">
        <f t="shared" ca="1" si="144"/>
        <v/>
      </c>
      <c r="EL32" s="108">
        <f t="shared" ca="1" si="145"/>
        <v>0</v>
      </c>
      <c r="EM32" s="108">
        <f t="shared" ca="1" si="146"/>
        <v>0</v>
      </c>
      <c r="EN32" s="108" t="str">
        <f t="shared" ca="1" si="147"/>
        <v/>
      </c>
      <c r="EO32" s="97" t="str">
        <f t="shared" ca="1" si="148"/>
        <v>Ausdauerdisziplinen nicht durchgeführt</v>
      </c>
      <c r="EP32" s="97" t="str">
        <f t="shared" ca="1" si="149"/>
        <v/>
      </c>
      <c r="EQ32" s="97" t="str" cm="1">
        <f t="array" aca="1" ref="EQ32" ca="1">IFERROR(IF(INDIRECT(INDEX(INDIRECT(EQ$5),MATCH(EO32,INDIRECT(EQ$4),0)))&lt;&gt;"",INDEX(INDIRECT(EQ$5),MATCH(EO32,INDIRECT(EQ$4),0)),INDEX(INDIRECT(EQ$6),MATCH(EO32,INDIRECT(EQ$4),0))),"")</f>
        <v/>
      </c>
      <c r="ER32" s="97" t="str">
        <f t="shared" ca="1" si="150"/>
        <v/>
      </c>
      <c r="ES32" s="97" t="str" cm="1">
        <f t="array" aca="1" ref="ES32" ca="1">IFERROR(INDIRECT(EQ32),IF(NOT(ISERROR(FIND(Stammdaten!$CC$3,EO32,1))),$A$2,""))</f>
        <v/>
      </c>
      <c r="ET32" s="97" t="str">
        <f ca="1">IF(ES32="","",IF(AND(EP32=Stammdaten!$BX$20,ER32="0",ES32=1),SUBSTITUTE(TEXT(ES32,ER32)&amp;" "&amp;LEFT(EP32,LEN(EP32)-1),".",","),SUBSTITUTE(TEXT(ES32,ER32)&amp;" "&amp;EP32,".",",")))</f>
        <v/>
      </c>
      <c r="EU32" s="97" t="str">
        <f t="shared" ca="1" si="57"/>
        <v/>
      </c>
      <c r="EV32" s="97" t="str" cm="1">
        <f t="array" aca="1" ref="EV32" ca="1">IFERROR(LEFT(INDIRECT(EU32),1)&amp;"]","")</f>
        <v/>
      </c>
      <c r="EW32" s="97" t="str">
        <f t="shared" ca="1" si="58"/>
        <v/>
      </c>
      <c r="EX32" s="97" t="str">
        <f ca="1">IFERROR(LEFT(EO32,FIND(Stammdaten!$CA$4,EO32,1)-2),IFERROR(LEFT(EO32,FIND(Stammdaten!$CC$3,EO32,1)-2),EO32))</f>
        <v>Ausdauerdisziplinen</v>
      </c>
      <c r="EY32" s="97" t="str">
        <f ca="1">IF(NOT(ISERROR(FIND(Stammdaten!$CA$4,EO32,1))),Stammdaten!$CA$4,IF(EZ32&lt;&gt;Stammdaten!$CC$3,EW32,""))</f>
        <v>nicht durchgeführt</v>
      </c>
      <c r="EZ32" s="91" t="str">
        <f ca="1">IF(ES32=$A$2,Stammdaten!$CC$3,ET32)</f>
        <v/>
      </c>
      <c r="FA32" s="97" t="str" cm="1">
        <f t="array" aca="1" ref="FA32" ca="1">INDIRECT(FA$5)</f>
        <v/>
      </c>
      <c r="FB32" s="97" t="str" cm="1">
        <f t="array" aca="1" ref="FB32" ca="1">INDIRECT(FB$5)</f>
        <v/>
      </c>
      <c r="FC32" s="97" t="str" cm="1">
        <f t="array" aca="1" ref="FC32" ca="1">INDIRECT(FC$5)</f>
        <v/>
      </c>
      <c r="FD32" s="97" t="str" cm="1">
        <f t="array" aca="1" ref="FD32" ca="1">INDIRECT(FD$5)</f>
        <v/>
      </c>
      <c r="FE32" s="97" t="str">
        <f t="shared" ca="1" si="151"/>
        <v>Sprungdisziplinen nicht durchgeführt</v>
      </c>
      <c r="FF32" s="97" t="str">
        <f t="shared" ca="1" si="152"/>
        <v/>
      </c>
      <c r="FG32" s="108">
        <f t="shared" ca="1" si="153"/>
        <v>0</v>
      </c>
      <c r="FH32" s="108">
        <f t="shared" ca="1" si="154"/>
        <v>0</v>
      </c>
      <c r="FI32" s="108" t="str">
        <f t="shared" ca="1" si="155"/>
        <v/>
      </c>
      <c r="FJ32" s="97" t="str">
        <f t="shared" ca="1" si="156"/>
        <v>Sprungdisziplinen nicht durchgeführt</v>
      </c>
      <c r="FK32" s="97" t="str">
        <f t="shared" ca="1" si="157"/>
        <v/>
      </c>
      <c r="FL32" s="97" t="str" cm="1">
        <f t="array" aca="1" ref="FL32" ca="1">IFERROR(IF(INDIRECT(INDEX(INDIRECT(FL$5),MATCH(FJ32,INDIRECT(FL$4),0)))&lt;&gt;"",INDEX(INDIRECT(FL$5),MATCH(FJ32,INDIRECT(FL$4),0)),INDEX(INDIRECT(FL$6),MATCH(FJ32,INDIRECT(FL$4),0))),"")</f>
        <v/>
      </c>
      <c r="FM32" s="97" t="str">
        <f t="shared" ca="1" si="158"/>
        <v/>
      </c>
      <c r="FN32" s="97" t="str" cm="1">
        <f t="array" aca="1" ref="FN32" ca="1">IFERROR(INDIRECT(FL32),IF(NOT(ISERROR(FIND(Stammdaten!$CC$3,FJ32,1))),$A$2,""))</f>
        <v/>
      </c>
      <c r="FO32" s="97" t="str">
        <f ca="1">IF(FN32="","",IF(AND(FK32=Stammdaten!$BX$20,FM32="0",FN32=1),SUBSTITUTE(TEXT(FN32,FM32)&amp;" "&amp;LEFT(FK32,LEN(FK32)-1),".",","),SUBSTITUTE(TEXT(FN32,FM32)&amp;" "&amp;FK32,".",",")))</f>
        <v/>
      </c>
      <c r="FP32" s="97" t="str">
        <f t="shared" ca="1" si="59"/>
        <v/>
      </c>
      <c r="FQ32" s="97" t="str" cm="1">
        <f t="array" aca="1" ref="FQ32" ca="1">IFERROR(LEFT(INDIRECT(FP32),1)&amp;"]","")</f>
        <v/>
      </c>
      <c r="FR32" s="97" t="str">
        <f t="shared" ca="1" si="60"/>
        <v/>
      </c>
      <c r="FS32" s="97" t="str">
        <f ca="1">IFERROR(LEFT(FJ32,FIND(Stammdaten!$CA$4,FJ32,1)-2),IFERROR(LEFT(FJ32,FIND(Stammdaten!$CC$3,FJ32,1)-2),FJ32))</f>
        <v>Sprungdisziplinen</v>
      </c>
      <c r="FT32" s="97" t="str">
        <f ca="1">IF(NOT(ISERROR(FIND(Stammdaten!$CA$4,FJ32,1))),Stammdaten!$CA$4,IF(FU32&lt;&gt;Stammdaten!$CC$3,FR32,""))</f>
        <v>nicht durchgeführt</v>
      </c>
      <c r="FU32" s="91" t="str">
        <f ca="1">IF(FN32=$A$2,Stammdaten!$CC$3,FO32)</f>
        <v/>
      </c>
      <c r="FV32" s="97" t="str" cm="1">
        <f t="array" aca="1" ref="FV32" ca="1">INDIRECT(FV$5)</f>
        <v/>
      </c>
      <c r="FW32" s="97" t="str" cm="1">
        <f t="array" aca="1" ref="FW32" ca="1">INDIRECT(FW$5)</f>
        <v/>
      </c>
      <c r="FX32" s="97" t="str" cm="1">
        <f t="array" aca="1" ref="FX32" ca="1">INDIRECT(FX$5)</f>
        <v/>
      </c>
      <c r="FY32" s="97" t="str" cm="1">
        <f t="array" aca="1" ref="FY32" ca="1">INDIRECT(FY$5)</f>
        <v/>
      </c>
      <c r="FZ32" s="97" t="str" cm="1">
        <f t="array" aca="1" ref="FZ32" ca="1">INDIRECT(FZ$5)</f>
        <v/>
      </c>
      <c r="GA32" s="97" t="str" cm="1">
        <f t="array" aca="1" ref="GA32" ca="1">INDIRECT(GA$5)</f>
        <v/>
      </c>
      <c r="GB32" s="97" t="str">
        <f t="shared" ca="1" si="159"/>
        <v>Wurfdisziplinen nicht durchgeführt</v>
      </c>
      <c r="GC32" s="97" t="str">
        <f t="shared" ca="1" si="160"/>
        <v/>
      </c>
      <c r="GD32" s="108">
        <f t="shared" ca="1" si="161"/>
        <v>0</v>
      </c>
      <c r="GE32" s="108">
        <f t="shared" ca="1" si="162"/>
        <v>0</v>
      </c>
      <c r="GF32" s="108" t="str">
        <f t="shared" ca="1" si="163"/>
        <v/>
      </c>
      <c r="GG32" s="97" t="str">
        <f t="shared" ca="1" si="164"/>
        <v>Wurfdisziplinen nicht durchgeführt</v>
      </c>
      <c r="GH32" s="97" t="str">
        <f t="shared" ca="1" si="165"/>
        <v/>
      </c>
      <c r="GI32" s="97" t="str" cm="1">
        <f t="array" aca="1" ref="GI32" ca="1">IFERROR(IF(INDIRECT(INDEX(INDIRECT(GI$5),MATCH(GG32,INDIRECT(GI$4),0)))&lt;&gt;"",INDEX(INDIRECT(GI$5),MATCH(GG32,INDIRECT(GI$4),0)),INDEX(INDIRECT(GI$6),MATCH(GG32,INDIRECT(GI$4),0))),"")</f>
        <v/>
      </c>
      <c r="GJ32" s="97" t="str">
        <f t="shared" ca="1" si="166"/>
        <v/>
      </c>
      <c r="GK32" s="97" t="str" cm="1">
        <f t="array" aca="1" ref="GK32" ca="1">IFERROR(INDIRECT(GI32),IF(NOT(ISERROR(FIND(Stammdaten!$CC$3,GG32,1))),$A$2,""))</f>
        <v/>
      </c>
      <c r="GL32" s="97" t="str">
        <f ca="1">IF(GK32="","",IF(AND(GH32=Stammdaten!$BX$20,GJ32="0",GK32=1),SUBSTITUTE(TEXT(GK32,GJ32)&amp;" "&amp;LEFT(GH32,LEN(GH32)-1),".",","),SUBSTITUTE(TEXT(GK32,GJ32)&amp;" "&amp;GH32,".",",")))</f>
        <v/>
      </c>
      <c r="GM32" s="97" t="str">
        <f t="shared" ca="1" si="61"/>
        <v/>
      </c>
      <c r="GN32" s="97" t="str" cm="1">
        <f t="array" aca="1" ref="GN32" ca="1">IFERROR(LEFT(INDIRECT(GM32),1)&amp;"]","")</f>
        <v/>
      </c>
      <c r="GO32" s="97" t="str">
        <f t="shared" ca="1" si="62"/>
        <v/>
      </c>
      <c r="GP32" s="97" t="str">
        <f ca="1">IFERROR(LEFT(GG32,FIND(Stammdaten!$CA$4,GG32,1)-2),IFERROR(LEFT(GG32,FIND(Stammdaten!$CC$3,GG32,1)-2),GG32))</f>
        <v>Wurfdisziplinen</v>
      </c>
      <c r="GQ32" s="97" t="str">
        <f ca="1">IF(NOT(ISERROR(FIND(Stammdaten!$CA$4,GG32,1))),Stammdaten!$CA$4,IF(GR32&lt;&gt;Stammdaten!$CC$3,GO32,""))</f>
        <v>nicht durchgeführt</v>
      </c>
      <c r="GR32" s="91" t="str">
        <f ca="1">IF(GK32=$A$2,Stammdaten!$CC$3,GL32)</f>
        <v/>
      </c>
      <c r="GS32" s="97" t="str">
        <f t="shared" ca="1" si="63"/>
        <v/>
      </c>
      <c r="GT32" s="97" t="str">
        <f t="shared" ca="1" si="64"/>
        <v/>
      </c>
      <c r="GU32" s="97" t="str">
        <f t="shared" ca="1" si="65"/>
        <v/>
      </c>
      <c r="GV32" s="97" t="str">
        <f t="shared" ca="1" si="66"/>
        <v/>
      </c>
      <c r="GW32" s="97">
        <f t="shared" ca="1" si="167"/>
        <v>0</v>
      </c>
      <c r="GX32" s="108">
        <f t="shared" ca="1" si="168"/>
        <v>0</v>
      </c>
      <c r="GY32" s="108">
        <f t="shared" ca="1" si="169"/>
        <v>0</v>
      </c>
      <c r="GZ32" s="108" t="str">
        <f t="shared" ca="1" si="170"/>
        <v/>
      </c>
      <c r="HA32" s="97" t="str">
        <f ca="1">IF(GZ32="",Stammdaten!$BZ$1,IF(AND(GX32=0,GY32&gt;=GZ$25),$A$3,ROUND(SUM(GW32/GZ32)/HA$25,0)*HA$25))</f>
        <v>Zu wenige Werte</v>
      </c>
      <c r="HB32" s="108">
        <f t="shared" ca="1" si="171"/>
        <v>6</v>
      </c>
      <c r="HC32" s="97" t="str">
        <f t="shared" ca="1" si="172"/>
        <v/>
      </c>
      <c r="HD32" s="97" t="str">
        <f t="shared" ca="1" si="173"/>
        <v/>
      </c>
      <c r="HE32" s="97" t="str">
        <f t="shared" ca="1" si="174"/>
        <v/>
      </c>
      <c r="HF32" s="97" t="str">
        <f t="shared" ca="1" si="175"/>
        <v/>
      </c>
      <c r="HG32" s="97" t="str">
        <f t="shared" ca="1" si="176"/>
        <v/>
      </c>
      <c r="HH32" s="97" t="str">
        <f t="shared" ca="1" si="177"/>
        <v>g</v>
      </c>
      <c r="HI32" s="97" t="str">
        <f t="shared" ca="1" si="178"/>
        <v/>
      </c>
      <c r="HJ32" s="97">
        <f t="shared" ca="1" si="179"/>
        <v>1</v>
      </c>
      <c r="HK32" s="97" t="str">
        <f ca="1">IF(OR(Geschlecht[[#This Row],[Geschlecht (Skala)]]="",NOT(ISNUMBER(GZ32))),"",HJ32)</f>
        <v/>
      </c>
      <c r="HL32" s="97" t="str">
        <f t="shared" ca="1" si="180"/>
        <v/>
      </c>
      <c r="HM32" s="97"/>
      <c r="HN32" s="308" t="str">
        <f t="shared" ca="1" si="68"/>
        <v>Zu wenige Werte</v>
      </c>
      <c r="HO32" s="97"/>
      <c r="HP32" s="307"/>
      <c r="HQ32" s="96" t="str">
        <f>IFERROR(IFERROR(SUBSTITUTE(ReckResultat[[#This Row],[Eingabe]],".",",")*1,SUBSTITUTE(ReckResultat[[#This Row],[Eingabe]],",",".")*1),"")</f>
        <v/>
      </c>
      <c r="HR32" s="96" t="e">
        <f>INT(ReckResultat[[#This Row],[Resultat]])=ReckResultat[[#This Row],[Resultat]]</f>
        <v>#VALUE!</v>
      </c>
      <c r="HS32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2" s="96"/>
      <c r="HX32" s="97"/>
      <c r="HY32" s="307"/>
      <c r="HZ32" s="96" t="str">
        <f>IFERROR(IFERROR(SUBSTITUTE(BodenResultat[[#This Row],[Eingabe]],".",",")*1,SUBSTITUTE(BodenResultat[[#This Row],[Eingabe]],",",".")*1),"")</f>
        <v/>
      </c>
      <c r="IA32" s="96" t="e">
        <f>INT(BodenResultat[[#This Row],[Resultat]])=BodenResultat[[#This Row],[Resultat]]</f>
        <v>#VALUE!</v>
      </c>
      <c r="IB32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2" s="96"/>
      <c r="IG32" s="97"/>
      <c r="IH32" s="307"/>
      <c r="II32" s="96" t="str">
        <f>IFERROR(IFERROR(SUBSTITUTE(StufenbarrenResultat[[#This Row],[Eingabe]],".",",")*1,SUBSTITUTE(StufenbarrenResultat[[#This Row],[Eingabe]],",",".")*1),"")</f>
        <v/>
      </c>
      <c r="IJ32" s="96" t="e">
        <f>INT(StufenbarrenResultat[[#This Row],[Resultat]])=StufenbarrenResultat[[#This Row],[Resultat]]</f>
        <v>#VALUE!</v>
      </c>
      <c r="IK32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2" s="96"/>
      <c r="IP32" s="97"/>
      <c r="IQ32" s="307"/>
      <c r="IR32" s="96" t="str">
        <f>IFERROR(IFERROR(SUBSTITUTE(ParallelbarrenResultat[[#This Row],[Eingabe]],".",",")*1,SUBSTITUTE(ParallelbarrenResultat[[#This Row],[Eingabe]],",",".")*1),"")</f>
        <v/>
      </c>
      <c r="IS32" s="96" t="e">
        <f>INT(ParallelbarrenResultat[[#This Row],[Resultat]])=ParallelbarrenResultat[[#This Row],[Resultat]]</f>
        <v>#VALUE!</v>
      </c>
      <c r="IT32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2" s="96"/>
      <c r="IY32" s="97"/>
      <c r="IZ32" s="307"/>
      <c r="JA32" s="96" t="str">
        <f>IFERROR(IFERROR(SUBSTITUTE(SchaukelringeResultat[[#This Row],[Eingabe]],".",",")*1,SUBSTITUTE(SchaukelringeResultat[[#This Row],[Eingabe]],",",".")*1),"")</f>
        <v/>
      </c>
      <c r="JB32" s="96" t="e">
        <f>INT(SchaukelringeResultat[[#This Row],[Resultat]])=SchaukelringeResultat[[#This Row],[Resultat]]</f>
        <v>#VALUE!</v>
      </c>
      <c r="JC32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2" s="96"/>
      <c r="JH32" s="97"/>
      <c r="JI32" s="307"/>
      <c r="JJ32" s="96" t="str">
        <f>IFERROR(IFERROR(SUBSTITUTE(SprungResultat[[#This Row],[Eingabe]],".",",")*1,SUBSTITUTE(SprungResultat[[#This Row],[Eingabe]],",",".")*1),"")</f>
        <v/>
      </c>
      <c r="JK32" s="96" t="e">
        <f>INT(SprungResultat[[#This Row],[Resultat]])=SprungResultat[[#This Row],[Resultat]]</f>
        <v>#VALUE!</v>
      </c>
      <c r="JL32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2" s="96"/>
      <c r="JQ32" s="97"/>
      <c r="JR32" s="309" t="str" cm="1">
        <f t="array" aca="1" ref="JR32" ca="1">IF(AND(ISNUMBER(INDIRECT(JR$3)),INDIRECT(JR$3)&gt;0),INDIRECT(JR$3),"")</f>
        <v/>
      </c>
      <c r="JS32" s="309" t="str" cm="1">
        <f t="array" aca="1" ref="JS32" ca="1">IF(AND(ISNUMBER(INDIRECT(JS$3)),INDIRECT(JS$3)&gt;0),INDIRECT(JS$3),"")</f>
        <v/>
      </c>
      <c r="JT32" s="309" t="str" cm="1">
        <f t="array" aca="1" ref="JT32" ca="1">IF(AND(ISNUMBER(INDIRECT(JT$3)),INDIRECT(JT$3)&gt;0),INDIRECT(JT$3),"")</f>
        <v/>
      </c>
      <c r="JU32" s="309" t="str" cm="1">
        <f t="array" aca="1" ref="JU32" ca="1">IF(AND(ISNUMBER(INDIRECT(JU$3)),INDIRECT(JU$3)&gt;0),INDIRECT(JU$3),"")</f>
        <v/>
      </c>
      <c r="JV32" s="309" t="str" cm="1">
        <f t="array" aca="1" ref="JV32" ca="1">IF(AND(ISNUMBER(INDIRECT(JV$3)),INDIRECT(JV$3)&gt;0),INDIRECT(JV$3),"")</f>
        <v/>
      </c>
      <c r="JW32" s="309" t="str" cm="1">
        <f t="array" aca="1" ref="JW32" ca="1">IF(AND(ISNUMBER(INDIRECT(JW$3)),INDIRECT(JW$3)&gt;0),INDIRECT(JW$3),"")</f>
        <v/>
      </c>
      <c r="JX32" s="309" t="str">
        <f t="shared" ca="1" si="69"/>
        <v>x</v>
      </c>
      <c r="JY32" s="309" t="str">
        <f t="shared" ca="1" si="70"/>
        <v>y</v>
      </c>
      <c r="JZ32" s="309" t="str">
        <f t="shared" ca="1" si="71"/>
        <v>z</v>
      </c>
      <c r="KA32" s="309" t="str">
        <f t="shared" ca="1" si="181"/>
        <v>a</v>
      </c>
      <c r="KB32" s="309" t="str" cm="1">
        <f t="array" aca="1" ref="KB32" ca="1">IF(KA32="a","",INDEX($JR$23:$JW$23,,MATCH(KA32,$JR32:$JW32,0)))</f>
        <v/>
      </c>
      <c r="KC32" s="309" t="str" cm="1">
        <f t="array" aca="1" ref="KC32" ca="1">IF(OR(KB32="",KB32&gt;=$JW$23),"",INDEX(INDIRECT(ADDRESS(ROW($JR$23),KB32+1)):$JW$23,,MATCH(KA32,INDIRECT(ADDRESS(ROW(),KB32+1)):$JW32,0)))</f>
        <v/>
      </c>
      <c r="KD32" s="309" t="str" cm="1">
        <f t="array" aca="1" ref="KD32" ca="1">IF(OR(KC32="",KC32&gt;=$JW$23),"",INDEX(INDIRECT(ADDRESS(ROW($JR$23),KC32+1)):$JW$23,,MATCH(KA32,INDIRECT(ADDRESS(ROW(),KC32+1)):$JW32,0)))</f>
        <v/>
      </c>
      <c r="KE32" s="309" t="str">
        <f t="shared" ca="1" si="182"/>
        <v>c</v>
      </c>
      <c r="KF32" s="309" t="str" cm="1">
        <f t="array" aca="1" ref="KF32" ca="1">IF(OR(KE32="b",KE32="c"),"",INDEX($JR$23:$JW$23,,MATCH(KE32,$JR32:$JW32,0)))</f>
        <v/>
      </c>
      <c r="KG32" s="309" t="str" cm="1">
        <f t="array" aca="1" ref="KG32" ca="1">IF(OR(KF32="",KF32&gt;=$JW$23),"",INDEX(INDIRECT(ADDRESS(ROW($JR$23),KF32+1)):$JW$23,,MATCH(KE32,INDIRECT(ADDRESS(ROW(),KF32+1)):$JW32,0)))</f>
        <v/>
      </c>
      <c r="KH32" s="309" t="str">
        <f t="shared" ca="1" si="72"/>
        <v/>
      </c>
      <c r="KI32" s="309" t="str">
        <f t="shared" ca="1" si="183"/>
        <v>e</v>
      </c>
      <c r="KJ32" s="309" t="str">
        <f t="shared" ca="1" si="73"/>
        <v/>
      </c>
      <c r="KK32" s="309" t="str" cm="1">
        <f t="array" aca="1" ref="KK32" ca="1">IF(OR(KI32="d",KI32="e"),"",INDEX($JR$23:$JW$23,,MATCH(KI32,$JR32:$JW32,0)))</f>
        <v/>
      </c>
      <c r="KL32" s="309" t="str" cm="1">
        <f t="array" aca="1" ref="KL32" ca="1">IF(OR(KK32="",KK32&gt;=$JW$23),"",INDEX(INDIRECT(ADDRESS(ROW($JR$23),KK32+1)):$JW$23,,MATCH(KI32,INDIRECT(ADDRESS(ROW(),KK32+1)):$JW32,0)))</f>
        <v/>
      </c>
      <c r="KM32" s="309" t="str" cm="1">
        <f t="array" aca="1" ref="KM32" ca="1">IFERROR(IF(ISNUMBER(KB32),KB32,IF(ISNUMBER(KF32),KF32,IF(ISNUMBER(KJ32),KJ32,INDEX($JR$23:$JW$23,,MATCH(JX32,$JR32:$JW32,0))))),"x1")</f>
        <v>x1</v>
      </c>
      <c r="KN32" s="309" t="str" cm="1">
        <f t="array" aca="1" ref="KN32" ca="1">IFERROR(IF(ISNUMBER(KC32),KC32,IF(ISNUMBER(KG32),KG32,IF(ISNUMBER(KK32),KK32,INDEX($JR$23:$JW$23,,MATCH(JY32,$JR32:$JW32,0))))),IF(KM32="x1","x2","x1"))</f>
        <v>x2</v>
      </c>
      <c r="KO32" s="309" t="str" cm="1">
        <f t="array" aca="1" ref="KO32" ca="1">IFERROR(IF(ISNUMBER(KD32),KD32,IF(ISNUMBER(KH32),KH32,IF(ISNUMBER(KL32),KL32,INDEX($JR$23:$JW$23,,MATCH(JZ32,$JR32:$JW32,0))))),IF(KN32="x1","x2",IF(KN32="x2","x3","x1")))</f>
        <v>x3</v>
      </c>
      <c r="KP32" s="97" t="str" cm="1">
        <f t="array" aca="1" ref="KP32" ca="1">IF(OR(INDIRECT(KP$3)=$A$2,INDIRECT(KP$3)=$A$3),COLUMN(),"")</f>
        <v/>
      </c>
      <c r="KQ32" s="97" t="str" cm="1">
        <f t="array" aca="1" ref="KQ32" ca="1">IF(OR(INDIRECT(KQ$3)=$A$2,INDIRECT(KQ$3)=$A$3),COLUMN(),"")</f>
        <v/>
      </c>
      <c r="KR32" s="97" t="str" cm="1">
        <f t="array" aca="1" ref="KR32" ca="1">IF(OR(INDIRECT(KR$3)=$A$2,INDIRECT(KR$3)=$A$3),COLUMN(),"")</f>
        <v/>
      </c>
      <c r="KS32" s="97" t="str" cm="1">
        <f t="array" aca="1" ref="KS32" ca="1">IF(OR(INDIRECT(KS$3)=$A$2,INDIRECT(KS$3)=$A$3),COLUMN(),"")</f>
        <v/>
      </c>
      <c r="KT32" s="97" t="str" cm="1">
        <f t="array" aca="1" ref="KT32" ca="1">IF(OR(INDIRECT(KT$3)=$A$2,INDIRECT(KT$3)=$A$3),COLUMN(),"")</f>
        <v/>
      </c>
      <c r="KU32" s="97" t="str" cm="1">
        <f t="array" aca="1" ref="KU32" ca="1">IF(OR(INDIRECT(KU$3)=$A$2,INDIRECT(KU$3)=$A$3),COLUMN(),"")</f>
        <v/>
      </c>
      <c r="KV32" s="97" t="str" cm="1">
        <f t="array" aca="1" ref="KV32" ca="1">IF(AND(ISNUMBER(INDIRECT(KV$3)),INDIRECT(KV$3)=0),COLUMN(),"")</f>
        <v/>
      </c>
      <c r="KW32" s="97" t="str" cm="1">
        <f t="array" aca="1" ref="KW32" ca="1">IF(AND(ISNUMBER(INDIRECT(KW$3)),INDIRECT(KW$3)=0),COLUMN(),"")</f>
        <v/>
      </c>
      <c r="KX32" s="97" t="str" cm="1">
        <f t="array" aca="1" ref="KX32" ca="1">IF(AND(ISNUMBER(INDIRECT(KX$3)),INDIRECT(KX$3)=0),COLUMN(),"")</f>
        <v/>
      </c>
      <c r="KY32" s="97" t="str" cm="1">
        <f t="array" aca="1" ref="KY32" ca="1">IF(AND(ISNUMBER(INDIRECT(KY$3)),INDIRECT(KY$3)=0),COLUMN(),"")</f>
        <v/>
      </c>
      <c r="KZ32" s="97" t="str" cm="1">
        <f t="array" aca="1" ref="KZ32" ca="1">IF(AND(ISNUMBER(INDIRECT(KZ$3)),INDIRECT(KZ$3)=0),COLUMN(),"")</f>
        <v/>
      </c>
      <c r="LA32" s="97" t="str" cm="1">
        <f t="array" aca="1" ref="LA32" ca="1">IF(AND(ISNUMBER(INDIRECT(LA$3)),INDIRECT(LA$3)=0),COLUMN(),"")</f>
        <v/>
      </c>
      <c r="LB32" s="97" t="str">
        <f t="shared" ca="1" si="184"/>
        <v>x1</v>
      </c>
      <c r="LC32" s="97" t="str">
        <f t="shared" ca="1" si="185"/>
        <v>x2</v>
      </c>
      <c r="LD32" s="97" t="str">
        <f t="shared" ca="1" si="186"/>
        <v>x3</v>
      </c>
      <c r="LE32" s="97" t="str">
        <f ca="1">IFERROR(IF(ISNUMBER(LB32),LB32,SMALL($KV32:$LA32,VALUE(RIGHT(LB32,1)))),Stammdaten!$CA$17)</f>
        <v>Erstes Gerät nicht durchgeführt</v>
      </c>
      <c r="LF32" s="97" t="str">
        <f ca="1">IFERROR(IF(ISNUMBER(LC32),LC32,SMALL($KV32:$LA32,VALUE(RIGHT(LC32,1)))),Stammdaten!$CA$18)</f>
        <v>Zweites Gerät nicht durchgeführt</v>
      </c>
      <c r="LG32" s="97" t="str">
        <f ca="1">IFERROR(IF(ISNUMBER(LD32),LD32,SMALL($KV32:$LA32,VALUE(RIGHT(LD32,1)))),Stammdaten!$CA$19)</f>
        <v>Drittes Gerät nicht durchgeführt</v>
      </c>
      <c r="LH32" s="91" t="str" cm="1">
        <f t="array" aca="1" ref="LH32" ca="1">IFERROR(INDIRECT(ADDRESS(ROW($JR$5),LE32)),LE32)</f>
        <v>Erstes Gerät nicht durchgeführt</v>
      </c>
      <c r="LI32" s="97" t="str">
        <f t="shared" ca="1" si="187"/>
        <v/>
      </c>
      <c r="LJ32" s="97" t="str" cm="1">
        <f t="array" aca="1" ref="LJ32" ca="1">IFERROR(IF(INDIRECT(INDEX(INDIRECT(LJ$5),MATCH(LH32,INDIRECT(LJ$4),0)))&lt;&gt;"",INDEX(INDIRECT(LJ$5),MATCH(LH32,INDIRECT(LJ$4),0)),INDEX(INDIRECT(LJ$6),MATCH(LH32,INDIRECT(LJ$4),0))),"")</f>
        <v/>
      </c>
      <c r="LK32" s="97" t="str">
        <f t="shared" ca="1" si="188"/>
        <v/>
      </c>
      <c r="LL32" s="97" t="str" cm="1">
        <f t="array" aca="1" ref="LL32" ca="1">IFERROR(INDIRECT(LJ32),"")</f>
        <v/>
      </c>
      <c r="LM32" s="97" t="str">
        <f ca="1">IF(LL32="","",IF(AND(LI32=Stammdaten!$BX$20,LK32="0",LL32=1),SUBSTITUTE(TEXT(LL32,LK32)&amp;" "&amp;LEFT(LI32,LEN(LI32)-1),".",","),SUBSTITUTE(TEXT(LL32,LK32)&amp;" "&amp;LI32,".",",")))</f>
        <v/>
      </c>
      <c r="LN32" s="97" t="str">
        <f t="shared" ca="1" si="74"/>
        <v/>
      </c>
      <c r="LO32" s="97" t="str" cm="1">
        <f t="array" aca="1" ref="LO32" ca="1">IFERROR(LEFT(INDIRECT(LN32),1)&amp;"]","")</f>
        <v/>
      </c>
      <c r="LP32" s="97" t="str">
        <f t="shared" ca="1" si="75"/>
        <v/>
      </c>
      <c r="LQ32" s="97" t="str">
        <f ca="1">IFERROR(LEFT(LH32,FIND(Stammdaten!$CA$4,LH32,1)-2),IFERROR(LEFT(LH32,FIND(Stammdaten!$CC$3,LH32,1)-2),LH32))</f>
        <v>Erstes Gerät</v>
      </c>
      <c r="LR32" s="97" t="str">
        <f ca="1">IF(NOT(ISERROR(FIND(Stammdaten!$CA$4,LH32,1))),Stammdaten!$CA$4,IF(LS32&lt;&gt;Stammdaten!$CC$3,LP32,""))</f>
        <v>nicht durchgeführt</v>
      </c>
      <c r="LS32" s="91" t="str">
        <f ca="1">IF(LL32=$A$2,Stammdaten!$CC$3,LM32)</f>
        <v/>
      </c>
      <c r="LT32" s="91" t="str" cm="1">
        <f t="array" aca="1" ref="LT32" ca="1">IFERROR(INDIRECT(ADDRESS(ROW($JR$5),LF32)),LF32)</f>
        <v>Zweites Gerät nicht durchgeführt</v>
      </c>
      <c r="LU32" s="97" t="str">
        <f t="shared" ca="1" si="189"/>
        <v/>
      </c>
      <c r="LV32" s="97" t="str" cm="1">
        <f t="array" aca="1" ref="LV32" ca="1">IFERROR(IF(INDIRECT(INDEX(INDIRECT(LV$5),MATCH(LT32,INDIRECT(LV$4),0)))&lt;&gt;"",INDEX(INDIRECT(LV$5),MATCH(LT32,INDIRECT(LV$4),0)),INDEX(INDIRECT(LV$6),MATCH(LT32,INDIRECT(LV$4),0))),"")</f>
        <v/>
      </c>
      <c r="LW32" s="97" t="str">
        <f t="shared" ca="1" si="190"/>
        <v/>
      </c>
      <c r="LX32" s="97" t="str" cm="1">
        <f t="array" aca="1" ref="LX32" ca="1">IFERROR(INDIRECT(LV32),"")</f>
        <v/>
      </c>
      <c r="LY32" s="97" t="str">
        <f ca="1">IF(LX32="","",IF(AND(LU32=Stammdaten!$BX$20,LW32="0",LX32=1),SUBSTITUTE(TEXT(LX32,LW32)&amp;" "&amp;LEFT(LU32,LEN(LU32)-1),".",","),SUBSTITUTE(TEXT(LX32,LW32)&amp;" "&amp;LU32,".",",")))</f>
        <v/>
      </c>
      <c r="LZ32" s="97" t="str">
        <f t="shared" ca="1" si="76"/>
        <v/>
      </c>
      <c r="MA32" s="97" t="str" cm="1">
        <f t="array" aca="1" ref="MA32" ca="1">IFERROR(LEFT(INDIRECT(LZ32),1)&amp;"]","")</f>
        <v/>
      </c>
      <c r="MB32" s="97" t="str">
        <f t="shared" ca="1" si="77"/>
        <v/>
      </c>
      <c r="MC32" s="97" t="str">
        <f ca="1">IFERROR(LEFT(LT32,FIND(Stammdaten!$CA$4,LT32,1)-2),IFERROR(LEFT(LT32,FIND(Stammdaten!$CC$3,LT32,1)-2),LT32))</f>
        <v>Zweites Gerät</v>
      </c>
      <c r="MD32" s="97" t="str">
        <f ca="1">IF(NOT(ISERROR(FIND(Stammdaten!$CA$4,LT32,1))),Stammdaten!$CA$4,IF(ME32&lt;&gt;Stammdaten!$CC$3,MB32,""))</f>
        <v>nicht durchgeführt</v>
      </c>
      <c r="ME32" s="91" t="str">
        <f ca="1">IF(LX32=$A$2,Stammdaten!$CC$3,LY32)</f>
        <v/>
      </c>
      <c r="MF32" s="91" t="str" cm="1">
        <f t="array" aca="1" ref="MF32" ca="1">IFERROR(INDIRECT(ADDRESS(ROW($JR$5),LG32)),LG32)</f>
        <v>Drittes Gerät nicht durchgeführt</v>
      </c>
      <c r="MG32" s="97" t="str">
        <f t="shared" ca="1" si="191"/>
        <v/>
      </c>
      <c r="MH32" s="97" t="str" cm="1">
        <f t="array" aca="1" ref="MH32" ca="1">IFERROR(IF(INDIRECT(INDEX(INDIRECT(MH$5),MATCH(MF32,INDIRECT(MH$4),0)))&lt;&gt;"",INDEX(INDIRECT(MH$5),MATCH(MF32,INDIRECT(MH$4),0)),INDEX(INDIRECT(MH$6),MATCH(MF32,INDIRECT(MH$4),0))),"")</f>
        <v/>
      </c>
      <c r="MI32" s="97" t="str">
        <f t="shared" ca="1" si="192"/>
        <v/>
      </c>
      <c r="MJ32" s="97" t="str" cm="1">
        <f t="array" aca="1" ref="MJ32" ca="1">IFERROR(INDIRECT(MH32),"")</f>
        <v/>
      </c>
      <c r="MK32" s="97" t="str">
        <f ca="1">IF(MJ32="","",IF(AND(MG32=Stammdaten!$BX$20,MI32="0",MJ32=1),SUBSTITUTE(TEXT(MJ32,MI32)&amp;" "&amp;LEFT(MG32,LEN(MG32)-1),".",","),SUBSTITUTE(TEXT(MJ32,MI32)&amp;" "&amp;MG32,".",",")))</f>
        <v/>
      </c>
      <c r="ML32" s="97" t="str">
        <f t="shared" ca="1" si="78"/>
        <v/>
      </c>
      <c r="MM32" s="97" t="str" cm="1">
        <f t="array" aca="1" ref="MM32" ca="1">IFERROR(LEFT(INDIRECT(ML32),1)&amp;"]","")</f>
        <v/>
      </c>
      <c r="MN32" s="97" t="str">
        <f t="shared" ca="1" si="79"/>
        <v/>
      </c>
      <c r="MO32" s="97" t="str">
        <f ca="1">IFERROR(LEFT(MF32,FIND(Stammdaten!$CA$4,MF32,1)-2),IFERROR(LEFT(MF32,FIND(Stammdaten!$CC$3,MF32,1)-2),MF32))</f>
        <v>Drittes Gerät</v>
      </c>
      <c r="MP32" s="97" t="str">
        <f ca="1">IF(NOT(ISERROR(FIND(Stammdaten!$CA$4,MF32,1))),Stammdaten!$CA$4,IF(MQ32&lt;&gt;Stammdaten!$CC$3,MN32,""))</f>
        <v>nicht durchgeführt</v>
      </c>
      <c r="MQ32" s="91" t="str">
        <f ca="1">IF(MJ32=$A$2,Stammdaten!$CC$3,MK32)</f>
        <v/>
      </c>
      <c r="MR32" s="97">
        <f t="shared" ca="1" si="80"/>
        <v>0</v>
      </c>
      <c r="MS32" s="108">
        <f t="shared" ca="1" si="193"/>
        <v>0</v>
      </c>
      <c r="MT32" s="108">
        <f t="shared" ca="1" si="194"/>
        <v>0</v>
      </c>
      <c r="MU32" s="108">
        <f t="shared" ca="1" si="195"/>
        <v>0</v>
      </c>
      <c r="MV32" s="108" t="str">
        <f t="shared" ca="1" si="196"/>
        <v/>
      </c>
      <c r="MW32" s="97" t="str">
        <f ca="1">IF(MV32="",Stammdaten!$BZ$1,IF(AND(MS32+MT32=0,MU32&gt;=MV$25),$A$3,MR32))</f>
        <v>Zu wenige Werte</v>
      </c>
      <c r="MX32" s="97"/>
      <c r="MY32" s="91" t="str">
        <f t="shared" ca="1" si="81"/>
        <v/>
      </c>
      <c r="MZ32" s="96" t="str">
        <f>LEFT(Geschlecht[[#This Row],[Geschlecht (Skala)]],1)&amp;$MZ$27</f>
        <v>2</v>
      </c>
      <c r="NA32" s="96" t="str">
        <f t="shared" ca="1" si="82"/>
        <v>Geräteturnen_2[Resultat]</v>
      </c>
      <c r="NB32" s="97" t="str" cm="1">
        <f t="array" aca="1" ref="NB32" ca="1">IF(OR($MW32="",$MW32=Stammdaten!$BZ$1),"",IF($MW32=0,0,IF(OR($MW32=$A$2,$MW32=$A$3),$A$3,IFERROR(INDEX(INDIRECT(NA32),MATCH(INDIRECT(MY$3),INDIRECT(NA32),NA$25)),IFERROR(IF(NA$25=-1,MAX(INDIRECT(NA32)),IF(NA$25=1,MIN(INDIRECT(NA32)))),"")))))</f>
        <v/>
      </c>
      <c r="ND32" s="91" t="str">
        <f t="shared" ca="1" si="83"/>
        <v>Geräteturnen_2[Note]</v>
      </c>
      <c r="NE32" s="97" t="str" cm="1">
        <f t="array" aca="1" ref="NE32" ca="1">IFERROR(INDEX(INDIRECT(ND32),MATCH(INDIRECT(MY$5),INDIRECT(NA32),0)),IF(INDIRECT(MY$5)=0,1,""))</f>
        <v/>
      </c>
      <c r="NF32" s="97"/>
      <c r="NG32" s="307"/>
      <c r="NH32" s="96" t="str">
        <f>IFERROR(IFERROR(SUBSTITUTE(ParkourResultat[[#This Row],[Eingabe]],".",",")*1,SUBSTITUTE(ParkourResultat[[#This Row],[Eingabe]],",",".")*1),"")</f>
        <v/>
      </c>
      <c r="NI32" s="96" t="e">
        <f>INT(ParkourResultat[[#This Row],[Resultat]])=ParkourResultat[[#This Row],[Resultat]]</f>
        <v>#VALUE!</v>
      </c>
      <c r="NJ32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2" s="96"/>
      <c r="NL32" s="91" t="str" cm="1">
        <f t="array" aca="1" ref="NL32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2" s="96" t="str">
        <f ca="1">LEFT(Geschlecht[[#This Row],[Geschlecht (Skala)]],1)&amp;NR$4</f>
        <v>2</v>
      </c>
      <c r="NN32" s="96" t="str">
        <f t="shared" ca="1" si="84"/>
        <v>Parkour_2[Resultat]</v>
      </c>
      <c r="NO32" s="97" t="str" cm="1">
        <f t="array" aca="1" ref="NO32" ca="1">IF(INDIRECT(NL$1)="","",IF(INDIRECT(NL$2)=0,0,IF(OR(INDIRECT(NL$1)=$A$2,INDIRECT(NL$1)=$A$3),$A$3,IFERROR(INDEX(INDIRECT(NN32),MATCH(INDIRECT(NL$3),INDIRECT(NN32),NN$25)),IFERROR(IF(NN$25=-1,MAX(INDIRECT(NN32)),IF(NN$25=1,MIN(INDIRECT(NN32)))),"")))))</f>
        <v/>
      </c>
      <c r="NQ32" s="91" t="str">
        <f t="shared" ca="1" si="85"/>
        <v>Parkour_2[Note]</v>
      </c>
      <c r="NR32" s="97" t="str" cm="1">
        <f t="array" aca="1" ref="NR32" ca="1">IFERROR(INDEX(INDIRECT(NQ32),MATCH(INDIRECT(NL$5),INDIRECT(NN32),0)),IF(INDIRECT(NL$5)=0,1,""))</f>
        <v/>
      </c>
      <c r="NS32" s="97"/>
      <c r="NT32" s="97" t="str" cm="1">
        <f t="array" aca="1" ref="NT32" ca="1">INDIRECT(NT$5)</f>
        <v/>
      </c>
      <c r="NU32" s="97" t="str" cm="1">
        <f t="array" aca="1" ref="NU32" ca="1">INDIRECT(NU$5)</f>
        <v/>
      </c>
      <c r="NV32" s="97" t="str" cm="1">
        <f t="array" aca="1" ref="NV32" ca="1">INDIRECT(NV$5)</f>
        <v/>
      </c>
      <c r="NW32" s="97" t="str" cm="1">
        <f t="array" aca="1" ref="NW32" ca="1">INDIRECT(NW$5)</f>
        <v/>
      </c>
      <c r="NX32" s="97" t="str">
        <f t="shared" ca="1" si="86"/>
        <v>Parkour nicht durchgeführt</v>
      </c>
      <c r="NY32" s="97" t="str">
        <f t="shared" ca="1" si="197"/>
        <v/>
      </c>
      <c r="NZ32" s="97" t="str" cm="1">
        <f t="array" aca="1" ref="NZ32" ca="1">IFERROR(IF(INDIRECT(INDEX(INDIRECT(NZ$5),MATCH(NX32,INDIRECT(NZ$4),0)))&lt;&gt;"",INDEX(INDIRECT(NZ$5),MATCH(NX32,INDIRECT(NZ$4),0)),INDEX(INDIRECT(NZ$6),MATCH(NX32,INDIRECT(NZ$4),0))),"")</f>
        <v/>
      </c>
      <c r="OA32" s="97" t="str">
        <f t="shared" ca="1" si="198"/>
        <v/>
      </c>
      <c r="OB32" s="97" t="str" cm="1">
        <f t="array" aca="1" ref="OB32" ca="1">IFERROR(INDIRECT(NZ32),IF(NOT(ISERROR(FIND(Stammdaten!$CC$3,NX32,1))),$A$2,""))</f>
        <v/>
      </c>
      <c r="OC32" s="97" t="str">
        <f ca="1">IF(OB32="","",IF(AND(NY32=Stammdaten!$BX$20,OA32="0",OB32=1),SUBSTITUTE(TEXT(OB32,OA32)&amp;" "&amp;LEFT(NY32,LEN(NY32)-1),".",","),SUBSTITUTE(TEXT(OB32,OA32)&amp;" "&amp;NY32,".",",")))</f>
        <v/>
      </c>
      <c r="OD32" s="97" t="str">
        <f t="shared" ca="1" si="87"/>
        <v/>
      </c>
      <c r="OE32" s="97" t="str" cm="1">
        <f t="array" aca="1" ref="OE32" ca="1">IFERROR(LEFT(INDIRECT(OD32),1)&amp;"]","")</f>
        <v/>
      </c>
      <c r="OF32" s="97" t="str">
        <f t="shared" ca="1" si="88"/>
        <v/>
      </c>
      <c r="OG32" s="97" t="str">
        <f ca="1">IFERROR(LEFT(NX32,FIND(Stammdaten!$CA$4,NX32,1)-2),IFERROR(LEFT(NX32,FIND(Stammdaten!$CC$3,NX32,1)-2),NX32))</f>
        <v>Parkour</v>
      </c>
      <c r="OH32" s="97" t="str">
        <f ca="1">IF(NOT(ISERROR(FIND(Stammdaten!$CA$4,NX32,1))),Stammdaten!$CA$4,IF(OI32&lt;&gt;Stammdaten!$CC$3,OF32,""))</f>
        <v>nicht durchgeführt</v>
      </c>
      <c r="OI32" s="91" t="str">
        <f ca="1">IF(OB32=$A$2,Stammdaten!$CC$3,OC32)</f>
        <v/>
      </c>
      <c r="OJ32" s="97" t="str">
        <f t="shared" ca="1" si="89"/>
        <v/>
      </c>
      <c r="OK32" s="97" t="str">
        <f t="shared" ca="1" si="90"/>
        <v/>
      </c>
      <c r="OL32" s="97">
        <f t="shared" ca="1" si="199"/>
        <v>0</v>
      </c>
      <c r="OM32" s="108">
        <f t="shared" ca="1" si="91"/>
        <v>0</v>
      </c>
      <c r="ON32" s="108">
        <f t="shared" ca="1" si="92"/>
        <v>0</v>
      </c>
      <c r="OO32" s="108" t="str">
        <f t="shared" ca="1" si="200"/>
        <v/>
      </c>
      <c r="OP32" s="97" t="str">
        <f ca="1">IF(OO32="",Stammdaten!$BZ$1,IF(AND(OM32=0,ON32&gt;=OO$25),$A$3,ROUND(SUM(OL32/OO32)/OP$25,0)*OP$25))</f>
        <v>Zu wenige Werte</v>
      </c>
      <c r="OQ32" s="108">
        <f t="shared" ca="1" si="201"/>
        <v>6</v>
      </c>
      <c r="OR32" s="97" t="str">
        <f t="shared" ca="1" si="202"/>
        <v/>
      </c>
      <c r="OS32" s="97" t="str">
        <f t="shared" ca="1" si="203"/>
        <v/>
      </c>
      <c r="OT32" s="97" t="str">
        <f t="shared" ca="1" si="204"/>
        <v/>
      </c>
      <c r="OU32" s="97" t="str">
        <f t="shared" ca="1" si="205"/>
        <v>g</v>
      </c>
      <c r="OV32" s="97" t="str">
        <f t="shared" ca="1" si="206"/>
        <v/>
      </c>
      <c r="OW32" s="97">
        <f t="shared" ca="1" si="207"/>
        <v>1</v>
      </c>
      <c r="OX32" s="97" t="str">
        <f ca="1">IF(OR(Geschlecht[[#This Row],[Geschlecht (Skala)]]="",NOT(ISNUMBER(OO32))),"",OW32)</f>
        <v/>
      </c>
      <c r="OY32" s="97" t="str">
        <f t="shared" ca="1" si="208"/>
        <v/>
      </c>
      <c r="OZ32" s="97"/>
      <c r="PA32" s="308" t="str">
        <f t="shared" ca="1" si="209"/>
        <v>Zu wenige Werte</v>
      </c>
      <c r="PB32" s="97"/>
      <c r="PC32" s="307"/>
      <c r="PD32" s="96" t="str">
        <f>IFERROR(IFERROR(SUBSTITUTE(TanzenResultat[[#This Row],[Eingabe]],".",",")*1,SUBSTITUTE(TanzenResultat[[#This Row],[Eingabe]],",",".")*1),"")</f>
        <v/>
      </c>
      <c r="PE32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2" s="96"/>
      <c r="PG32" s="91" t="str" cm="1">
        <f t="array" aca="1" ref="PG32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2" s="96" t="str">
        <f ca="1">LEFT(Geschlecht[[#This Row],[Geschlecht (Skala)]],1)&amp;PM$4</f>
        <v>2</v>
      </c>
      <c r="PI32" s="96" t="str">
        <f t="shared" ca="1" si="93"/>
        <v>Tanzen_2[Resultat]</v>
      </c>
      <c r="PJ32" s="97" t="str" cm="1">
        <f t="array" aca="1" ref="PJ32" ca="1">IF(INDIRECT(PG$1)="","",IF(INDIRECT(PG$2)=0,0,IF(OR(INDIRECT(PG$1)=$A$2,INDIRECT(PG$1)=$A$3),$A$3,IFERROR(INDEX(INDIRECT(PI32),MATCH(INDIRECT(PG$3),INDIRECT(PI32),PI$25)),IFERROR(IF(PI$25=-1,MAX(INDIRECT(PI32)),IF(PI$25=1,MIN(INDIRECT(PI32)))),"")))))</f>
        <v/>
      </c>
      <c r="PL32" s="91" t="str">
        <f t="shared" ca="1" si="94"/>
        <v>Tanzen_2[Note]</v>
      </c>
      <c r="PM32" s="97" t="str" cm="1">
        <f t="array" aca="1" ref="PM32" ca="1">IFERROR(INDEX(INDIRECT(PL32),MATCH(INDIRECT(PG$5),INDIRECT(PI32),0)),IF(INDIRECT(PG$5)=0,1,""))</f>
        <v/>
      </c>
      <c r="PN32" s="97"/>
      <c r="PO32" s="307"/>
      <c r="PP32" s="96" t="str">
        <f>IFERROR(IFERROR(SUBSTITUTE(RopeSkippingResultat[[#This Row],[Eingabe]],".",",")*1,SUBSTITUTE(RopeSkippingResultat[[#This Row],[Eingabe]],",",".")*1),"")</f>
        <v/>
      </c>
      <c r="PQ32" s="96" t="e">
        <f>INT(RopeSkippingResultat[[#This Row],[Resultat]])=RopeSkippingResultat[[#This Row],[Resultat]]</f>
        <v>#VALUE!</v>
      </c>
      <c r="PR32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2" s="96"/>
      <c r="PT32" s="91" t="str" cm="1">
        <f t="array" aca="1" ref="PT32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2" s="96" t="str">
        <f ca="1">LEFT(Geschlecht[[#This Row],[Geschlecht (Skala)]],1)&amp;PZ$4</f>
        <v>2</v>
      </c>
      <c r="PV32" s="96" t="str">
        <f t="shared" ca="1" si="95"/>
        <v>RopeSkipping_2[Resultat]</v>
      </c>
      <c r="PW32" s="97" t="str" cm="1">
        <f t="array" aca="1" ref="PW32" ca="1">IF(INDIRECT(PT$1)="","",IF(INDIRECT(PT$2)=0,0,IF(OR(INDIRECT(PT$1)=$A$2,INDIRECT(PT$1)=$A$3),$A$3,IFERROR(INDEX(INDIRECT(PV32),MATCH(INDIRECT(PT$3),INDIRECT(PV32),PV$25)),IFERROR(IF(PV$25=-1,MAX(INDIRECT(PV32)),IF(PV$25=1,MIN(INDIRECT(PV32)))),"")))))</f>
        <v/>
      </c>
      <c r="PY32" s="91" t="str">
        <f t="shared" ca="1" si="96"/>
        <v>RopeSkipping_2[Note]</v>
      </c>
      <c r="PZ32" s="97" t="str" cm="1">
        <f t="array" aca="1" ref="PZ32" ca="1">IFERROR(INDEX(INDIRECT(PY32),MATCH(INDIRECT(PT$5),INDIRECT(PV32),0)),IF(INDIRECT(PT$5)=0,1,""))</f>
        <v/>
      </c>
      <c r="QA32" s="97"/>
      <c r="QB32" s="307"/>
      <c r="QC32" s="96" t="str">
        <f>IFERROR(IFERROR(SUBSTITUTE(AerobicResultat[[#This Row],[Eingabe]],".",",")*1,SUBSTITUTE(AerobicResultat[[#This Row],[Eingabe]],",",".")*1),"")</f>
        <v/>
      </c>
      <c r="QD32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2" s="96"/>
      <c r="QF32" s="91" t="str" cm="1">
        <f t="array" aca="1" ref="QF32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2" s="96" t="str">
        <f ca="1">LEFT(Geschlecht[[#This Row],[Geschlecht (Skala)]],1)&amp;QL$4</f>
        <v>2</v>
      </c>
      <c r="QH32" s="96" t="str">
        <f t="shared" ca="1" si="97"/>
        <v>Aerobic_2[Resultat]</v>
      </c>
      <c r="QI32" s="97" t="str" cm="1">
        <f t="array" aca="1" ref="QI32" ca="1">IF(INDIRECT(QF$1)="","",IF(INDIRECT(QF$2)=0,0,IF(OR(INDIRECT(QF$1)=$A$2,INDIRECT(QF$1)=$A$3),$A$3,IFERROR(INDEX(INDIRECT(QH32),MATCH(INDIRECT(QF$3),INDIRECT(QH32),QH$25)),IFERROR(IF(QH$25=-1,MAX(INDIRECT(QH32)),IF(QH$25=1,MIN(INDIRECT(QH32)))),"")))))</f>
        <v/>
      </c>
      <c r="QK32" s="91" t="str">
        <f t="shared" ca="1" si="98"/>
        <v>Aerobic_2[Note]</v>
      </c>
      <c r="QL32" s="97" t="str" cm="1">
        <f t="array" aca="1" ref="QL32" ca="1">IFERROR(INDEX(INDIRECT(QK32),MATCH(INDIRECT(QF$5),INDIRECT(QH32),0)),IF(INDIRECT(QF$5)=0,1,""))</f>
        <v/>
      </c>
      <c r="QM32" s="97"/>
      <c r="QN32" s="97" t="str" cm="1">
        <f t="array" aca="1" ref="QN32" ca="1">INDIRECT(QN$5)</f>
        <v/>
      </c>
      <c r="QO32" s="97" t="str" cm="1">
        <f t="array" aca="1" ref="QO32" ca="1">INDIRECT(QO$5)</f>
        <v/>
      </c>
      <c r="QP32" s="97" t="str" cm="1">
        <f t="array" aca="1" ref="QP32" ca="1">INDIRECT(QP$5)</f>
        <v/>
      </c>
      <c r="QQ32" s="97" t="str" cm="1">
        <f t="array" aca="1" ref="QQ32" ca="1">INDIRECT(QQ$5)</f>
        <v/>
      </c>
      <c r="QR32" s="97" t="str" cm="1">
        <f t="array" aca="1" ref="QR32" ca="1">INDIRECT(QR$5)</f>
        <v/>
      </c>
      <c r="QS32" s="97" t="str" cm="1">
        <f t="array" aca="1" ref="QS32" ca="1">INDIRECT(QS$5)</f>
        <v/>
      </c>
      <c r="QT32" s="97" t="str">
        <f t="shared" ca="1" si="99"/>
        <v>Darstellen und Tanzen nicht durchgeführt</v>
      </c>
      <c r="QU32" s="108">
        <f t="shared" ca="1" si="100"/>
        <v>0</v>
      </c>
      <c r="QV32" s="108">
        <f t="shared" ca="1" si="101"/>
        <v>0</v>
      </c>
      <c r="QW32" s="108" t="str">
        <f t="shared" ca="1" si="210"/>
        <v/>
      </c>
      <c r="QX32" s="97" t="str">
        <f t="shared" ca="1" si="211"/>
        <v>Darstellen und Tanzen nicht durchgeführt</v>
      </c>
      <c r="QY32" s="97" t="str">
        <f t="shared" ca="1" si="212"/>
        <v/>
      </c>
      <c r="QZ32" s="97" t="str" cm="1">
        <f t="array" aca="1" ref="QZ32" ca="1">IFERROR(IF(INDIRECT(INDEX(INDIRECT(QZ$5),MATCH(QX32,INDIRECT(QZ$4),0)))&lt;&gt;"",INDEX(INDIRECT(QZ$5),MATCH(QX32,INDIRECT(QZ$4),0)),INDEX(INDIRECT(QZ$6),MATCH(QX32,INDIRECT(QZ$4),0))),"")</f>
        <v/>
      </c>
      <c r="RA32" s="97" t="str">
        <f t="shared" ca="1" si="213"/>
        <v/>
      </c>
      <c r="RB32" s="97" t="str" cm="1">
        <f t="array" aca="1" ref="RB32" ca="1">IFERROR(INDIRECT(QZ32),IF(NOT(ISERROR(FIND(Stammdaten!$CC$3,QX32,1))),$A$2,""))</f>
        <v/>
      </c>
      <c r="RC32" s="97" t="str">
        <f ca="1">IF(RB32="","",IF(AND(QY32=Stammdaten!$BX$20,RA32="0",RB32=1),SUBSTITUTE(TEXT(RB32,RA32)&amp;" "&amp;LEFT(QY32,LEN(QY32)-1),".",","),SUBSTITUTE(TEXT(RB32,RA32)&amp;" "&amp;QY32,".",",")))</f>
        <v/>
      </c>
      <c r="RD32" s="97" t="str">
        <f t="shared" ca="1" si="102"/>
        <v/>
      </c>
      <c r="RE32" s="97" t="str" cm="1">
        <f t="array" aca="1" ref="RE32" ca="1">IFERROR(LEFT(INDIRECT(RD32),1)&amp;"]","")</f>
        <v/>
      </c>
      <c r="RF32" s="97" t="str">
        <f t="shared" ca="1" si="103"/>
        <v/>
      </c>
      <c r="RG32" s="97" t="str">
        <f ca="1">IFERROR(LEFT(QX32,FIND(Stammdaten!$CA$4,QX32,1)-2),IFERROR(LEFT(QX32,FIND(Stammdaten!$CC$3,QX32,1)-2),QX32))</f>
        <v>Darstellen und Tanzen</v>
      </c>
      <c r="RH32" s="97" t="str">
        <f ca="1">IF(NOT(ISERROR(FIND(Stammdaten!$CA$4,QX32,1))),Stammdaten!$CA$4,IF(RI32&lt;&gt;Stammdaten!$CC$3,RF32,""))</f>
        <v>nicht durchgeführt</v>
      </c>
      <c r="RI32" s="91" t="str">
        <f ca="1">IF(RB32=$A$2,Stammdaten!$CC$3,RC32)</f>
        <v/>
      </c>
      <c r="RJ32" s="108">
        <f t="shared" ca="1" si="214"/>
        <v>6</v>
      </c>
      <c r="RK32" s="97"/>
      <c r="RL32" s="308" t="str">
        <f ca="1">IF(QT32=$QT$4,Stammdaten!$BZ$1,IF(QT32=$QT$5,$A$3,QT32))</f>
        <v>Zu wenige Werte</v>
      </c>
      <c r="RM32" s="97"/>
      <c r="RN32" s="307"/>
      <c r="RO32" s="96" t="str">
        <f>IFERROR(IFERROR(SUBSTITUTE(BasketballResultat[[#This Row],[Eingabe]],".",",")*1,SUBSTITUTE(BasketballResultat[[#This Row],[Eingabe]],",",".")*1),"")</f>
        <v/>
      </c>
      <c r="RP32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2" s="96"/>
      <c r="RR32" s="91" t="str" cm="1">
        <f t="array" aca="1" ref="RR32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2" s="96" t="str">
        <f ca="1">LEFT(Geschlecht[[#This Row],[Geschlecht (Skala)]],1)&amp;RX$4</f>
        <v>2</v>
      </c>
      <c r="RT32" s="96" t="str">
        <f t="shared" ca="1" si="104"/>
        <v>Basketball_2[Resultat]</v>
      </c>
      <c r="RU32" s="97" t="str" cm="1">
        <f t="array" aca="1" ref="RU32" ca="1">IF(INDIRECT(RR$1)="","",IF(INDIRECT(RR$2)=0,0,IF(OR(INDIRECT(RR$1)=$A$2,INDIRECT(RR$1)=$A$3),$A$3,IFERROR(INDEX(INDIRECT(RT32),MATCH(INDIRECT(RR$3),INDIRECT(RT32),RT$25)),IFERROR(IF(RT$25=-1,MAX(INDIRECT(RT32)),IF(RT$25=1,MIN(INDIRECT(RT32)))),"")))))</f>
        <v/>
      </c>
      <c r="RW32" s="91" t="str">
        <f t="shared" ca="1" si="105"/>
        <v>Basketball_2[Note]</v>
      </c>
      <c r="RX32" s="97" t="str" cm="1">
        <f t="array" aca="1" ref="RX32" ca="1">IFERROR(INDEX(INDIRECT(RW32),MATCH(INDIRECT(RR$5),INDIRECT(RT32),0)),IF(INDIRECT(RR$5)=0,1,""))</f>
        <v/>
      </c>
      <c r="RY32" s="97"/>
      <c r="RZ32" s="307"/>
      <c r="SA32" s="96" t="str">
        <f>IFERROR(IFERROR(SUBSTITUTE(FussballResultat[[#This Row],[Eingabe]],".",",")*1,SUBSTITUTE(FussballResultat[[#This Row],[Eingabe]],",",".")*1),"")</f>
        <v/>
      </c>
      <c r="SB32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2" s="96"/>
      <c r="SD32" s="316" t="str" cm="1">
        <f t="array" aca="1" ref="SD32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2" s="96" t="str">
        <f ca="1">LEFT(Geschlecht[[#This Row],[Geschlecht (Skala)]],1)&amp;SJ$4</f>
        <v>2</v>
      </c>
      <c r="SF32" s="96" t="str">
        <f t="shared" ca="1" si="106"/>
        <v>Fussball_2[Resultat]</v>
      </c>
      <c r="SG32" s="97" t="str" cm="1">
        <f t="array" aca="1" ref="SG32" ca="1">IF(INDIRECT(SD$1)="","",IF(INDIRECT(SD$2)=0,0,IF(OR(INDIRECT(SD$1)=$A$2,INDIRECT(SD$1)=$A$3),$A$3,IFERROR(INDEX(INDIRECT(SF32),MATCH(INDIRECT(SD$3),INDIRECT(SF32),SF$25)),IFERROR(IF(SF$25=-1,MAX(INDIRECT(SF32)),IF(SF$25=1,MIN(INDIRECT(SF32)))),"")))))</f>
        <v/>
      </c>
      <c r="SI32" s="91" t="str">
        <f t="shared" ca="1" si="107"/>
        <v>Fussball_2[Note]</v>
      </c>
      <c r="SJ32" s="97" t="str" cm="1">
        <f t="array" aca="1" ref="SJ32" ca="1">IFERROR(INDEX(INDIRECT(SI32),MATCH(INDIRECT(SD$5),INDIRECT(SF32),0)),IF(INDIRECT(SD$5)=0,1,""))</f>
        <v/>
      </c>
      <c r="SK32" s="97"/>
      <c r="SL32" s="307"/>
      <c r="SM32" s="96" t="str">
        <f>IFERROR(IFERROR(SUBSTITUTE(HandballResultat[[#This Row],[Eingabe]],".",",")*1,SUBSTITUTE(HandballResultat[[#This Row],[Eingabe]],",",".")*1),"")</f>
        <v/>
      </c>
      <c r="SN32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2" s="96"/>
      <c r="SP32" s="91" t="str" cm="1">
        <f t="array" aca="1" ref="SP32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2" s="96" t="str">
        <f ca="1">LEFT(Geschlecht[[#This Row],[Geschlecht (Skala)]],1)&amp;SV$4</f>
        <v>2</v>
      </c>
      <c r="SR32" s="96" t="str">
        <f t="shared" ca="1" si="108"/>
        <v>Handball_2[Resultat]</v>
      </c>
      <c r="SS32" s="97" t="str" cm="1">
        <f t="array" aca="1" ref="SS32" ca="1">IF(INDIRECT(SP$1)="","",IF(INDIRECT(SP$2)=0,0,IF(OR(INDIRECT(SP$1)=$A$2,INDIRECT(SP$1)=$A$3),$A$3,IFERROR(INDEX(INDIRECT(SR32),MATCH(INDIRECT(SP$3),INDIRECT(SR32),SR$25)),IFERROR(IF(SR$25=-1,MAX(INDIRECT(SR32)),IF(SR$25=1,MIN(INDIRECT(SR32)))),"")))))</f>
        <v/>
      </c>
      <c r="SU32" s="91" t="str">
        <f t="shared" ca="1" si="109"/>
        <v>Handball_2[Note]</v>
      </c>
      <c r="SV32" s="97" t="str" cm="1">
        <f t="array" aca="1" ref="SV32" ca="1">IFERROR(INDEX(INDIRECT(SU32),MATCH(INDIRECT(SP$5),INDIRECT(SR32),0)),IF(INDIRECT(SP$5)=0,1,""))</f>
        <v/>
      </c>
      <c r="SW32" s="97"/>
      <c r="SX32" s="307"/>
      <c r="SY32" s="96" t="str">
        <f>IFERROR(IFERROR(SUBSTITUTE(UnihockeyResultat[[#This Row],[Eingabe]],".",",")*1,SUBSTITUTE(UnihockeyResultat[[#This Row],[Eingabe]],",",".")*1),"")</f>
        <v/>
      </c>
      <c r="SZ32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2" s="96"/>
      <c r="TB32" s="91" t="str" cm="1">
        <f t="array" aca="1" ref="TB32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2" s="96" t="str">
        <f ca="1">LEFT(Geschlecht[[#This Row],[Geschlecht (Skala)]],1)&amp;TH$4</f>
        <v>2</v>
      </c>
      <c r="TD32" s="96" t="str">
        <f t="shared" ca="1" si="110"/>
        <v>Unihockey_2[Resultat]</v>
      </c>
      <c r="TE32" s="97" t="str" cm="1">
        <f t="array" aca="1" ref="TE32" ca="1">IF(INDIRECT(TB$1)="","",IF(INDIRECT(TB$2)=0,0,IF(OR(INDIRECT(TB$1)=$A$2,INDIRECT(TB$1)=$A$3),$A$3,IFERROR(INDEX(INDIRECT(TD32),MATCH(INDIRECT(TB$3),INDIRECT(TD32),TD$25)),IFERROR(IF(TD$25=-1,MAX(INDIRECT(TD32)),IF(TD$25=1,MIN(INDIRECT(TD32)))),"")))))</f>
        <v/>
      </c>
      <c r="TG32" s="91" t="str">
        <f t="shared" ca="1" si="111"/>
        <v>Unihockey_2[Note]</v>
      </c>
      <c r="TH32" s="97" t="str" cm="1">
        <f t="array" aca="1" ref="TH32" ca="1">IFERROR(INDEX(INDIRECT(TG32),MATCH(INDIRECT(TB$5),INDIRECT(TD32),0)),IF(INDIRECT(TB$5)=0,1,""))</f>
        <v/>
      </c>
      <c r="TI32" s="97"/>
      <c r="TJ32" s="307"/>
      <c r="TK32" s="96" t="str">
        <f>IFERROR(IFERROR(SUBSTITUTE(VolleyballResultat[[#This Row],[Eingabe]],".",",")*1,SUBSTITUTE(VolleyballResultat[[#This Row],[Eingabe]],",",".")*1),"")</f>
        <v/>
      </c>
      <c r="TL32" s="96" t="e">
        <f>INT(VolleyballResultat[[#This Row],[Resultat]])=VolleyballResultat[[#This Row],[Resultat]]</f>
        <v>#VALUE!</v>
      </c>
      <c r="TM32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2" s="96"/>
      <c r="TO32" s="91" t="str" cm="1">
        <f t="array" aca="1" ref="TO32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2" s="96" t="str">
        <f ca="1">LEFT(Geschlecht[[#This Row],[Geschlecht (Skala)]],1)&amp;TU$4</f>
        <v>2</v>
      </c>
      <c r="TQ32" s="96" t="str">
        <f t="shared" ca="1" si="112"/>
        <v>Volleyball_2[Resultat]</v>
      </c>
      <c r="TR32" s="97" t="str" cm="1">
        <f t="array" aca="1" ref="TR32" ca="1">IF(INDIRECT(TO$1)="","",IF(INDIRECT(TO$2)=0,0,IF(OR(INDIRECT(TO$1)=$A$2,INDIRECT(TO$1)=$A$3),$A$3,IFERROR(INDEX(INDIRECT(TQ32),MATCH(INDIRECT(TO$3),INDIRECT(TQ32),TQ$25)),IFERROR(IF(TQ$25=-1,MAX(INDIRECT(TQ32)),IF(TQ$25=1,MIN(INDIRECT(TQ32)))),"")))))</f>
        <v/>
      </c>
      <c r="TT32" s="91" t="str">
        <f t="shared" ca="1" si="113"/>
        <v>Volleyball_2[Note]</v>
      </c>
      <c r="TU32" s="97" t="str" cm="1">
        <f t="array" aca="1" ref="TU32" ca="1">IFERROR(INDEX(INDIRECT(TT32),MATCH(INDIRECT(TO$5),INDIRECT(TQ32),0)),IF(INDIRECT(TO$5)=0,1,""))</f>
        <v/>
      </c>
      <c r="TV32" s="97"/>
      <c r="TW32" s="309" t="str" cm="1">
        <f t="array" aca="1" ref="TW32" ca="1">IF(AND(ISNUMBER(INDIRECT(TW$3)),INDIRECT(TW$3)&gt;1),INDIRECT(TW$3),"")</f>
        <v/>
      </c>
      <c r="TX32" s="309" t="str" cm="1">
        <f t="array" aca="1" ref="TX32" ca="1">IF(AND(ISNUMBER(INDIRECT(TX$3)),INDIRECT(TX$3)&gt;1),INDIRECT(TX$3),"")</f>
        <v/>
      </c>
      <c r="TY32" s="309" t="str" cm="1">
        <f t="array" aca="1" ref="TY32" ca="1">IF(AND(ISNUMBER(INDIRECT(TY$3)),INDIRECT(TY$3)&gt;1),INDIRECT(TY$3),"")</f>
        <v/>
      </c>
      <c r="TZ32" s="309" t="str" cm="1">
        <f t="array" aca="1" ref="TZ32" ca="1">IF(AND(ISNUMBER(INDIRECT(TZ$3)),INDIRECT(TZ$3)&gt;1),INDIRECT(TZ$3),"")</f>
        <v/>
      </c>
      <c r="UA32" s="309" t="str" cm="1">
        <f t="array" aca="1" ref="UA32" ca="1">IF(AND(ISNUMBER(INDIRECT(UA$3)),INDIRECT(UA$3)&gt;1),INDIRECT(UA$3),"")</f>
        <v/>
      </c>
      <c r="UB32" s="309" t="str">
        <f t="shared" ca="1" si="114"/>
        <v>x</v>
      </c>
      <c r="UC32" s="309" t="str">
        <f t="shared" ca="1" si="115"/>
        <v>y</v>
      </c>
      <c r="UD32" s="309" t="str">
        <f t="shared" ca="1" si="116"/>
        <v>z</v>
      </c>
      <c r="UE32" s="309" t="str">
        <f t="shared" ca="1" si="215"/>
        <v>a</v>
      </c>
      <c r="UF32" s="309" t="str" cm="1">
        <f t="array" aca="1" ref="UF32" ca="1">IF(UE32="a","",INDEX($TW$23:$UA$23,,MATCH(UE32,$TW32:$UA32,0)))</f>
        <v/>
      </c>
      <c r="UG32" s="309" t="str" cm="1">
        <f t="array" aca="1" ref="UG32" ca="1">IF(OR(UF32="",UF32&gt;=$UA$23),"",INDEX(INDIRECT(ADDRESS(ROW($TW$23),UF32+1)):$UA$23,,MATCH(UE32,INDIRECT(ADDRESS(ROW(),UF32+1)):$UA32,0)))</f>
        <v/>
      </c>
      <c r="UH32" s="309" t="str" cm="1">
        <f t="array" aca="1" ref="UH32" ca="1">IF(OR(UG32="",UG32&gt;=$UA$23),"",INDEX(INDIRECT(ADDRESS(ROW($TW$23),UG32+1)):$UA$23,,MATCH(UE32,INDIRECT(ADDRESS(ROW(),UG32+1)):$UA32,0)))</f>
        <v/>
      </c>
      <c r="UI32" s="309" t="str">
        <f t="shared" ca="1" si="216"/>
        <v>c</v>
      </c>
      <c r="UJ32" s="309" t="str" cm="1">
        <f t="array" aca="1" ref="UJ32" ca="1">IF(OR(UI32="b",UI32="c"),"",INDEX($TW$23:$UA$23,,MATCH(UI32,$TW32:$UA32,0)))</f>
        <v/>
      </c>
      <c r="UK32" s="309" t="str" cm="1">
        <f t="array" aca="1" ref="UK32" ca="1">IF(OR(UJ32="",UJ32&gt;=$UA$23),"",INDEX(INDIRECT(ADDRESS(ROW($TW$23),UJ32+1)):$UA$23,,MATCH(UI32,INDIRECT(ADDRESS(ROW(),UJ32+1)):$UA32,0)))</f>
        <v/>
      </c>
      <c r="UL32" s="309" t="str">
        <f t="shared" ca="1" si="117"/>
        <v/>
      </c>
      <c r="UM32" s="309" t="str">
        <f t="shared" ca="1" si="217"/>
        <v>e</v>
      </c>
      <c r="UN32" s="309" t="str">
        <f t="shared" ca="1" si="118"/>
        <v/>
      </c>
      <c r="UO32" s="309" t="str" cm="1">
        <f t="array" aca="1" ref="UO32" ca="1">IF(OR(UM32="d",UM32="e"),"",INDEX($TW$23:$UA$23,,MATCH(UM32,$TW32:$UA32,0)))</f>
        <v/>
      </c>
      <c r="UP32" s="309" t="str" cm="1">
        <f t="array" aca="1" ref="UP32" ca="1">IF(OR(UO32="",UO32&gt;=$UA$23),"",INDEX(INDIRECT(ADDRESS(ROW($TW$23),UO32+1)):$UA$23,,MATCH(UM32,INDIRECT(ADDRESS(ROW(),UO32+1)):$UA32,0)))</f>
        <v/>
      </c>
      <c r="UQ32" s="309" t="str" cm="1">
        <f t="array" aca="1" ref="UQ32" ca="1">IFERROR(IF(ISNUMBER(UF32),UF32,IF(ISNUMBER(UJ32),UJ32,IF(ISNUMBER(UN32),UN32,INDEX($TW$23:$UA$23,,MATCH(UB32,$TW32:$UA32,0))))),"x1")</f>
        <v>x1</v>
      </c>
      <c r="UR32" s="309" t="str" cm="1">
        <f t="array" aca="1" ref="UR32" ca="1">IFERROR(IF(ISNUMBER(UG32),UG32,IF(ISNUMBER(UK32),UK32,IF(ISNUMBER(UO32),UO32,INDEX($TW$23:$UA$23,,MATCH(UC32,$TW32:$UA32,0))))),IF(UQ32="x1","x2","x1"))</f>
        <v>x2</v>
      </c>
      <c r="US32" s="309" t="str" cm="1">
        <f t="array" aca="1" ref="US32" ca="1">IFERROR(IF(ISNUMBER(UH32),UH32,IF(ISNUMBER(UL32),UL32,IF(ISNUMBER(UP32),UP32,INDEX($TW$23:$UA$23,,MATCH(UD32,$TW32:$UA32,0))))),IF(UR32="x1","x2",IF(UR32="x2","x3","x1")))</f>
        <v>x3</v>
      </c>
      <c r="UT32" s="97" t="str" cm="1">
        <f t="array" aca="1" ref="UT32" ca="1">IF(OR(INDIRECT(UT$3)=$A$2,INDIRECT(UT$3)=$A$3),COLUMN(),"")</f>
        <v/>
      </c>
      <c r="UU32" s="97" t="str" cm="1">
        <f t="array" aca="1" ref="UU32" ca="1">IF(OR(INDIRECT(UU$3)=$A$2,INDIRECT(UU$3)=$A$3),COLUMN(),"")</f>
        <v/>
      </c>
      <c r="UV32" s="97" t="str" cm="1">
        <f t="array" aca="1" ref="UV32" ca="1">IF(OR(INDIRECT(UV$3)=$A$2,INDIRECT(UV$3)=$A$3),COLUMN(),"")</f>
        <v/>
      </c>
      <c r="UW32" s="97" t="str" cm="1">
        <f t="array" aca="1" ref="UW32" ca="1">IF(OR(INDIRECT(UW$3)=$A$2,INDIRECT(UW$3)=$A$3),COLUMN(),"")</f>
        <v/>
      </c>
      <c r="UX32" s="97" t="str" cm="1">
        <f t="array" aca="1" ref="UX32" ca="1">IF(OR(INDIRECT(UX$3)=$A$2,INDIRECT(UX$3)=$A$3),COLUMN(),"")</f>
        <v/>
      </c>
      <c r="UY32" s="97" t="str" cm="1">
        <f t="array" aca="1" ref="UY32" ca="1">IF(AND(ISNUMBER(INDIRECT(UY$3)),INDIRECT(UY$3)=0),COLUMN(),"")</f>
        <v/>
      </c>
      <c r="UZ32" s="97" t="str" cm="1">
        <f t="array" aca="1" ref="UZ32" ca="1">IF(AND(ISNUMBER(INDIRECT(UZ$3)),INDIRECT(UZ$3)=0),COLUMN(),"")</f>
        <v/>
      </c>
      <c r="VA32" s="97" t="str" cm="1">
        <f t="array" aca="1" ref="VA32" ca="1">IF(AND(ISNUMBER(INDIRECT(VA$3)),INDIRECT(VA$3)=0),COLUMN(),"")</f>
        <v/>
      </c>
      <c r="VB32" s="97" t="str" cm="1">
        <f t="array" aca="1" ref="VB32" ca="1">IF(AND(ISNUMBER(INDIRECT(VB$3)),INDIRECT(VB$3)=0),COLUMN(),"")</f>
        <v/>
      </c>
      <c r="VC32" s="97" t="str" cm="1">
        <f t="array" aca="1" ref="VC32" ca="1">IF(AND(ISNUMBER(INDIRECT(VC$3)),INDIRECT(VC$3)=0),COLUMN(),"")</f>
        <v/>
      </c>
      <c r="VD32" s="97" t="str">
        <f t="shared" ca="1" si="218"/>
        <v>x1</v>
      </c>
      <c r="VE32" s="97" t="str">
        <f t="shared" ca="1" si="219"/>
        <v>x2</v>
      </c>
      <c r="VF32" s="97" t="str">
        <f t="shared" ca="1" si="220"/>
        <v>x3</v>
      </c>
      <c r="VG32" s="97" t="str">
        <f ca="1">IFERROR(IF(ISNUMBER(VD32),VD32,SMALL($UY32:$VC32,VALUE(RIGHT(VD32,1)))),Stammdaten!$CB$17)</f>
        <v>Erste Spielsportart nicht durchgeführt</v>
      </c>
      <c r="VH32" s="97" t="str">
        <f ca="1">IFERROR(IF(ISNUMBER(VE32),VE32,SMALL($UY32:$VC32,VALUE(RIGHT(VE32,1)))),Stammdaten!$CB$18)</f>
        <v>Zweite Spielsportart nicht durchgeführt</v>
      </c>
      <c r="VI32" s="97" t="str">
        <f ca="1">IFERROR(IF(ISNUMBER(VF32),VF32,SMALL($UY32:$VC32,VALUE(RIGHT(VF32,1)))),Stammdaten!$CB$19)</f>
        <v>Dritte Spielsportart nicht durchgeführt</v>
      </c>
      <c r="VJ32" s="91" t="str" cm="1">
        <f t="array" aca="1" ref="VJ32" ca="1">IFERROR(INDIRECT(ADDRESS(ROW($TW$5),VG32)),VG32)</f>
        <v>Erste Spielsportart nicht durchgeführt</v>
      </c>
      <c r="VK32" s="97" t="str">
        <f t="shared" ca="1" si="221"/>
        <v/>
      </c>
      <c r="VL32" s="97" t="str" cm="1">
        <f t="array" aca="1" ref="VL32" ca="1">IFERROR(IF(INDIRECT(INDEX(INDIRECT(VL$5),MATCH(VJ32,INDIRECT(VL$4),0)))&lt;&gt;"",INDEX(INDIRECT(VL$5),MATCH(VJ32,INDIRECT(VL$4),0)),INDEX(INDIRECT(VL$6),MATCH(VJ32,INDIRECT(VL$4),0))),"")</f>
        <v/>
      </c>
      <c r="VM32" s="97" t="str">
        <f t="shared" ca="1" si="222"/>
        <v/>
      </c>
      <c r="VN32" s="97" t="str" cm="1">
        <f t="array" aca="1" ref="VN32" ca="1">IFERROR(INDIRECT(VL32),"")</f>
        <v/>
      </c>
      <c r="VO32" s="97" t="str">
        <f ca="1">IF(VN32="","",IF(AND(VK32=Stammdaten!$BX$20,VM32="0",VN32=1),SUBSTITUTE(TEXT(VN32,VM32)&amp;" "&amp;LEFT(VK32,LEN(VK32)-1),".",","),SUBSTITUTE(TEXT(VN32,VM32)&amp;" "&amp;VK32,".",",")))</f>
        <v/>
      </c>
      <c r="VP32" s="97" t="str">
        <f t="shared" ca="1" si="119"/>
        <v/>
      </c>
      <c r="VQ32" s="97" t="str" cm="1">
        <f t="array" aca="1" ref="VQ32" ca="1">IFERROR(LEFT(INDIRECT(VP32),1)&amp;"]","")</f>
        <v/>
      </c>
      <c r="VR32" s="97" t="str">
        <f t="shared" ca="1" si="120"/>
        <v/>
      </c>
      <c r="VS32" s="97" t="str">
        <f ca="1">IFERROR(LEFT(VJ32,FIND(Stammdaten!$CA$4,VJ32,1)-2),IFERROR(LEFT(VJ32,FIND(Stammdaten!$CC$3,VJ32,1)-2),VJ32))</f>
        <v>Erste Spielsportart</v>
      </c>
      <c r="VT32" s="97" t="str">
        <f ca="1">IF(NOT(ISERROR(FIND(Stammdaten!$CA$4,VJ32,1))),Stammdaten!$CA$4,IF(VU32&lt;&gt;Stammdaten!$CC$3,VR32,""))</f>
        <v>nicht durchgeführt</v>
      </c>
      <c r="VU32" s="91" t="str">
        <f ca="1">IF(VN32=$A$2,Stammdaten!$CC$3,VO32)</f>
        <v/>
      </c>
      <c r="VV32" s="91" t="str" cm="1">
        <f t="array" aca="1" ref="VV32" ca="1">IFERROR(INDIRECT(ADDRESS(ROW($TW$5),VH32)),VH32)</f>
        <v>Zweite Spielsportart nicht durchgeführt</v>
      </c>
      <c r="VW32" s="97" t="str">
        <f t="shared" ca="1" si="223"/>
        <v/>
      </c>
      <c r="VX32" s="97" t="str" cm="1">
        <f t="array" aca="1" ref="VX32" ca="1">IFERROR(IF(INDIRECT(INDEX(INDIRECT(VX$5),MATCH(VV32,INDIRECT(VX$4),0)))&lt;&gt;"",INDEX(INDIRECT(VX$5),MATCH(VV32,INDIRECT(VX$4),0)),INDEX(INDIRECT(VX$6),MATCH(VV32,INDIRECT(VX$4),0))),"")</f>
        <v/>
      </c>
      <c r="VY32" s="97" t="str">
        <f t="shared" ca="1" si="224"/>
        <v/>
      </c>
      <c r="VZ32" s="97" t="str" cm="1">
        <f t="array" aca="1" ref="VZ32" ca="1">IFERROR(INDIRECT(VX32),"")</f>
        <v/>
      </c>
      <c r="WA32" s="97" t="str">
        <f ca="1">IF(VZ32="","",IF(AND(VW32=Stammdaten!$BX$20,VY32="0",VZ32=1),SUBSTITUTE(TEXT(VZ32,VY32)&amp;" "&amp;LEFT(VW32,LEN(VW32)-1),".",","),SUBSTITUTE(TEXT(VZ32,VY32)&amp;" "&amp;VW32,".",",")))</f>
        <v/>
      </c>
      <c r="WB32" s="97" t="str">
        <f t="shared" ca="1" si="121"/>
        <v/>
      </c>
      <c r="WC32" s="97" t="str" cm="1">
        <f t="array" aca="1" ref="WC32" ca="1">IFERROR(LEFT(INDIRECT(WB32),1)&amp;"]","")</f>
        <v/>
      </c>
      <c r="WD32" s="97" t="str">
        <f t="shared" ca="1" si="122"/>
        <v/>
      </c>
      <c r="WE32" s="97" t="str">
        <f ca="1">IFERROR(LEFT(VV32,FIND(Stammdaten!$CA$4,VV32,1)-2),IFERROR(LEFT(VV32,FIND(Stammdaten!$CC$3,VV32,1)-2),VV32))</f>
        <v>Zweite Spielsportart</v>
      </c>
      <c r="WF32" s="97" t="str">
        <f ca="1">IF(NOT(ISERROR(FIND(Stammdaten!$CA$4,VV32,1))),Stammdaten!$CA$4,IF(WG32&lt;&gt;Stammdaten!$CC$3,WD32,""))</f>
        <v>nicht durchgeführt</v>
      </c>
      <c r="WG32" s="91" t="str">
        <f ca="1">IF(VZ32=$A$2,Stammdaten!$CC$3,WA32)</f>
        <v/>
      </c>
      <c r="WH32" s="91" t="str" cm="1">
        <f t="array" aca="1" ref="WH32" ca="1">IFERROR(INDIRECT(ADDRESS(ROW($TW$5),VI32)),VI32)</f>
        <v>Dritte Spielsportart nicht durchgeführt</v>
      </c>
      <c r="WI32" s="97" t="str">
        <f t="shared" ca="1" si="225"/>
        <v/>
      </c>
      <c r="WJ32" s="97" t="str" cm="1">
        <f t="array" aca="1" ref="WJ32" ca="1">IFERROR(IF(INDIRECT(INDEX(INDIRECT(WJ$5),MATCH(WH32,INDIRECT(WJ$4),0)))&lt;&gt;"",INDEX(INDIRECT(WJ$5),MATCH(WH32,INDIRECT(WJ$4),0)),INDEX(INDIRECT(WJ$6),MATCH(WH32,INDIRECT(WJ$4),0))),"")</f>
        <v/>
      </c>
      <c r="WK32" s="97" t="str">
        <f t="shared" ca="1" si="226"/>
        <v/>
      </c>
      <c r="WL32" s="97" t="str" cm="1">
        <f t="array" aca="1" ref="WL32" ca="1">IFERROR(INDIRECT(WJ32),"")</f>
        <v/>
      </c>
      <c r="WM32" s="97" t="str">
        <f ca="1">IF(WL32="","",IF(AND(WI32=Stammdaten!$BX$20,WK32="0",WL32=1),SUBSTITUTE(TEXT(WL32,WK32)&amp;" "&amp;LEFT(WI32,LEN(WI32)-1),".",","),SUBSTITUTE(TEXT(WL32,WK32)&amp;" "&amp;WI32,".",",")))</f>
        <v/>
      </c>
      <c r="WN32" s="97" t="str">
        <f t="shared" ca="1" si="123"/>
        <v/>
      </c>
      <c r="WO32" s="97" t="str" cm="1">
        <f t="array" aca="1" ref="WO32" ca="1">IFERROR(LEFT(INDIRECT(WN32),1)&amp;"]","")</f>
        <v/>
      </c>
      <c r="WP32" s="97" t="str">
        <f t="shared" ca="1" si="124"/>
        <v/>
      </c>
      <c r="WQ32" s="97" t="str">
        <f ca="1">IFERROR(LEFT(WH32,FIND(Stammdaten!$CA$4,WH32,1)-2),IFERROR(LEFT(WH32,FIND(Stammdaten!$CC$3,WH32,1)-2),WH32))</f>
        <v>Dritte Spielsportart</v>
      </c>
      <c r="WR32" s="97" t="str">
        <f ca="1">IF(NOT(ISERROR(FIND(Stammdaten!$CA$4,WH32,1))),Stammdaten!$CA$4,IF(WS32&lt;&gt;Stammdaten!$CC$3,WP32,""))</f>
        <v>nicht durchgeführt</v>
      </c>
      <c r="WS32" s="91" t="str">
        <f ca="1">IF(WL32=$A$2,Stammdaten!$CC$3,WM32)</f>
        <v/>
      </c>
      <c r="WT32" s="97" t="str" cm="1">
        <f t="array" aca="1" ref="WT32" ca="1">INDIRECT(WT$5)</f>
        <v/>
      </c>
      <c r="WU32" s="97" t="str" cm="1">
        <f t="array" aca="1" ref="WU32" ca="1">INDIRECT(WU$5)</f>
        <v/>
      </c>
      <c r="WV32" s="97" t="str" cm="1">
        <f t="array" aca="1" ref="WV32" ca="1">INDIRECT(WV$5)</f>
        <v/>
      </c>
      <c r="WW32" s="97" t="str" cm="1">
        <f t="array" aca="1" ref="WW32" ca="1">INDIRECT(WW$5)</f>
        <v/>
      </c>
      <c r="WX32" s="97" t="str" cm="1">
        <f t="array" aca="1" ref="WX32" ca="1">INDIRECT(WX$5)</f>
        <v/>
      </c>
      <c r="WY32" s="97" cm="1">
        <f t="array" aca="1" ref="WY32" ca="1">IF(INDIRECT(WY$5)&lt;&gt;"",INDIRECT(WY$5),0)</f>
        <v>0</v>
      </c>
      <c r="WZ32" s="97" cm="1">
        <f t="array" aca="1" ref="WZ32" ca="1">IF(INDIRECT(WZ$5)&lt;&gt;"",INDIRECT(WZ$5),0)</f>
        <v>0</v>
      </c>
      <c r="XA32" s="97" cm="1">
        <f t="array" aca="1" ref="XA32" ca="1">IF(INDIRECT(XA$5)&lt;&gt;"",INDIRECT(XA$5),0)</f>
        <v>0</v>
      </c>
      <c r="XB32" s="97" cm="1">
        <f t="array" aca="1" ref="XB32" ca="1">IF(INDIRECT(XB$5)&lt;&gt;"",INDIRECT(XB$5),0)</f>
        <v>0</v>
      </c>
      <c r="XC32" s="97" cm="1">
        <f t="array" aca="1" ref="XC32" ca="1">IF(INDIRECT(XC$5)&lt;&gt;"",INDIRECT(XC$5),0)</f>
        <v>0</v>
      </c>
      <c r="XD32" s="97">
        <f t="shared" ca="1" si="125"/>
        <v>0</v>
      </c>
      <c r="XE32" s="97">
        <f t="shared" ca="1" si="125"/>
        <v>0</v>
      </c>
      <c r="XF32" s="97">
        <f t="shared" ca="1" si="125"/>
        <v>0</v>
      </c>
      <c r="XG32" s="97">
        <f t="shared" ca="1" si="227"/>
        <v>0</v>
      </c>
      <c r="XH32" s="108">
        <f t="shared" ca="1" si="228"/>
        <v>0</v>
      </c>
      <c r="XI32" s="108">
        <f t="shared" ca="1" si="126"/>
        <v>0</v>
      </c>
      <c r="XJ32" s="108" t="str">
        <f t="shared" ca="1" si="229"/>
        <v/>
      </c>
      <c r="XK32" s="97" t="str">
        <f ca="1">IF(XJ32="",Stammdaten!$BZ$1,IF(AND(XH32=0,XI32&gt;=XJ$25),$A$3,ROUND(SUM(XG32/XJ32)/XK$25,0)*XK$25))</f>
        <v>Zu wenige Werte</v>
      </c>
      <c r="XL32" s="108">
        <f t="shared" ca="1" si="230"/>
        <v>6</v>
      </c>
      <c r="XM32" s="97" t="str">
        <f t="shared" ca="1" si="231"/>
        <v/>
      </c>
      <c r="XN32" s="97" t="str">
        <f t="shared" ca="1" si="232"/>
        <v/>
      </c>
      <c r="XO32" s="97" t="str">
        <f t="shared" ca="1" si="233"/>
        <v/>
      </c>
      <c r="XP32" s="97" t="str">
        <f t="shared" ca="1" si="234"/>
        <v/>
      </c>
      <c r="XQ32" s="97" t="str">
        <f t="shared" ca="1" si="235"/>
        <v>g</v>
      </c>
      <c r="XR32" s="97" t="str">
        <f t="shared" ca="1" si="236"/>
        <v/>
      </c>
      <c r="XS32" s="97">
        <f t="shared" ca="1" si="237"/>
        <v>1</v>
      </c>
      <c r="XT32" s="97" t="str">
        <f ca="1">IF(OR(Geschlecht[[#This Row],[Geschlecht (Skala)]]="",NOT(ISNUMBER(XJ32))),"",XS32)</f>
        <v/>
      </c>
      <c r="XU32" s="97" t="str">
        <f t="shared" ca="1" si="238"/>
        <v/>
      </c>
      <c r="XV32" s="97"/>
      <c r="XW32" s="308" t="str">
        <f t="shared" ca="1" si="127"/>
        <v>Zu wenige Werte</v>
      </c>
      <c r="XX32" s="97"/>
      <c r="XY32" s="97" t="str">
        <f t="shared" ca="1" si="128"/>
        <v>Zu wenige Werte</v>
      </c>
      <c r="XZ32" s="97" t="str">
        <f t="shared" ca="1" si="129"/>
        <v>Zu wenige Werte</v>
      </c>
      <c r="YA32" s="97" t="str">
        <f t="shared" ca="1" si="130"/>
        <v>Zu wenige Werte</v>
      </c>
      <c r="YB32" s="97" t="str">
        <f t="shared" ca="1" si="131"/>
        <v>Zu wenige Werte</v>
      </c>
      <c r="YC32" s="97">
        <f t="shared" ca="1" si="239"/>
        <v>0</v>
      </c>
      <c r="YD32" s="108">
        <f t="shared" ca="1" si="240"/>
        <v>0</v>
      </c>
      <c r="YE32" s="108">
        <f t="shared" ca="1" si="241"/>
        <v>0</v>
      </c>
      <c r="YF32" s="108" t="str">
        <f t="shared" ca="1" si="242"/>
        <v/>
      </c>
      <c r="YG32" s="97" t="str">
        <f ca="1">IF(YF32="",Stammdaten!$BZ$1,IF(YE32=YF$25,$A$3,ROUND(SUM(YC32/YF32)/YG$25,0)*YG$25))</f>
        <v>Zu wenige Werte</v>
      </c>
      <c r="YH32" s="97" t="str">
        <f ca="1">IF(NOT(ISNUMBER(XY32)),"",IF(YH$11&lt;&gt;"2+",TEXT(XY32,YH$11)&amp;" / ",IF(RIGHT(XY32*100,2)="00",TEXT(XY32,"0"&amp;Stammdaten!$AZ$3&amp;"0")&amp;" / ",XY32&amp;" / ")))</f>
        <v/>
      </c>
      <c r="YI32" s="97" t="str">
        <f ca="1">IF(NOT(ISNUMBER(XZ32)),"",IF(YI$11&lt;&gt;"2+",TEXT(XZ32,YI$11)&amp;" / ",IF(RIGHT(XZ32*100,2)="00",TEXT(XZ32,"0"&amp;Stammdaten!$AZ$3&amp;"0")&amp;" / ",XZ32&amp;" / ")))</f>
        <v/>
      </c>
      <c r="YJ32" s="97" t="str">
        <f ca="1">IF(NOT(ISNUMBER(YA32)),"",IF(YJ$11&lt;&gt;"2+",TEXT(YA32,YJ$11)&amp;" / ",IF(RIGHT(YA32*100,2)="00",TEXT(YA32,"0"&amp;Stammdaten!$AZ$3&amp;"0")&amp;" / ",YA32&amp;" / ")))</f>
        <v/>
      </c>
      <c r="YK32" s="97" t="str">
        <f ca="1">IF(NOT(ISNUMBER(YB32)),"",IF(YK$11&lt;&gt;"2+",TEXT(YB32,YK$11)&amp;" / ",IF(RIGHT(YB32*100,2)="00",TEXT(YB32,"0"&amp;Stammdaten!$AZ$3&amp;"0")&amp;" / ",YB32&amp;" / ")))</f>
        <v/>
      </c>
      <c r="YL32" s="97" t="str">
        <f t="shared" ca="1" si="243"/>
        <v/>
      </c>
      <c r="YM32" s="97" t="str">
        <f>IF(Geschlecht[[#This Row],[Geschlecht (Skala)]]="","",IF(ISNUMBER(XY32),1,IF(XY32=$A$3,$A$2,"R")))</f>
        <v/>
      </c>
      <c r="YN32" s="97" t="str">
        <f>IF(Geschlecht[[#This Row],[Geschlecht (Skala)]]="","",IF(ISNUMBER(XZ32),1,IF(XZ32=$A$3,$A$2,"R")))</f>
        <v/>
      </c>
      <c r="YO32" s="97" t="str">
        <f>IF(Geschlecht[[#This Row],[Geschlecht (Skala)]]="","",IF(ISNUMBER(YA32),1,IF(YA32=$A$3,$A$2,"R")))</f>
        <v/>
      </c>
      <c r="YP32" s="97" t="str">
        <f>IF(Geschlecht[[#This Row],[Geschlecht (Skala)]]="","",IF(ISNUMBER(YB32),1,IF(YB32=$A$3,$A$2,"R")))</f>
        <v/>
      </c>
      <c r="YQ32" s="97" t="str">
        <f t="shared" si="244"/>
        <v>g</v>
      </c>
      <c r="YR32" s="97" t="str">
        <f t="shared" ca="1" si="245"/>
        <v/>
      </c>
      <c r="YS32" s="97">
        <f t="shared" ca="1" si="246"/>
        <v>1</v>
      </c>
      <c r="YT32" s="97" t="str">
        <f ca="1">IF(OR(Geschlecht[[#This Row],[Geschlecht (Skala)]]="",NOT(ISNUMBER(YG32))),"",YS32)</f>
        <v/>
      </c>
      <c r="YU32" s="97"/>
      <c r="YV32" s="311" t="str">
        <f t="shared" si="247"/>
        <v>D</v>
      </c>
      <c r="YW32" s="302"/>
      <c r="YX32" s="311" t="str">
        <f t="shared" si="248"/>
        <v>D</v>
      </c>
      <c r="YY32" s="302"/>
      <c r="YZ32" s="311" t="str">
        <f t="shared" si="249"/>
        <v>D</v>
      </c>
      <c r="ZA32" s="302"/>
      <c r="ZB32" s="311" t="str">
        <f t="shared" si="250"/>
        <v>D</v>
      </c>
      <c r="ZC32" s="97"/>
      <c r="ZD32" s="97" t="str">
        <f t="shared" ca="1" si="132"/>
        <v/>
      </c>
      <c r="ZE32" s="97"/>
      <c r="ZF32" s="308" t="str">
        <f t="shared" ca="1" si="251"/>
        <v>Zu wenige Werte</v>
      </c>
      <c r="ZH32" s="317" t="s">
        <v>134</v>
      </c>
      <c r="ZJ32" s="91" t="str" cm="1">
        <f t="array" ref="ZJ32">IF(OR(Geschlecht[[#This Row],[Geschlecht (Skala)]]="",ZH32="",ZH32=Stammdaten!$BZ$5),"",REPLACE(INDEX(StdDisziplinen[TabÜberschriftNote],ZH$3),FIND("X",INDEX(StdDisziplinen[TabÜberschriftNote],ZH$3),1),1,Geschlecht[[#This Row],[Geschlecht (Skala)]]))</f>
        <v/>
      </c>
      <c r="ZK32" s="314"/>
      <c r="ZM32" s="315"/>
      <c r="ZN32" s="97" t="str">
        <f>IFERROR(IFERROR(SUBSTITUTE(SchwimmenResultatMin[[#This Row],[Min]],".",",")*1,SUBSTITUTE(SchwimmenResultatMin[[#This Row],[Min]],",",".")*1),"")</f>
        <v/>
      </c>
      <c r="ZO32" s="91" t="e">
        <f>INT(SchwimmenResultatMin[[#This Row],[Resultat]])=SchwimmenResultatMin[[#This Row],[Resultat]]</f>
        <v>#VALUE!</v>
      </c>
      <c r="ZP32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2" s="315"/>
      <c r="ZS32" s="97" t="str">
        <f>IFERROR(IFERROR(SUBSTITUTE(SchwimmenResultatSek[[#This Row],[Sek]],".",",")*1,SUBSTITUTE(SchwimmenResultatSek[[#This Row],[Sek]],",",".")*1),"")</f>
        <v/>
      </c>
      <c r="ZT32" s="108" t="e">
        <f>INT(SchwimmenResultatSek[[#This Row],[Resultat]])=SchwimmenResultatSek[[#This Row],[Resultat]]</f>
        <v>#VALUE!</v>
      </c>
      <c r="ZU32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2" s="97" t="str" cm="1">
        <f t="array" aca="1" ref="ZW32" ca="1">IF(AND(INDIRECT(ZW$2)="",INDIRECT(ZX$2)=""),"",IFERROR((INDIRECT(ZW$2)*$ZW$25)+INDIRECT(ZX$2),""))</f>
        <v/>
      </c>
      <c r="ZX32" s="91" t="str">
        <f ca="1">REPLACE(ZW$4,ZX$6,1,Geschlecht[[#This Row],[Geschlecht (Skala)]])</f>
        <v>Schwimmen_[Resultat]</v>
      </c>
      <c r="ZY32" s="91" t="str">
        <f ca="1">IFERROR(REPLACE($ZX32,FIND(Stammdaten!$V$2,$ZX32,1),LEN(Stammdaten!$V$2),Stammdaten!$BZ$9),"")</f>
        <v>Schwimmen_[Anzeige]</v>
      </c>
      <c r="ZZ32" s="97" t="str" cm="1">
        <f t="array" aca="1" ref="ZZ32" ca="1">IF(INDIRECT(ZW$3)="","",IF(INDIRECT(ZW$3)=0,0,IF(OR(INDIRECT(ZW$1)=$A$2,INDIRECT(ZW$1)=$A$3),$A$3,IFERROR(INDEX(INDIRECT(ZX32),MATCH(INDIRECT(ZW$3),INDIRECT(ZX32),ZY$25)),IFERROR(IF(ZY$25=-1,MAX(INDIRECT(ZX32)),IF(ZY$25=1,MIN(INDIRECT(ZX32)))),"")))))</f>
        <v/>
      </c>
      <c r="AAA32" s="97" t="str" cm="1">
        <f t="array" aca="1" ref="AAA32" ca="1">IF(INDIRECT(ZX$5)=0,0,IF(OR(INDIRECT(ZW$1)=$A$2,INDIRECT(ZW$1)=$A$3),$A$3,IFERROR(INDEX(INDIRECT($ZY32),MATCH(INDIRECT(ZX$5),INDIRECT($ZX32),0)),"")))</f>
        <v/>
      </c>
      <c r="AAC32" s="91" t="str">
        <f ca="1">REPLACE(ZW$6,ZX$6,1,Geschlecht[[#This Row],[Geschlecht (Skala)]])</f>
        <v>Schwimmen_[Note]</v>
      </c>
      <c r="AAD32" s="97" t="str" cm="1">
        <f t="array" aca="1" ref="AAD32" ca="1">IFERROR(INDEX(INDIRECT(AAC32),MATCH(INDIRECT(ZX$5),INDIRECT(ZX32),0)),IF(INDIRECT(ZX$5)=0,1,""))</f>
        <v/>
      </c>
      <c r="AAE32" s="97"/>
      <c r="AAF32" s="96" t="str">
        <f>ZwölfMinLaufHalleResultat[[#This Row],[Resultat]]</f>
        <v/>
      </c>
      <c r="AAG32" s="96"/>
      <c r="AAH32" s="97" t="str">
        <f ca="1">ZwölfMinLaufHalleSkalawert[[#This Row],[Skala-Wert]]</f>
        <v/>
      </c>
      <c r="AAJ32" s="97" t="str">
        <f ca="1">ZwölfMinLaufHalleNote[[#This Row],[Note]]</f>
        <v/>
      </c>
      <c r="AAK32" s="97"/>
      <c r="AAL32" s="96" t="str">
        <f>ZwölfMinLaufimFreienResultat[[#This Row],[Resultat]]</f>
        <v/>
      </c>
      <c r="AAM32" s="96"/>
      <c r="AAN32" s="97" t="str">
        <f ca="1">ZwölfMinLaufimFreienSkalawert[[#This Row],[Skala-Wert]]</f>
        <v/>
      </c>
      <c r="AAP32" s="97" t="str">
        <f ca="1">ZwölfMinLaufimFreienNote[[#This Row],[Note]]</f>
        <v/>
      </c>
      <c r="AAQ32" s="97"/>
      <c r="AAR32" s="307"/>
      <c r="AAS32" s="96" t="str">
        <f>IFERROR(IFERROR(SUBSTITUTE(BeweglichkeitResultat[[#This Row],[Eingabe]],".",",")*1,SUBSTITUTE(BeweglichkeitResultat[[#This Row],[Eingabe]],",",".")*1),"")</f>
        <v/>
      </c>
      <c r="AAT32" s="96" t="e">
        <f>INT(BeweglichkeitResultat[[#This Row],[Resultat]])=BeweglichkeitResultat[[#This Row],[Resultat]]</f>
        <v>#VALUE!</v>
      </c>
      <c r="AAU32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2" s="96"/>
      <c r="AAW32" s="91" t="str" cm="1">
        <f t="array" aca="1" ref="AAW32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2" s="96" t="str">
        <f ca="1">REPLACE(AAW$4,AAX$6,1,Geschlecht[[#This Row],[Geschlecht (Skala)]])</f>
        <v>Beweglichkeit_[Resultat]</v>
      </c>
      <c r="AAY32" s="96" t="str" cm="1">
        <f t="array" aca="1" ref="AAY32" ca="1">IF(OR(INDIRECT(AAW$1)=$A$2,INDIRECT(AAW$1)=$A$3),$A$3,IF(OR(INDIRECT(AAW$2)="",AND(Geschlecht[[#This Row],[Geschlecht (Skala)]]=Stammdaten!$D$7,INDIRECT(AAW$2)&lt;0)),"",IFERROR(INDEX(INDIRECT(AAX32),MATCH(INDIRECT(AAW$3),INDIRECT(AAX32),AAX$25)),IFERROR(IF(AAX$25=-1,MAX(INDIRECT(AAX32)),IF(AAX$25=1,MIN(INDIRECT(AAX32)))),""))))</f>
        <v/>
      </c>
      <c r="AAZ32" s="97" t="str" cm="1">
        <f t="array" aca="1" ref="AAZ32" ca="1">IF(INDIRECT(AAW$1)="","",IF(INDIRECT(AAW$1)=0,0,IF(OR(INDIRECT(AAW$1)=$A$2,INDIRECT(AAW$1)=$A$3),$A$3,IFERROR(INDEX(INDIRECT(AAY32),MATCH(INDIRECT(AAW$3),INDIRECT(AAY32),AAY$27)),IFERROR(IF(AAY$27=-1,MAX(INDIRECT(AAY32)),IF(AAY$27=1,MIN(INDIRECT(AAY32)))),"")))))</f>
        <v/>
      </c>
      <c r="ABA32" s="96" t="str">
        <f ca="1">REPLACE(AAW$6,AAX$6,1,Geschlecht[[#This Row],[Geschlecht (Skala)]])</f>
        <v>Beweglichkeit_[Note]</v>
      </c>
      <c r="ABB32" s="91" t="str" cm="1">
        <f t="array" aca="1" ref="ABB32" ca="1">IFERROR(INDEX(INDIRECT(ABA32),MATCH(INDIRECT(AAW$5),INDIRECT(AAX32),0)),"")</f>
        <v/>
      </c>
      <c r="ABC32" s="97" t="str" cm="1">
        <f t="array" aca="1" ref="ABC32" ca="1">IFERROR(INDEX(INDIRECT(ABB32),MATCH(INDIRECT(AAW$5),INDIRECT(AAY32),0)),"")</f>
        <v/>
      </c>
      <c r="ABD32" s="307"/>
      <c r="ABE32" s="96" t="str">
        <f>IFERROR(IFERROR(SUBSTITUTE(RumpfkraftResultat[[#This Row],[Eingabe]],".",",")*1,SUBSTITUTE(RumpfkraftResultat[[#This Row],[Eingabe]],",",".")*1),"")</f>
        <v/>
      </c>
      <c r="ABF32" s="96" t="e">
        <f>INT(RumpfkraftResultat[[#This Row],[Resultat]])=RumpfkraftResultat[[#This Row],[Resultat]]</f>
        <v>#VALUE!</v>
      </c>
      <c r="ABG32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2" s="96"/>
      <c r="ABI32" s="91" t="str" cm="1">
        <f t="array" aca="1" ref="ABI32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2" s="96" t="str">
        <f ca="1">REPLACE(ABI$4,ABJ$6,1,Geschlecht[[#This Row],[Geschlecht (Skala)]])</f>
        <v>Rumpfkraft_[Resultat]</v>
      </c>
      <c r="ABK32" s="97" t="str" cm="1">
        <f t="array" aca="1" ref="ABK32" ca="1">IF(INDIRECT(ABI$1)="","",IF(OR(INDIRECT(ABI$1)=$A$2,INDIRECT(ABI$1)=$A$3),$A$3,IFERROR(INDEX(INDIRECT(ABJ32),MATCH(INDIRECT(ABI$3),INDIRECT(ABJ32),ABJ$25)),IFERROR(IF(ABJ$25=-1,MAX(INDIRECT(ABJ32)),IF(ABJ$25=1,MIN(INDIRECT(ABJ32)))),""))))</f>
        <v/>
      </c>
      <c r="ABM32" s="91" t="str">
        <f ca="1">REPLACE(ABI$6,ABJ$6,1,Geschlecht[[#This Row],[Geschlecht (Skala)]])</f>
        <v>Rumpfkraft_[Note]</v>
      </c>
      <c r="ABN32" s="97" t="str" cm="1">
        <f t="array" aca="1" ref="ABN32" ca="1">IFERROR(INDEX(INDIRECT(ABM32),MATCH(INDIRECT(ABI$5),INDIRECT(ABJ32),0)),"")</f>
        <v/>
      </c>
      <c r="ABO32" s="97"/>
      <c r="ABP32" s="96" t="str">
        <f>SechzigmLaufResultat[[#This Row],[Resultat]]</f>
        <v/>
      </c>
      <c r="ABQ32" s="96"/>
      <c r="ABR32" s="97" t="str">
        <f ca="1">SechzigmLaufSkalawert[[#This Row],[Skala-Wert]]</f>
        <v/>
      </c>
      <c r="ABT32" s="97" t="str">
        <f ca="1">SechzigmLaufNote[[#This Row],[Note]]</f>
        <v/>
      </c>
      <c r="ABU32" s="97"/>
      <c r="ABV32" s="96" t="str">
        <f>AchtzigmLaufResultat[[#This Row],[Resultat]]</f>
        <v/>
      </c>
      <c r="ABW32" s="96"/>
      <c r="ABX32" s="97" t="str">
        <f ca="1">AchtzigmLaufSkalawert[[#This Row],[Skala-Wert]]</f>
        <v/>
      </c>
      <c r="ABZ32" s="97" t="str">
        <f ca="1">AchtzigmLaufNote[[#This Row],[Note]]</f>
        <v/>
      </c>
      <c r="ACA32" s="97"/>
      <c r="ACB32" s="307"/>
      <c r="ACC32" s="96" t="str">
        <f>IFERROR(IFERROR(SUBSTITUTE(KonditionsparcoursResultat[[#This Row],[Eingabe]],".",",")*1,SUBSTITUTE(KonditionsparcoursResultat[[#This Row],[Eingabe]],",",".")*1),"")</f>
        <v/>
      </c>
      <c r="ACD32" s="96" t="e">
        <f>INT(KonditionsparcoursResultat[[#This Row],[Resultat]])=KonditionsparcoursResultat[[#This Row],[Resultat]]</f>
        <v>#VALUE!</v>
      </c>
      <c r="ACE32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2" s="96"/>
      <c r="ACG32" s="91" t="str" cm="1">
        <f t="array" aca="1" ref="ACG32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2" s="96" t="str">
        <f ca="1">LEFT(Geschlecht[[#This Row],[Geschlecht (Skala)]],1)&amp;ACM$4</f>
        <v>2</v>
      </c>
      <c r="ACI32" s="96" t="str">
        <f t="shared" ca="1" si="133"/>
        <v>Konditionsparcours_2[Resultat]</v>
      </c>
      <c r="ACJ32" s="97" t="str" cm="1">
        <f t="array" aca="1" ref="ACJ32" ca="1">IF(INDIRECT(ACG$1)="","",IF(OR(INDIRECT(ACG$1)=$A$2,INDIRECT(ACG$1)=$A$3),$A$3,IFERROR(INDEX(INDIRECT(ACI32),MATCH(INDIRECT(ACG$3),INDIRECT(ACI32),ACI$25)),IFERROR(IF(ACI$25=-1,MAX(INDIRECT(ACI32)),IF(ACI$25=1,MIN(INDIRECT(ACI32)))),""))))</f>
        <v/>
      </c>
      <c r="ACL32" s="91" t="str">
        <f t="shared" ca="1" si="134"/>
        <v>Konditionsparcours_2[Note]</v>
      </c>
      <c r="ACM32" s="97" t="str" cm="1">
        <f t="array" aca="1" ref="ACM32" ca="1">IFERROR(INDEX(INDIRECT(ACL32),MATCH(INDIRECT(ACG$5),INDIRECT(ACI32),0)),"")</f>
        <v/>
      </c>
      <c r="ACN32" s="102"/>
    </row>
    <row r="33" spans="1:768">
      <c r="A33" s="305">
        <v>6</v>
      </c>
      <c r="B33" s="133"/>
      <c r="C33" s="133"/>
      <c r="E33" s="306"/>
      <c r="G33" s="307"/>
      <c r="H33" s="96" t="str">
        <f>IFERROR(IFERROR(SUBSTITUTE(SechzigmLaufResultat[[#This Row],[Eingabe]],".",",")*1,SUBSTITUTE(SechzigmLaufResultat[[#This Row],[Eingabe]],",",".")*1),"")</f>
        <v/>
      </c>
      <c r="I33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3" s="96"/>
      <c r="K33" s="91" t="str" cm="1">
        <f t="array" aca="1" ref="K33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3" s="96" t="str">
        <f ca="1">LEFT(Geschlecht[[#This Row],[Geschlecht (Skala)]],1)&amp;Q$4</f>
        <v>2</v>
      </c>
      <c r="M33" s="96" t="str">
        <f t="shared" ca="1" si="37"/>
        <v>SechzigmLauf_2[Resultat]</v>
      </c>
      <c r="N33" s="97" t="str" cm="1">
        <f t="array" aca="1" ref="N33" ca="1">IF(INDIRECT(K$1)="","",IF(INDIRECT(K$2)=0,0,IF(OR(INDIRECT(K$1)=$A$2,INDIRECT(K$1)=$A$3),$A$3,IFERROR(INDEX(INDIRECT(M33),MATCH(INDIRECT(K$3),INDIRECT(M33),M$25)),IFERROR(IF(M$25=-1,MAX(INDIRECT(M33)),IF(M$25=1,MIN(INDIRECT(M33)))),"")))))</f>
        <v/>
      </c>
      <c r="P33" s="91" t="str">
        <f t="shared" ca="1" si="38"/>
        <v>SechzigmLauf_2[Note]</v>
      </c>
      <c r="Q33" s="97" t="str" cm="1">
        <f t="array" aca="1" ref="Q33" ca="1">IFERROR(INDEX(INDIRECT(P33),MATCH(INDIRECT(K$5),INDIRECT(M33),0)),IF(INDIRECT(K$5)=0,1,""))</f>
        <v/>
      </c>
      <c r="R33" s="97"/>
      <c r="S33" s="307"/>
      <c r="T33" s="96" t="str">
        <f>IFERROR(IFERROR(SUBSTITUTE(AchtzigmLaufResultat[[#This Row],[Eingabe]],".",",")*1,SUBSTITUTE(AchtzigmLaufResultat[[#This Row],[Eingabe]],",",".")*1),"")</f>
        <v/>
      </c>
      <c r="U33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3" s="96"/>
      <c r="W33" s="91" t="str" cm="1">
        <f t="array" aca="1" ref="W33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3" s="96" t="str">
        <f ca="1">LEFT(Geschlecht[[#This Row],[Geschlecht (Skala)]],1)&amp;AC$4</f>
        <v>2</v>
      </c>
      <c r="Y33" s="96" t="str">
        <f t="shared" ca="1" si="39"/>
        <v>AchtzigmLauf_2[Resultat]</v>
      </c>
      <c r="Z33" s="97" t="str" cm="1">
        <f t="array" aca="1" ref="Z33" ca="1">IF(INDIRECT(W$1)="","",IF(INDIRECT(W$2)=0,0,IF(OR(INDIRECT(W$1)=$A$2,INDIRECT(W$1)=$A$3),$A$3,IFERROR(INDEX(INDIRECT(Y33),MATCH(INDIRECT(W$3),INDIRECT(Y33),Y$25)),IFERROR(IF(Y$25=-1,MAX(INDIRECT(Y33)),IF(Y$25=1,MIN(INDIRECT(Y33)))),"")))))</f>
        <v/>
      </c>
      <c r="AB33" s="91" t="str">
        <f t="shared" ca="1" si="40"/>
        <v>AchtzigmLauf_2[Note]</v>
      </c>
      <c r="AC33" s="97" t="str" cm="1">
        <f t="array" aca="1" ref="AC33" ca="1">IFERROR(INDEX(INDIRECT(AB33),MATCH(INDIRECT(W$5),INDIRECT(Y33),0)),IF(INDIRECT(W$5)=0,1,""))</f>
        <v/>
      </c>
      <c r="AD33" s="97"/>
      <c r="AE33" s="307"/>
      <c r="AF33" s="96" t="str">
        <f>IFERROR(IFERROR(SUBSTITUTE(ZwölfMinLaufHalleResultat[[#This Row],[Eingabe]],".",",")*1,SUBSTITUTE(ZwölfMinLaufHalleResultat[[#This Row],[Eingabe]],",",".")*1),"")</f>
        <v/>
      </c>
      <c r="AG33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3" s="96"/>
      <c r="AI33" s="91" t="str" cm="1">
        <f t="array" aca="1" ref="AI33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3" s="96" t="str">
        <f ca="1">LEFT(Geschlecht[[#This Row],[Geschlecht (Skala)]],1)&amp;AO$4</f>
        <v>2</v>
      </c>
      <c r="AK33" s="96" t="str">
        <f t="shared" ca="1" si="41"/>
        <v>ZwölfMinLaufHalle_2[Resultat]</v>
      </c>
      <c r="AL33" s="97" t="str" cm="1">
        <f t="array" aca="1" ref="AL33" ca="1">IF(INDIRECT(AI$1)="","",IF(INDIRECT(AI$2)=0,0,IF(OR(INDIRECT(AI$1)=$A$2,INDIRECT(AI$1)=$A$3),$A$3,IFERROR(INDEX(INDIRECT(AK33),MATCH(INDIRECT(AI$3),INDIRECT(AK33),AK$25)),IFERROR(IF(AK$25=-1,MAX(INDIRECT(AK33)),IF(AK$25=1,MIN(INDIRECT(AK33)))),"")))))</f>
        <v/>
      </c>
      <c r="AN33" s="91" t="str">
        <f t="shared" ca="1" si="42"/>
        <v>ZwölfMinLaufHalle_2[Note]</v>
      </c>
      <c r="AO33" s="97" t="str" cm="1">
        <f t="array" aca="1" ref="AO33" ca="1">IFERROR(INDEX(INDIRECT(AN33),MATCH(INDIRECT(AI$5),INDIRECT(AK33),0)),IF(INDIRECT(AI$5)=0,1,""))</f>
        <v/>
      </c>
      <c r="AP33" s="97"/>
      <c r="AQ33" s="307"/>
      <c r="AR33" s="96" t="str">
        <f>IFERROR(IFERROR(SUBSTITUTE(ZwölfMinLaufimFreienResultat[[#This Row],[Eingabe]],".",",")*1,SUBSTITUTE(ZwölfMinLaufimFreienResultat[[#This Row],[Eingabe]],",",".")*1),"")</f>
        <v/>
      </c>
      <c r="AS33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3" s="96"/>
      <c r="AU33" s="91" t="str" cm="1">
        <f t="array" aca="1" ref="AU33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3" s="96" t="str">
        <f ca="1">LEFT(Geschlecht[[#This Row],[Geschlecht (Skala)]],1)&amp;BA$4</f>
        <v>2</v>
      </c>
      <c r="AW33" s="96" t="str">
        <f t="shared" ca="1" si="43"/>
        <v>ZwölfMinLaufimFreien_2[Resultat]</v>
      </c>
      <c r="AX33" s="97" t="str" cm="1">
        <f t="array" aca="1" ref="AX33" ca="1">IF(INDIRECT(AU$1)="","",IF(INDIRECT(AU$2)=0,0,IF(OR(INDIRECT(AU$1)=$A$2,INDIRECT(AU$1)=$A$3),$A$3,IFERROR(INDEX(INDIRECT(AW33),MATCH(INDIRECT(AU$3),INDIRECT(AW33),AW$25)),IFERROR(IF(AW$25=-1,MAX(INDIRECT(AW33)),IF(AW$25=1,MIN(INDIRECT(AW33)))),"")))))</f>
        <v/>
      </c>
      <c r="AZ33" s="91" t="str">
        <f t="shared" ca="1" si="44"/>
        <v>ZwölfMinLaufimFreien_2[Note]</v>
      </c>
      <c r="BA33" s="97" t="str" cm="1">
        <f t="array" aca="1" ref="BA33" ca="1">IFERROR(INDEX(INDIRECT(AZ33),MATCH(INDIRECT(AU$5),INDIRECT(AW33),0)),IF(INDIRECT(AU$5)=0,1,""))</f>
        <v/>
      </c>
      <c r="BB33" s="97"/>
      <c r="BC33" s="307"/>
      <c r="BD33" s="96" t="str">
        <f>IFERROR(IFERROR(SUBSTITUTE(HochsprungResultat[[#This Row],[Eingabe]],".",",")*1,SUBSTITUTE(HochsprungResultat[[#This Row],[Eingabe]],",",".")*1),"")</f>
        <v/>
      </c>
      <c r="BE33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3" s="96"/>
      <c r="BG33" s="91" t="str" cm="1">
        <f t="array" aca="1" ref="BG33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3" s="96" t="str">
        <f ca="1">LEFT(Geschlecht[[#This Row],[Geschlecht (Skala)]],1)&amp;BM$4</f>
        <v>2</v>
      </c>
      <c r="BI33" s="96" t="str">
        <f t="shared" ca="1" si="45"/>
        <v>Hochsprung_2[Resultat]</v>
      </c>
      <c r="BJ33" s="97" t="str" cm="1">
        <f t="array" aca="1" ref="BJ33" ca="1">IF(INDIRECT(BG$1)="","",IF(INDIRECT(BG$2)=0,0,IF(OR(INDIRECT(BG$1)=$A$2,INDIRECT(BG$1)=$A$3),$A$3,IFERROR(INDEX(INDIRECT(BI33),MATCH(INDIRECT(BG$3),INDIRECT(BI33),BI$25)),IFERROR(IF(BI$25=-1,MAX(INDIRECT(BI33)),IF(BI$25=1,MIN(INDIRECT(BI33)))),"")))))</f>
        <v/>
      </c>
      <c r="BL33" s="91" t="str">
        <f t="shared" ca="1" si="46"/>
        <v>Hochsprung_2[Note]</v>
      </c>
      <c r="BM33" s="97" t="str" cm="1">
        <f t="array" aca="1" ref="BM33" ca="1">IFERROR(INDEX(INDIRECT(BL33),MATCH(INDIRECT(BG$5),INDIRECT(BI33),0)),IF(INDIRECT(BG$5)=0,1,""))</f>
        <v/>
      </c>
      <c r="BN33" s="97"/>
      <c r="BO33" s="307"/>
      <c r="BP33" s="96" t="str">
        <f>IFERROR(IFERROR(SUBSTITUTE(WeitsprungResultat[[#This Row],[Eingabe]],".",",")*1,SUBSTITUTE(WeitsprungResultat[[#This Row],[Eingabe]],",",".")*1),"")</f>
        <v/>
      </c>
      <c r="BQ33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3" s="96"/>
      <c r="BS33" s="91" t="str" cm="1">
        <f t="array" aca="1" ref="BS33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3" s="96" t="str">
        <f ca="1">LEFT(Geschlecht[[#This Row],[Geschlecht (Skala)]],1)&amp;BY$4</f>
        <v>2</v>
      </c>
      <c r="BU33" s="96" t="str">
        <f t="shared" ca="1" si="47"/>
        <v>Weitsprung_2[Resultat]</v>
      </c>
      <c r="BV33" s="97" t="str" cm="1">
        <f t="array" aca="1" ref="BV33" ca="1">IF(INDIRECT(BS$1)="","",IF(INDIRECT(BS$2)=0,0,IF(OR(INDIRECT(BS$1)=$A$2,INDIRECT(BS$1)=$A$3),$A$3,IFERROR(INDEX(INDIRECT(BU33),MATCH(INDIRECT(BS$3),INDIRECT(BU33),BU$25)),IFERROR(IF(BU$25=-1,MAX(INDIRECT(BU33)),IF(BU$25=1,MIN(INDIRECT(BU33)))),"")))))</f>
        <v/>
      </c>
      <c r="BX33" s="91" t="str">
        <f t="shared" ca="1" si="48"/>
        <v>Weitsprung_2[Note]</v>
      </c>
      <c r="BY33" s="97" t="str" cm="1">
        <f t="array" aca="1" ref="BY33" ca="1">IFERROR(INDEX(INDIRECT(BX33),MATCH(INDIRECT(BS$5),INDIRECT(BU33),0)),IF(INDIRECT(BS$5)=0,1,""))</f>
        <v/>
      </c>
      <c r="BZ33" s="97"/>
      <c r="CA33" s="307"/>
      <c r="CB33" s="96" t="str">
        <f>IFERROR(IFERROR(SUBSTITUTE(BallwurfResultat[[#This Row],[Eingabe]],".",",")*1,SUBSTITUTE(BallwurfResultat[[#This Row],[Eingabe]],",",".")*1),"")</f>
        <v/>
      </c>
      <c r="CC33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3" s="96"/>
      <c r="CE33" s="91" t="str" cm="1">
        <f t="array" aca="1" ref="CE33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3" s="96" t="str">
        <f ca="1">LEFT(Geschlecht[[#This Row],[Geschlecht (Skala)]],1)&amp;CK$4</f>
        <v>2</v>
      </c>
      <c r="CG33" s="96" t="str">
        <f t="shared" ca="1" si="49"/>
        <v>Ballwurf_2[Resultat]</v>
      </c>
      <c r="CH33" s="97" t="str" cm="1">
        <f t="array" aca="1" ref="CH33" ca="1">IF(INDIRECT(CE$1)="","",IF(INDIRECT(CE$2)=0,0,IF(OR(INDIRECT(CE$1)=$A$2,INDIRECT(CE$1)=$A$3),$A$3,IFERROR(INDEX(INDIRECT(CG33),MATCH(INDIRECT(CE$3),INDIRECT(CG33),CG$25)),IFERROR(IF(CG$25=-1,MAX(INDIRECT(CG33)),IF(CG$25=1,MIN(INDIRECT(CG33)))),"")))))</f>
        <v/>
      </c>
      <c r="CJ33" s="91" t="str">
        <f t="shared" ca="1" si="50"/>
        <v>Ballwurf_2[Note]</v>
      </c>
      <c r="CK33" s="97" t="str" cm="1">
        <f t="array" aca="1" ref="CK33" ca="1">IFERROR(INDEX(INDIRECT(CJ33),MATCH(INDIRECT(CE$5),INDIRECT(CG33),0)),IF(INDIRECT(CE$5)=0,1,""))</f>
        <v/>
      </c>
      <c r="CL33" s="97"/>
      <c r="CM33" s="307"/>
      <c r="CN33" s="96" t="str">
        <f>IFERROR(IFERROR(SUBSTITUTE(KugelstossenResultat[[#This Row],[Eingabe]],".",",")*1,SUBSTITUTE(KugelstossenResultat[[#This Row],[Eingabe]],",",".")*1),"")</f>
        <v/>
      </c>
      <c r="CO33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3" s="96"/>
      <c r="CQ33" s="91" t="str" cm="1">
        <f t="array" aca="1" ref="CQ33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3" s="96" t="str">
        <f ca="1">LEFT(Geschlecht[[#This Row],[Geschlecht (Skala)]],1)&amp;CW$4</f>
        <v>2</v>
      </c>
      <c r="CS33" s="96" t="str">
        <f t="shared" ca="1" si="51"/>
        <v>Kugelstossen_2[Resultat]</v>
      </c>
      <c r="CT33" s="97" t="str" cm="1">
        <f t="array" aca="1" ref="CT33" ca="1">IF(INDIRECT(CQ$1)="","",IF(INDIRECT(CQ$2)=0,0,IF(OR(INDIRECT(CQ$1)=$A$2,INDIRECT(CQ$1)=$A$3),$A$3,IFERROR(INDEX(INDIRECT(CS33),MATCH(INDIRECT(CQ$3),INDIRECT(CS33),CS$25)),IFERROR(IF(CS$25=-1,MAX(INDIRECT(CS33)),IF(CS$25=1,MIN(INDIRECT(CS33)))),"")))))</f>
        <v/>
      </c>
      <c r="CV33" s="91" t="str">
        <f t="shared" ca="1" si="52"/>
        <v>Kugelstossen_2[Note]</v>
      </c>
      <c r="CW33" s="97" t="str" cm="1">
        <f t="array" aca="1" ref="CW33" ca="1">IFERROR(INDEX(INDIRECT(CV33),MATCH(INDIRECT(CQ$5),INDIRECT(CS33),0)),IF(INDIRECT(CQ$5)=0,1,""))</f>
        <v/>
      </c>
      <c r="CX33" s="97"/>
      <c r="CY33" s="307"/>
      <c r="CZ33" s="96" t="str">
        <f>IFERROR(IFERROR(SUBSTITUTE(SpeerwurfResultat[[#This Row],[Eingabe]],".",",")*1,SUBSTITUTE(SpeerwurfResultat[[#This Row],[Eingabe]],",",".")*1),"")</f>
        <v/>
      </c>
      <c r="DA33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3" s="96"/>
      <c r="DC33" s="91" t="str" cm="1">
        <f t="array" aca="1" ref="DC33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3" s="96" t="str">
        <f ca="1">LEFT(Geschlecht[[#This Row],[Geschlecht (Skala)]],1)&amp;DI$4</f>
        <v>2</v>
      </c>
      <c r="DE33" s="96" t="str">
        <f t="shared" ca="1" si="53"/>
        <v>Speerwurf_2[Resultat]</v>
      </c>
      <c r="DF33" s="97" t="str" cm="1">
        <f t="array" aca="1" ref="DF33" ca="1">IF(INDIRECT(DC$1)="","",IF(INDIRECT(DC$2)=0,0,IF(OR(INDIRECT(DC$1)=$A$2,INDIRECT(DC$1)=$A$3),$A$3,IFERROR(INDEX(INDIRECT(DE33),MATCH(INDIRECT(DC$3),INDIRECT(DE33),DE$25)),IFERROR(IF(DE$25=-1,MAX(INDIRECT(DE33)),IF(DE$25=1,MIN(INDIRECT(DE33)))),"")))))</f>
        <v/>
      </c>
      <c r="DH33" s="91" t="str">
        <f t="shared" ca="1" si="54"/>
        <v>Speerwurf_2[Note]</v>
      </c>
      <c r="DI33" s="97" t="str" cm="1">
        <f t="array" aca="1" ref="DI33" ca="1">IFERROR(INDEX(INDIRECT(DH33),MATCH(INDIRECT(DC$5),INDIRECT(DE33),0)),IF(INDIRECT(DC$5)=0,1,""))</f>
        <v/>
      </c>
      <c r="DJ33" s="97"/>
      <c r="DK33" s="97" t="str" cm="1">
        <f t="array" aca="1" ref="DK33" ca="1">INDIRECT(DK$5)</f>
        <v/>
      </c>
      <c r="DL33" s="97" t="str" cm="1">
        <f t="array" aca="1" ref="DL33" ca="1">INDIRECT(DL$5)</f>
        <v/>
      </c>
      <c r="DM33" s="97" t="str" cm="1">
        <f t="array" aca="1" ref="DM33" ca="1">INDIRECT(DM$5)</f>
        <v/>
      </c>
      <c r="DN33" s="97" t="str" cm="1">
        <f t="array" aca="1" ref="DN33" ca="1">INDIRECT(DN$5)</f>
        <v/>
      </c>
      <c r="DO33" s="97" t="str">
        <f t="shared" ca="1" si="135"/>
        <v>Sprintdisziplinen nicht durchgeführt</v>
      </c>
      <c r="DP33" s="97" t="str">
        <f t="shared" ca="1" si="136"/>
        <v/>
      </c>
      <c r="DQ33" s="108">
        <f t="shared" ca="1" si="137"/>
        <v>0</v>
      </c>
      <c r="DR33" s="108">
        <f t="shared" ca="1" si="138"/>
        <v>0</v>
      </c>
      <c r="DS33" s="108" t="str">
        <f t="shared" ca="1" si="139"/>
        <v/>
      </c>
      <c r="DT33" s="97" t="str">
        <f t="shared" ca="1" si="140"/>
        <v>Sprintdisziplinen nicht durchgeführt</v>
      </c>
      <c r="DU33" s="97" t="str">
        <f t="shared" ca="1" si="141"/>
        <v/>
      </c>
      <c r="DV33" s="97" t="str" cm="1">
        <f t="array" aca="1" ref="DV33" ca="1">IFERROR(IF(INDIRECT(INDEX(INDIRECT(DV$5),MATCH(DT33,INDIRECT(DV$4),0)))&lt;&gt;"",INDEX(INDIRECT(DV$5),MATCH(DT33,INDIRECT(DV$4),0)),INDEX(INDIRECT(DV$6),MATCH(DT33,INDIRECT(DV$4),0))),"")</f>
        <v/>
      </c>
      <c r="DW33" s="97" t="str">
        <f t="shared" ca="1" si="142"/>
        <v/>
      </c>
      <c r="DX33" s="97" t="str" cm="1">
        <f t="array" aca="1" ref="DX33" ca="1">IFERROR(INDIRECT(DV33),IF(NOT(ISERROR(FIND(Stammdaten!$CC$3,DT33,1))),$A$2,""))</f>
        <v/>
      </c>
      <c r="DY33" s="97" t="str">
        <f ca="1">IF(DX33="","",IF(AND(DU33=Stammdaten!$BX$20,DW33="0",DX33=1),SUBSTITUTE(TEXT(DX33,DW33)&amp;" "&amp;LEFT(DU33,LEN(DU33)-1),".",","),SUBSTITUTE(TEXT(DX33,DW33)&amp;" "&amp;DU33,".",",")))</f>
        <v/>
      </c>
      <c r="DZ33" s="97" t="str">
        <f t="shared" ca="1" si="55"/>
        <v/>
      </c>
      <c r="EA33" s="97" t="str" cm="1">
        <f t="array" aca="1" ref="EA33" ca="1">IFERROR(LEFT(INDIRECT(DZ33),1)&amp;"]","")</f>
        <v/>
      </c>
      <c r="EB33" s="97" t="str">
        <f t="shared" ca="1" si="56"/>
        <v/>
      </c>
      <c r="EC33" s="97" t="str">
        <f ca="1">IFERROR(LEFT(DT33,FIND(Stammdaten!$CA$4,DT33,1)-2),IFERROR(LEFT(DT33,FIND(Stammdaten!$CC$3,DT33,1)-2),DT33))</f>
        <v>Sprintdisziplinen</v>
      </c>
      <c r="ED33" s="97" t="str">
        <f ca="1">IF(NOT(ISERROR(FIND(Stammdaten!$CA$4,DT33,1))),Stammdaten!$CA$4,IF(EE33&lt;&gt;Stammdaten!$CC$3,EB33,""))</f>
        <v>nicht durchgeführt</v>
      </c>
      <c r="EE33" s="91" t="str">
        <f ca="1">IF(DX33=$A$2,Stammdaten!$CC$3,DY33)</f>
        <v/>
      </c>
      <c r="EF33" s="97" t="str" cm="1">
        <f t="array" aca="1" ref="EF33" ca="1">INDIRECT(EF$5)</f>
        <v/>
      </c>
      <c r="EG33" s="97" t="str" cm="1">
        <f t="array" aca="1" ref="EG33" ca="1">INDIRECT(EG$5)</f>
        <v/>
      </c>
      <c r="EH33" s="97" t="str" cm="1">
        <f t="array" aca="1" ref="EH33" ca="1">INDIRECT(EH$5)</f>
        <v/>
      </c>
      <c r="EI33" s="97" t="str" cm="1">
        <f t="array" aca="1" ref="EI33" ca="1">INDIRECT(EI$5)</f>
        <v/>
      </c>
      <c r="EJ33" s="97" t="str">
        <f t="shared" ca="1" si="143"/>
        <v>Ausdauerdisziplinen nicht durchgeführt</v>
      </c>
      <c r="EK33" s="97" t="str">
        <f t="shared" ca="1" si="144"/>
        <v/>
      </c>
      <c r="EL33" s="108">
        <f t="shared" ca="1" si="145"/>
        <v>0</v>
      </c>
      <c r="EM33" s="108">
        <f t="shared" ca="1" si="146"/>
        <v>0</v>
      </c>
      <c r="EN33" s="108" t="str">
        <f t="shared" ca="1" si="147"/>
        <v/>
      </c>
      <c r="EO33" s="97" t="str">
        <f t="shared" ca="1" si="148"/>
        <v>Ausdauerdisziplinen nicht durchgeführt</v>
      </c>
      <c r="EP33" s="97" t="str">
        <f t="shared" ca="1" si="149"/>
        <v/>
      </c>
      <c r="EQ33" s="97" t="str" cm="1">
        <f t="array" aca="1" ref="EQ33" ca="1">IFERROR(IF(INDIRECT(INDEX(INDIRECT(EQ$5),MATCH(EO33,INDIRECT(EQ$4),0)))&lt;&gt;"",INDEX(INDIRECT(EQ$5),MATCH(EO33,INDIRECT(EQ$4),0)),INDEX(INDIRECT(EQ$6),MATCH(EO33,INDIRECT(EQ$4),0))),"")</f>
        <v/>
      </c>
      <c r="ER33" s="97" t="str">
        <f t="shared" ca="1" si="150"/>
        <v/>
      </c>
      <c r="ES33" s="97" t="str" cm="1">
        <f t="array" aca="1" ref="ES33" ca="1">IFERROR(INDIRECT(EQ33),IF(NOT(ISERROR(FIND(Stammdaten!$CC$3,EO33,1))),$A$2,""))</f>
        <v/>
      </c>
      <c r="ET33" s="97" t="str">
        <f ca="1">IF(ES33="","",IF(AND(EP33=Stammdaten!$BX$20,ER33="0",ES33=1),SUBSTITUTE(TEXT(ES33,ER33)&amp;" "&amp;LEFT(EP33,LEN(EP33)-1),".",","),SUBSTITUTE(TEXT(ES33,ER33)&amp;" "&amp;EP33,".",",")))</f>
        <v/>
      </c>
      <c r="EU33" s="97" t="str">
        <f t="shared" ca="1" si="57"/>
        <v/>
      </c>
      <c r="EV33" s="97" t="str" cm="1">
        <f t="array" aca="1" ref="EV33" ca="1">IFERROR(LEFT(INDIRECT(EU33),1)&amp;"]","")</f>
        <v/>
      </c>
      <c r="EW33" s="97" t="str">
        <f t="shared" ca="1" si="58"/>
        <v/>
      </c>
      <c r="EX33" s="97" t="str">
        <f ca="1">IFERROR(LEFT(EO33,FIND(Stammdaten!$CA$4,EO33,1)-2),IFERROR(LEFT(EO33,FIND(Stammdaten!$CC$3,EO33,1)-2),EO33))</f>
        <v>Ausdauerdisziplinen</v>
      </c>
      <c r="EY33" s="97" t="str">
        <f ca="1">IF(NOT(ISERROR(FIND(Stammdaten!$CA$4,EO33,1))),Stammdaten!$CA$4,IF(EZ33&lt;&gt;Stammdaten!$CC$3,EW33,""))</f>
        <v>nicht durchgeführt</v>
      </c>
      <c r="EZ33" s="91" t="str">
        <f ca="1">IF(ES33=$A$2,Stammdaten!$CC$3,ET33)</f>
        <v/>
      </c>
      <c r="FA33" s="97" t="str" cm="1">
        <f t="array" aca="1" ref="FA33" ca="1">INDIRECT(FA$5)</f>
        <v/>
      </c>
      <c r="FB33" s="97" t="str" cm="1">
        <f t="array" aca="1" ref="FB33" ca="1">INDIRECT(FB$5)</f>
        <v/>
      </c>
      <c r="FC33" s="97" t="str" cm="1">
        <f t="array" aca="1" ref="FC33" ca="1">INDIRECT(FC$5)</f>
        <v/>
      </c>
      <c r="FD33" s="97" t="str" cm="1">
        <f t="array" aca="1" ref="FD33" ca="1">INDIRECT(FD$5)</f>
        <v/>
      </c>
      <c r="FE33" s="97" t="str">
        <f t="shared" ca="1" si="151"/>
        <v>Sprungdisziplinen nicht durchgeführt</v>
      </c>
      <c r="FF33" s="97" t="str">
        <f t="shared" ca="1" si="152"/>
        <v/>
      </c>
      <c r="FG33" s="108">
        <f t="shared" ca="1" si="153"/>
        <v>0</v>
      </c>
      <c r="FH33" s="108">
        <f t="shared" ca="1" si="154"/>
        <v>0</v>
      </c>
      <c r="FI33" s="108" t="str">
        <f t="shared" ca="1" si="155"/>
        <v/>
      </c>
      <c r="FJ33" s="97" t="str">
        <f t="shared" ca="1" si="156"/>
        <v>Sprungdisziplinen nicht durchgeführt</v>
      </c>
      <c r="FK33" s="97" t="str">
        <f t="shared" ca="1" si="157"/>
        <v/>
      </c>
      <c r="FL33" s="97" t="str" cm="1">
        <f t="array" aca="1" ref="FL33" ca="1">IFERROR(IF(INDIRECT(INDEX(INDIRECT(FL$5),MATCH(FJ33,INDIRECT(FL$4),0)))&lt;&gt;"",INDEX(INDIRECT(FL$5),MATCH(FJ33,INDIRECT(FL$4),0)),INDEX(INDIRECT(FL$6),MATCH(FJ33,INDIRECT(FL$4),0))),"")</f>
        <v/>
      </c>
      <c r="FM33" s="97" t="str">
        <f t="shared" ca="1" si="158"/>
        <v/>
      </c>
      <c r="FN33" s="97" t="str" cm="1">
        <f t="array" aca="1" ref="FN33" ca="1">IFERROR(INDIRECT(FL33),IF(NOT(ISERROR(FIND(Stammdaten!$CC$3,FJ33,1))),$A$2,""))</f>
        <v/>
      </c>
      <c r="FO33" s="97" t="str">
        <f ca="1">IF(FN33="","",IF(AND(FK33=Stammdaten!$BX$20,FM33="0",FN33=1),SUBSTITUTE(TEXT(FN33,FM33)&amp;" "&amp;LEFT(FK33,LEN(FK33)-1),".",","),SUBSTITUTE(TEXT(FN33,FM33)&amp;" "&amp;FK33,".",",")))</f>
        <v/>
      </c>
      <c r="FP33" s="97" t="str">
        <f t="shared" ca="1" si="59"/>
        <v/>
      </c>
      <c r="FQ33" s="97" t="str" cm="1">
        <f t="array" aca="1" ref="FQ33" ca="1">IFERROR(LEFT(INDIRECT(FP33),1)&amp;"]","")</f>
        <v/>
      </c>
      <c r="FR33" s="97" t="str">
        <f t="shared" ca="1" si="60"/>
        <v/>
      </c>
      <c r="FS33" s="97" t="str">
        <f ca="1">IFERROR(LEFT(FJ33,FIND(Stammdaten!$CA$4,FJ33,1)-2),IFERROR(LEFT(FJ33,FIND(Stammdaten!$CC$3,FJ33,1)-2),FJ33))</f>
        <v>Sprungdisziplinen</v>
      </c>
      <c r="FT33" s="97" t="str">
        <f ca="1">IF(NOT(ISERROR(FIND(Stammdaten!$CA$4,FJ33,1))),Stammdaten!$CA$4,IF(FU33&lt;&gt;Stammdaten!$CC$3,FR33,""))</f>
        <v>nicht durchgeführt</v>
      </c>
      <c r="FU33" s="91" t="str">
        <f ca="1">IF(FN33=$A$2,Stammdaten!$CC$3,FO33)</f>
        <v/>
      </c>
      <c r="FV33" s="97" t="str" cm="1">
        <f t="array" aca="1" ref="FV33" ca="1">INDIRECT(FV$5)</f>
        <v/>
      </c>
      <c r="FW33" s="97" t="str" cm="1">
        <f t="array" aca="1" ref="FW33" ca="1">INDIRECT(FW$5)</f>
        <v/>
      </c>
      <c r="FX33" s="97" t="str" cm="1">
        <f t="array" aca="1" ref="FX33" ca="1">INDIRECT(FX$5)</f>
        <v/>
      </c>
      <c r="FY33" s="97" t="str" cm="1">
        <f t="array" aca="1" ref="FY33" ca="1">INDIRECT(FY$5)</f>
        <v/>
      </c>
      <c r="FZ33" s="97" t="str" cm="1">
        <f t="array" aca="1" ref="FZ33" ca="1">INDIRECT(FZ$5)</f>
        <v/>
      </c>
      <c r="GA33" s="97" t="str" cm="1">
        <f t="array" aca="1" ref="GA33" ca="1">INDIRECT(GA$5)</f>
        <v/>
      </c>
      <c r="GB33" s="97" t="str">
        <f t="shared" ca="1" si="159"/>
        <v>Wurfdisziplinen nicht durchgeführt</v>
      </c>
      <c r="GC33" s="97" t="str">
        <f t="shared" ca="1" si="160"/>
        <v/>
      </c>
      <c r="GD33" s="108">
        <f t="shared" ca="1" si="161"/>
        <v>0</v>
      </c>
      <c r="GE33" s="108">
        <f t="shared" ca="1" si="162"/>
        <v>0</v>
      </c>
      <c r="GF33" s="108" t="str">
        <f t="shared" ca="1" si="163"/>
        <v/>
      </c>
      <c r="GG33" s="97" t="str">
        <f t="shared" ca="1" si="164"/>
        <v>Wurfdisziplinen nicht durchgeführt</v>
      </c>
      <c r="GH33" s="97" t="str">
        <f t="shared" ca="1" si="165"/>
        <v/>
      </c>
      <c r="GI33" s="97" t="str" cm="1">
        <f t="array" aca="1" ref="GI33" ca="1">IFERROR(IF(INDIRECT(INDEX(INDIRECT(GI$5),MATCH(GG33,INDIRECT(GI$4),0)))&lt;&gt;"",INDEX(INDIRECT(GI$5),MATCH(GG33,INDIRECT(GI$4),0)),INDEX(INDIRECT(GI$6),MATCH(GG33,INDIRECT(GI$4),0))),"")</f>
        <v/>
      </c>
      <c r="GJ33" s="97" t="str">
        <f t="shared" ca="1" si="166"/>
        <v/>
      </c>
      <c r="GK33" s="97" t="str" cm="1">
        <f t="array" aca="1" ref="GK33" ca="1">IFERROR(INDIRECT(GI33),IF(NOT(ISERROR(FIND(Stammdaten!$CC$3,GG33,1))),$A$2,""))</f>
        <v/>
      </c>
      <c r="GL33" s="97" t="str">
        <f ca="1">IF(GK33="","",IF(AND(GH33=Stammdaten!$BX$20,GJ33="0",GK33=1),SUBSTITUTE(TEXT(GK33,GJ33)&amp;" "&amp;LEFT(GH33,LEN(GH33)-1),".",","),SUBSTITUTE(TEXT(GK33,GJ33)&amp;" "&amp;GH33,".",",")))</f>
        <v/>
      </c>
      <c r="GM33" s="97" t="str">
        <f t="shared" ca="1" si="61"/>
        <v/>
      </c>
      <c r="GN33" s="97" t="str" cm="1">
        <f t="array" aca="1" ref="GN33" ca="1">IFERROR(LEFT(INDIRECT(GM33),1)&amp;"]","")</f>
        <v/>
      </c>
      <c r="GO33" s="97" t="str">
        <f t="shared" ca="1" si="62"/>
        <v/>
      </c>
      <c r="GP33" s="97" t="str">
        <f ca="1">IFERROR(LEFT(GG33,FIND(Stammdaten!$CA$4,GG33,1)-2),IFERROR(LEFT(GG33,FIND(Stammdaten!$CC$3,GG33,1)-2),GG33))</f>
        <v>Wurfdisziplinen</v>
      </c>
      <c r="GQ33" s="97" t="str">
        <f ca="1">IF(NOT(ISERROR(FIND(Stammdaten!$CA$4,GG33,1))),Stammdaten!$CA$4,IF(GR33&lt;&gt;Stammdaten!$CC$3,GO33,""))</f>
        <v>nicht durchgeführt</v>
      </c>
      <c r="GR33" s="91" t="str">
        <f ca="1">IF(GK33=$A$2,Stammdaten!$CC$3,GL33)</f>
        <v/>
      </c>
      <c r="GS33" s="97" t="str">
        <f t="shared" ca="1" si="63"/>
        <v/>
      </c>
      <c r="GT33" s="97" t="str">
        <f t="shared" ca="1" si="64"/>
        <v/>
      </c>
      <c r="GU33" s="97" t="str">
        <f t="shared" ca="1" si="65"/>
        <v/>
      </c>
      <c r="GV33" s="97" t="str">
        <f t="shared" ca="1" si="66"/>
        <v/>
      </c>
      <c r="GW33" s="97">
        <f t="shared" ca="1" si="167"/>
        <v>0</v>
      </c>
      <c r="GX33" s="108">
        <f t="shared" ca="1" si="168"/>
        <v>0</v>
      </c>
      <c r="GY33" s="108">
        <f t="shared" ca="1" si="169"/>
        <v>0</v>
      </c>
      <c r="GZ33" s="108" t="str">
        <f t="shared" ca="1" si="170"/>
        <v/>
      </c>
      <c r="HA33" s="97" t="str">
        <f ca="1">IF(GZ33="",Stammdaten!$BZ$1,IF(AND(GX33=0,GY33&gt;=GZ$25),$A$3,ROUND(SUM(GW33/GZ33)/HA$25,0)*HA$25))</f>
        <v>Zu wenige Werte</v>
      </c>
      <c r="HB33" s="108">
        <f t="shared" ca="1" si="171"/>
        <v>6</v>
      </c>
      <c r="HC33" s="97" t="str">
        <f t="shared" ca="1" si="172"/>
        <v/>
      </c>
      <c r="HD33" s="97" t="str">
        <f t="shared" ca="1" si="173"/>
        <v/>
      </c>
      <c r="HE33" s="97" t="str">
        <f t="shared" ca="1" si="174"/>
        <v/>
      </c>
      <c r="HF33" s="97" t="str">
        <f t="shared" ca="1" si="175"/>
        <v/>
      </c>
      <c r="HG33" s="97" t="str">
        <f t="shared" ca="1" si="176"/>
        <v/>
      </c>
      <c r="HH33" s="97" t="str">
        <f t="shared" ca="1" si="177"/>
        <v>g</v>
      </c>
      <c r="HI33" s="97" t="str">
        <f t="shared" ca="1" si="178"/>
        <v/>
      </c>
      <c r="HJ33" s="97">
        <f t="shared" ca="1" si="179"/>
        <v>1</v>
      </c>
      <c r="HK33" s="97" t="str">
        <f ca="1">IF(OR(Geschlecht[[#This Row],[Geschlecht (Skala)]]="",NOT(ISNUMBER(GZ33))),"",HJ33)</f>
        <v/>
      </c>
      <c r="HL33" s="97" t="str">
        <f t="shared" ca="1" si="180"/>
        <v/>
      </c>
      <c r="HM33" s="97"/>
      <c r="HN33" s="308" t="str">
        <f t="shared" ca="1" si="68"/>
        <v>Zu wenige Werte</v>
      </c>
      <c r="HO33" s="97"/>
      <c r="HP33" s="307"/>
      <c r="HQ33" s="96" t="str">
        <f>IFERROR(IFERROR(SUBSTITUTE(ReckResultat[[#This Row],[Eingabe]],".",",")*1,SUBSTITUTE(ReckResultat[[#This Row],[Eingabe]],",",".")*1),"")</f>
        <v/>
      </c>
      <c r="HR33" s="96" t="e">
        <f>INT(ReckResultat[[#This Row],[Resultat]])=ReckResultat[[#This Row],[Resultat]]</f>
        <v>#VALUE!</v>
      </c>
      <c r="HS33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3" s="96"/>
      <c r="HX33" s="97"/>
      <c r="HY33" s="307"/>
      <c r="HZ33" s="96" t="str">
        <f>IFERROR(IFERROR(SUBSTITUTE(BodenResultat[[#This Row],[Eingabe]],".",",")*1,SUBSTITUTE(BodenResultat[[#This Row],[Eingabe]],",",".")*1),"")</f>
        <v/>
      </c>
      <c r="IA33" s="96" t="e">
        <f>INT(BodenResultat[[#This Row],[Resultat]])=BodenResultat[[#This Row],[Resultat]]</f>
        <v>#VALUE!</v>
      </c>
      <c r="IB33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3" s="96"/>
      <c r="IG33" s="97"/>
      <c r="IH33" s="307"/>
      <c r="II33" s="96" t="str">
        <f>IFERROR(IFERROR(SUBSTITUTE(StufenbarrenResultat[[#This Row],[Eingabe]],".",",")*1,SUBSTITUTE(StufenbarrenResultat[[#This Row],[Eingabe]],",",".")*1),"")</f>
        <v/>
      </c>
      <c r="IJ33" s="96" t="e">
        <f>INT(StufenbarrenResultat[[#This Row],[Resultat]])=StufenbarrenResultat[[#This Row],[Resultat]]</f>
        <v>#VALUE!</v>
      </c>
      <c r="IK33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3" s="96"/>
      <c r="IP33" s="97"/>
      <c r="IQ33" s="307"/>
      <c r="IR33" s="96" t="str">
        <f>IFERROR(IFERROR(SUBSTITUTE(ParallelbarrenResultat[[#This Row],[Eingabe]],".",",")*1,SUBSTITUTE(ParallelbarrenResultat[[#This Row],[Eingabe]],",",".")*1),"")</f>
        <v/>
      </c>
      <c r="IS33" s="96" t="e">
        <f>INT(ParallelbarrenResultat[[#This Row],[Resultat]])=ParallelbarrenResultat[[#This Row],[Resultat]]</f>
        <v>#VALUE!</v>
      </c>
      <c r="IT33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3" s="96"/>
      <c r="IY33" s="97"/>
      <c r="IZ33" s="307"/>
      <c r="JA33" s="96" t="str">
        <f>IFERROR(IFERROR(SUBSTITUTE(SchaukelringeResultat[[#This Row],[Eingabe]],".",",")*1,SUBSTITUTE(SchaukelringeResultat[[#This Row],[Eingabe]],",",".")*1),"")</f>
        <v/>
      </c>
      <c r="JB33" s="96" t="e">
        <f>INT(SchaukelringeResultat[[#This Row],[Resultat]])=SchaukelringeResultat[[#This Row],[Resultat]]</f>
        <v>#VALUE!</v>
      </c>
      <c r="JC33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3" s="96"/>
      <c r="JH33" s="97"/>
      <c r="JI33" s="307"/>
      <c r="JJ33" s="96" t="str">
        <f>IFERROR(IFERROR(SUBSTITUTE(SprungResultat[[#This Row],[Eingabe]],".",",")*1,SUBSTITUTE(SprungResultat[[#This Row],[Eingabe]],",",".")*1),"")</f>
        <v/>
      </c>
      <c r="JK33" s="96" t="e">
        <f>INT(SprungResultat[[#This Row],[Resultat]])=SprungResultat[[#This Row],[Resultat]]</f>
        <v>#VALUE!</v>
      </c>
      <c r="JL33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3" s="96"/>
      <c r="JQ33" s="97"/>
      <c r="JR33" s="309" t="str" cm="1">
        <f t="array" aca="1" ref="JR33" ca="1">IF(AND(ISNUMBER(INDIRECT(JR$3)),INDIRECT(JR$3)&gt;0),INDIRECT(JR$3),"")</f>
        <v/>
      </c>
      <c r="JS33" s="309" t="str" cm="1">
        <f t="array" aca="1" ref="JS33" ca="1">IF(AND(ISNUMBER(INDIRECT(JS$3)),INDIRECT(JS$3)&gt;0),INDIRECT(JS$3),"")</f>
        <v/>
      </c>
      <c r="JT33" s="309" t="str" cm="1">
        <f t="array" aca="1" ref="JT33" ca="1">IF(AND(ISNUMBER(INDIRECT(JT$3)),INDIRECT(JT$3)&gt;0),INDIRECT(JT$3),"")</f>
        <v/>
      </c>
      <c r="JU33" s="309" t="str" cm="1">
        <f t="array" aca="1" ref="JU33" ca="1">IF(AND(ISNUMBER(INDIRECT(JU$3)),INDIRECT(JU$3)&gt;0),INDIRECT(JU$3),"")</f>
        <v/>
      </c>
      <c r="JV33" s="309" t="str" cm="1">
        <f t="array" aca="1" ref="JV33" ca="1">IF(AND(ISNUMBER(INDIRECT(JV$3)),INDIRECT(JV$3)&gt;0),INDIRECT(JV$3),"")</f>
        <v/>
      </c>
      <c r="JW33" s="309" t="str" cm="1">
        <f t="array" aca="1" ref="JW33" ca="1">IF(AND(ISNUMBER(INDIRECT(JW$3)),INDIRECT(JW$3)&gt;0),INDIRECT(JW$3),"")</f>
        <v/>
      </c>
      <c r="JX33" s="309" t="str">
        <f t="shared" ca="1" si="69"/>
        <v>x</v>
      </c>
      <c r="JY33" s="309" t="str">
        <f t="shared" ca="1" si="70"/>
        <v>y</v>
      </c>
      <c r="JZ33" s="309" t="str">
        <f t="shared" ca="1" si="71"/>
        <v>z</v>
      </c>
      <c r="KA33" s="309" t="str">
        <f t="shared" ca="1" si="181"/>
        <v>a</v>
      </c>
      <c r="KB33" s="309" t="str" cm="1">
        <f t="array" aca="1" ref="KB33" ca="1">IF(KA33="a","",INDEX($JR$23:$JW$23,,MATCH(KA33,$JR33:$JW33,0)))</f>
        <v/>
      </c>
      <c r="KC33" s="309" t="str" cm="1">
        <f t="array" aca="1" ref="KC33" ca="1">IF(OR(KB33="",KB33&gt;=$JW$23),"",INDEX(INDIRECT(ADDRESS(ROW($JR$23),KB33+1)):$JW$23,,MATCH(KA33,INDIRECT(ADDRESS(ROW(),KB33+1)):$JW33,0)))</f>
        <v/>
      </c>
      <c r="KD33" s="309" t="str" cm="1">
        <f t="array" aca="1" ref="KD33" ca="1">IF(OR(KC33="",KC33&gt;=$JW$23),"",INDEX(INDIRECT(ADDRESS(ROW($JR$23),KC33+1)):$JW$23,,MATCH(KA33,INDIRECT(ADDRESS(ROW(),KC33+1)):$JW33,0)))</f>
        <v/>
      </c>
      <c r="KE33" s="309" t="str">
        <f t="shared" ca="1" si="182"/>
        <v>c</v>
      </c>
      <c r="KF33" s="309" t="str" cm="1">
        <f t="array" aca="1" ref="KF33" ca="1">IF(OR(KE33="b",KE33="c"),"",INDEX($JR$23:$JW$23,,MATCH(KE33,$JR33:$JW33,0)))</f>
        <v/>
      </c>
      <c r="KG33" s="309" t="str" cm="1">
        <f t="array" aca="1" ref="KG33" ca="1">IF(OR(KF33="",KF33&gt;=$JW$23),"",INDEX(INDIRECT(ADDRESS(ROW($JR$23),KF33+1)):$JW$23,,MATCH(KE33,INDIRECT(ADDRESS(ROW(),KF33+1)):$JW33,0)))</f>
        <v/>
      </c>
      <c r="KH33" s="309" t="str">
        <f t="shared" ca="1" si="72"/>
        <v/>
      </c>
      <c r="KI33" s="309" t="str">
        <f t="shared" ca="1" si="183"/>
        <v>e</v>
      </c>
      <c r="KJ33" s="309" t="str">
        <f t="shared" ca="1" si="73"/>
        <v/>
      </c>
      <c r="KK33" s="309" t="str" cm="1">
        <f t="array" aca="1" ref="KK33" ca="1">IF(OR(KI33="d",KI33="e"),"",INDEX($JR$23:$JW$23,,MATCH(KI33,$JR33:$JW33,0)))</f>
        <v/>
      </c>
      <c r="KL33" s="309" t="str" cm="1">
        <f t="array" aca="1" ref="KL33" ca="1">IF(OR(KK33="",KK33&gt;=$JW$23),"",INDEX(INDIRECT(ADDRESS(ROW($JR$23),KK33+1)):$JW$23,,MATCH(KI33,INDIRECT(ADDRESS(ROW(),KK33+1)):$JW33,0)))</f>
        <v/>
      </c>
      <c r="KM33" s="309" t="str" cm="1">
        <f t="array" aca="1" ref="KM33" ca="1">IFERROR(IF(ISNUMBER(KB33),KB33,IF(ISNUMBER(KF33),KF33,IF(ISNUMBER(KJ33),KJ33,INDEX($JR$23:$JW$23,,MATCH(JX33,$JR33:$JW33,0))))),"x1")</f>
        <v>x1</v>
      </c>
      <c r="KN33" s="309" t="str" cm="1">
        <f t="array" aca="1" ref="KN33" ca="1">IFERROR(IF(ISNUMBER(KC33),KC33,IF(ISNUMBER(KG33),KG33,IF(ISNUMBER(KK33),KK33,INDEX($JR$23:$JW$23,,MATCH(JY33,$JR33:$JW33,0))))),IF(KM33="x1","x2","x1"))</f>
        <v>x2</v>
      </c>
      <c r="KO33" s="309" t="str" cm="1">
        <f t="array" aca="1" ref="KO33" ca="1">IFERROR(IF(ISNUMBER(KD33),KD33,IF(ISNUMBER(KH33),KH33,IF(ISNUMBER(KL33),KL33,INDEX($JR$23:$JW$23,,MATCH(JZ33,$JR33:$JW33,0))))),IF(KN33="x1","x2",IF(KN33="x2","x3","x1")))</f>
        <v>x3</v>
      </c>
      <c r="KP33" s="97" t="str" cm="1">
        <f t="array" aca="1" ref="KP33" ca="1">IF(OR(INDIRECT(KP$3)=$A$2,INDIRECT(KP$3)=$A$3),COLUMN(),"")</f>
        <v/>
      </c>
      <c r="KQ33" s="97" t="str" cm="1">
        <f t="array" aca="1" ref="KQ33" ca="1">IF(OR(INDIRECT(KQ$3)=$A$2,INDIRECT(KQ$3)=$A$3),COLUMN(),"")</f>
        <v/>
      </c>
      <c r="KR33" s="97" t="str" cm="1">
        <f t="array" aca="1" ref="KR33" ca="1">IF(OR(INDIRECT(KR$3)=$A$2,INDIRECT(KR$3)=$A$3),COLUMN(),"")</f>
        <v/>
      </c>
      <c r="KS33" s="97" t="str" cm="1">
        <f t="array" aca="1" ref="KS33" ca="1">IF(OR(INDIRECT(KS$3)=$A$2,INDIRECT(KS$3)=$A$3),COLUMN(),"")</f>
        <v/>
      </c>
      <c r="KT33" s="97" t="str" cm="1">
        <f t="array" aca="1" ref="KT33" ca="1">IF(OR(INDIRECT(KT$3)=$A$2,INDIRECT(KT$3)=$A$3),COLUMN(),"")</f>
        <v/>
      </c>
      <c r="KU33" s="97" t="str" cm="1">
        <f t="array" aca="1" ref="KU33" ca="1">IF(OR(INDIRECT(KU$3)=$A$2,INDIRECT(KU$3)=$A$3),COLUMN(),"")</f>
        <v/>
      </c>
      <c r="KV33" s="97" t="str" cm="1">
        <f t="array" aca="1" ref="KV33" ca="1">IF(AND(ISNUMBER(INDIRECT(KV$3)),INDIRECT(KV$3)=0),COLUMN(),"")</f>
        <v/>
      </c>
      <c r="KW33" s="97" t="str" cm="1">
        <f t="array" aca="1" ref="KW33" ca="1">IF(AND(ISNUMBER(INDIRECT(KW$3)),INDIRECT(KW$3)=0),COLUMN(),"")</f>
        <v/>
      </c>
      <c r="KX33" s="97" t="str" cm="1">
        <f t="array" aca="1" ref="KX33" ca="1">IF(AND(ISNUMBER(INDIRECT(KX$3)),INDIRECT(KX$3)=0),COLUMN(),"")</f>
        <v/>
      </c>
      <c r="KY33" s="97" t="str" cm="1">
        <f t="array" aca="1" ref="KY33" ca="1">IF(AND(ISNUMBER(INDIRECT(KY$3)),INDIRECT(KY$3)=0),COLUMN(),"")</f>
        <v/>
      </c>
      <c r="KZ33" s="97" t="str" cm="1">
        <f t="array" aca="1" ref="KZ33" ca="1">IF(AND(ISNUMBER(INDIRECT(KZ$3)),INDIRECT(KZ$3)=0),COLUMN(),"")</f>
        <v/>
      </c>
      <c r="LA33" s="97" t="str" cm="1">
        <f t="array" aca="1" ref="LA33" ca="1">IF(AND(ISNUMBER(INDIRECT(LA$3)),INDIRECT(LA$3)=0),COLUMN(),"")</f>
        <v/>
      </c>
      <c r="LB33" s="97" t="str">
        <f t="shared" ca="1" si="184"/>
        <v>x1</v>
      </c>
      <c r="LC33" s="97" t="str">
        <f t="shared" ca="1" si="185"/>
        <v>x2</v>
      </c>
      <c r="LD33" s="97" t="str">
        <f t="shared" ca="1" si="186"/>
        <v>x3</v>
      </c>
      <c r="LE33" s="97" t="str">
        <f ca="1">IFERROR(IF(ISNUMBER(LB33),LB33,SMALL($KV33:$LA33,VALUE(RIGHT(LB33,1)))),Stammdaten!$CA$17)</f>
        <v>Erstes Gerät nicht durchgeführt</v>
      </c>
      <c r="LF33" s="97" t="str">
        <f ca="1">IFERROR(IF(ISNUMBER(LC33),LC33,SMALL($KV33:$LA33,VALUE(RIGHT(LC33,1)))),Stammdaten!$CA$18)</f>
        <v>Zweites Gerät nicht durchgeführt</v>
      </c>
      <c r="LG33" s="97" t="str">
        <f ca="1">IFERROR(IF(ISNUMBER(LD33),LD33,SMALL($KV33:$LA33,VALUE(RIGHT(LD33,1)))),Stammdaten!$CA$19)</f>
        <v>Drittes Gerät nicht durchgeführt</v>
      </c>
      <c r="LH33" s="91" t="str" cm="1">
        <f t="array" aca="1" ref="LH33" ca="1">IFERROR(INDIRECT(ADDRESS(ROW($JR$5),LE33)),LE33)</f>
        <v>Erstes Gerät nicht durchgeführt</v>
      </c>
      <c r="LI33" s="97" t="str">
        <f t="shared" ca="1" si="187"/>
        <v/>
      </c>
      <c r="LJ33" s="97" t="str" cm="1">
        <f t="array" aca="1" ref="LJ33" ca="1">IFERROR(IF(INDIRECT(INDEX(INDIRECT(LJ$5),MATCH(LH33,INDIRECT(LJ$4),0)))&lt;&gt;"",INDEX(INDIRECT(LJ$5),MATCH(LH33,INDIRECT(LJ$4),0)),INDEX(INDIRECT(LJ$6),MATCH(LH33,INDIRECT(LJ$4),0))),"")</f>
        <v/>
      </c>
      <c r="LK33" s="97" t="str">
        <f t="shared" ca="1" si="188"/>
        <v/>
      </c>
      <c r="LL33" s="97" t="str" cm="1">
        <f t="array" aca="1" ref="LL33" ca="1">IFERROR(INDIRECT(LJ33),"")</f>
        <v/>
      </c>
      <c r="LM33" s="97" t="str">
        <f ca="1">IF(LL33="","",IF(AND(LI33=Stammdaten!$BX$20,LK33="0",LL33=1),SUBSTITUTE(TEXT(LL33,LK33)&amp;" "&amp;LEFT(LI33,LEN(LI33)-1),".",","),SUBSTITUTE(TEXT(LL33,LK33)&amp;" "&amp;LI33,".",",")))</f>
        <v/>
      </c>
      <c r="LN33" s="97" t="str">
        <f t="shared" ca="1" si="74"/>
        <v/>
      </c>
      <c r="LO33" s="97" t="str" cm="1">
        <f t="array" aca="1" ref="LO33" ca="1">IFERROR(LEFT(INDIRECT(LN33),1)&amp;"]","")</f>
        <v/>
      </c>
      <c r="LP33" s="97" t="str">
        <f t="shared" ca="1" si="75"/>
        <v/>
      </c>
      <c r="LQ33" s="97" t="str">
        <f ca="1">IFERROR(LEFT(LH33,FIND(Stammdaten!$CA$4,LH33,1)-2),IFERROR(LEFT(LH33,FIND(Stammdaten!$CC$3,LH33,1)-2),LH33))</f>
        <v>Erstes Gerät</v>
      </c>
      <c r="LR33" s="97" t="str">
        <f ca="1">IF(NOT(ISERROR(FIND(Stammdaten!$CA$4,LH33,1))),Stammdaten!$CA$4,IF(LS33&lt;&gt;Stammdaten!$CC$3,LP33,""))</f>
        <v>nicht durchgeführt</v>
      </c>
      <c r="LS33" s="91" t="str">
        <f ca="1">IF(LL33=$A$2,Stammdaten!$CC$3,LM33)</f>
        <v/>
      </c>
      <c r="LT33" s="91" t="str" cm="1">
        <f t="array" aca="1" ref="LT33" ca="1">IFERROR(INDIRECT(ADDRESS(ROW($JR$5),LF33)),LF33)</f>
        <v>Zweites Gerät nicht durchgeführt</v>
      </c>
      <c r="LU33" s="97" t="str">
        <f t="shared" ca="1" si="189"/>
        <v/>
      </c>
      <c r="LV33" s="97" t="str" cm="1">
        <f t="array" aca="1" ref="LV33" ca="1">IFERROR(IF(INDIRECT(INDEX(INDIRECT(LV$5),MATCH(LT33,INDIRECT(LV$4),0)))&lt;&gt;"",INDEX(INDIRECT(LV$5),MATCH(LT33,INDIRECT(LV$4),0)),INDEX(INDIRECT(LV$6),MATCH(LT33,INDIRECT(LV$4),0))),"")</f>
        <v/>
      </c>
      <c r="LW33" s="97" t="str">
        <f t="shared" ca="1" si="190"/>
        <v/>
      </c>
      <c r="LX33" s="97" t="str" cm="1">
        <f t="array" aca="1" ref="LX33" ca="1">IFERROR(INDIRECT(LV33),"")</f>
        <v/>
      </c>
      <c r="LY33" s="97" t="str">
        <f ca="1">IF(LX33="","",IF(AND(LU33=Stammdaten!$BX$20,LW33="0",LX33=1),SUBSTITUTE(TEXT(LX33,LW33)&amp;" "&amp;LEFT(LU33,LEN(LU33)-1),".",","),SUBSTITUTE(TEXT(LX33,LW33)&amp;" "&amp;LU33,".",",")))</f>
        <v/>
      </c>
      <c r="LZ33" s="97" t="str">
        <f t="shared" ca="1" si="76"/>
        <v/>
      </c>
      <c r="MA33" s="97" t="str" cm="1">
        <f t="array" aca="1" ref="MA33" ca="1">IFERROR(LEFT(INDIRECT(LZ33),1)&amp;"]","")</f>
        <v/>
      </c>
      <c r="MB33" s="97" t="str">
        <f t="shared" ca="1" si="77"/>
        <v/>
      </c>
      <c r="MC33" s="97" t="str">
        <f ca="1">IFERROR(LEFT(LT33,FIND(Stammdaten!$CA$4,LT33,1)-2),IFERROR(LEFT(LT33,FIND(Stammdaten!$CC$3,LT33,1)-2),LT33))</f>
        <v>Zweites Gerät</v>
      </c>
      <c r="MD33" s="97" t="str">
        <f ca="1">IF(NOT(ISERROR(FIND(Stammdaten!$CA$4,LT33,1))),Stammdaten!$CA$4,IF(ME33&lt;&gt;Stammdaten!$CC$3,MB33,""))</f>
        <v>nicht durchgeführt</v>
      </c>
      <c r="ME33" s="91" t="str">
        <f ca="1">IF(LX33=$A$2,Stammdaten!$CC$3,LY33)</f>
        <v/>
      </c>
      <c r="MF33" s="91" t="str" cm="1">
        <f t="array" aca="1" ref="MF33" ca="1">IFERROR(INDIRECT(ADDRESS(ROW($JR$5),LG33)),LG33)</f>
        <v>Drittes Gerät nicht durchgeführt</v>
      </c>
      <c r="MG33" s="97" t="str">
        <f t="shared" ca="1" si="191"/>
        <v/>
      </c>
      <c r="MH33" s="97" t="str" cm="1">
        <f t="array" aca="1" ref="MH33" ca="1">IFERROR(IF(INDIRECT(INDEX(INDIRECT(MH$5),MATCH(MF33,INDIRECT(MH$4),0)))&lt;&gt;"",INDEX(INDIRECT(MH$5),MATCH(MF33,INDIRECT(MH$4),0)),INDEX(INDIRECT(MH$6),MATCH(MF33,INDIRECT(MH$4),0))),"")</f>
        <v/>
      </c>
      <c r="MI33" s="97" t="str">
        <f t="shared" ca="1" si="192"/>
        <v/>
      </c>
      <c r="MJ33" s="97" t="str" cm="1">
        <f t="array" aca="1" ref="MJ33" ca="1">IFERROR(INDIRECT(MH33),"")</f>
        <v/>
      </c>
      <c r="MK33" s="97" t="str">
        <f ca="1">IF(MJ33="","",IF(AND(MG33=Stammdaten!$BX$20,MI33="0",MJ33=1),SUBSTITUTE(TEXT(MJ33,MI33)&amp;" "&amp;LEFT(MG33,LEN(MG33)-1),".",","),SUBSTITUTE(TEXT(MJ33,MI33)&amp;" "&amp;MG33,".",",")))</f>
        <v/>
      </c>
      <c r="ML33" s="97" t="str">
        <f t="shared" ca="1" si="78"/>
        <v/>
      </c>
      <c r="MM33" s="97" t="str" cm="1">
        <f t="array" aca="1" ref="MM33" ca="1">IFERROR(LEFT(INDIRECT(ML33),1)&amp;"]","")</f>
        <v/>
      </c>
      <c r="MN33" s="97" t="str">
        <f t="shared" ca="1" si="79"/>
        <v/>
      </c>
      <c r="MO33" s="97" t="str">
        <f ca="1">IFERROR(LEFT(MF33,FIND(Stammdaten!$CA$4,MF33,1)-2),IFERROR(LEFT(MF33,FIND(Stammdaten!$CC$3,MF33,1)-2),MF33))</f>
        <v>Drittes Gerät</v>
      </c>
      <c r="MP33" s="97" t="str">
        <f ca="1">IF(NOT(ISERROR(FIND(Stammdaten!$CA$4,MF33,1))),Stammdaten!$CA$4,IF(MQ33&lt;&gt;Stammdaten!$CC$3,MN33,""))</f>
        <v>nicht durchgeführt</v>
      </c>
      <c r="MQ33" s="91" t="str">
        <f ca="1">IF(MJ33=$A$2,Stammdaten!$CC$3,MK33)</f>
        <v/>
      </c>
      <c r="MR33" s="97">
        <f t="shared" ca="1" si="80"/>
        <v>0</v>
      </c>
      <c r="MS33" s="108">
        <f t="shared" ca="1" si="193"/>
        <v>0</v>
      </c>
      <c r="MT33" s="108">
        <f t="shared" ca="1" si="194"/>
        <v>0</v>
      </c>
      <c r="MU33" s="108">
        <f t="shared" ca="1" si="195"/>
        <v>0</v>
      </c>
      <c r="MV33" s="108" t="str">
        <f t="shared" ca="1" si="196"/>
        <v/>
      </c>
      <c r="MW33" s="97" t="str">
        <f ca="1">IF(MV33="",Stammdaten!$BZ$1,IF(AND(MS33+MT33=0,MU33&gt;=MV$25),$A$3,MR33))</f>
        <v>Zu wenige Werte</v>
      </c>
      <c r="MX33" s="97"/>
      <c r="MY33" s="91" t="str">
        <f t="shared" ca="1" si="81"/>
        <v/>
      </c>
      <c r="MZ33" s="96" t="str">
        <f>LEFT(Geschlecht[[#This Row],[Geschlecht (Skala)]],1)&amp;$MZ$27</f>
        <v>2</v>
      </c>
      <c r="NA33" s="96" t="str">
        <f t="shared" ca="1" si="82"/>
        <v>Geräteturnen_2[Resultat]</v>
      </c>
      <c r="NB33" s="97" t="str" cm="1">
        <f t="array" aca="1" ref="NB33" ca="1">IF(OR($MW33="",$MW33=Stammdaten!$BZ$1),"",IF($MW33=0,0,IF(OR($MW33=$A$2,$MW33=$A$3),$A$3,IFERROR(INDEX(INDIRECT(NA33),MATCH(INDIRECT(MY$3),INDIRECT(NA33),NA$25)),IFERROR(IF(NA$25=-1,MAX(INDIRECT(NA33)),IF(NA$25=1,MIN(INDIRECT(NA33)))),"")))))</f>
        <v/>
      </c>
      <c r="ND33" s="91" t="str">
        <f t="shared" ca="1" si="83"/>
        <v>Geräteturnen_2[Note]</v>
      </c>
      <c r="NE33" s="97" t="str" cm="1">
        <f t="array" aca="1" ref="NE33" ca="1">IFERROR(INDEX(INDIRECT(ND33),MATCH(INDIRECT(MY$5),INDIRECT(NA33),0)),IF(INDIRECT(MY$5)=0,1,""))</f>
        <v/>
      </c>
      <c r="NF33" s="97"/>
      <c r="NG33" s="307"/>
      <c r="NH33" s="96" t="str">
        <f>IFERROR(IFERROR(SUBSTITUTE(ParkourResultat[[#This Row],[Eingabe]],".",",")*1,SUBSTITUTE(ParkourResultat[[#This Row],[Eingabe]],",",".")*1),"")</f>
        <v/>
      </c>
      <c r="NI33" s="96" t="e">
        <f>INT(ParkourResultat[[#This Row],[Resultat]])=ParkourResultat[[#This Row],[Resultat]]</f>
        <v>#VALUE!</v>
      </c>
      <c r="NJ33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3" s="96"/>
      <c r="NL33" s="91" t="str" cm="1">
        <f t="array" aca="1" ref="NL33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3" s="96" t="str">
        <f ca="1">LEFT(Geschlecht[[#This Row],[Geschlecht (Skala)]],1)&amp;NR$4</f>
        <v>2</v>
      </c>
      <c r="NN33" s="96" t="str">
        <f t="shared" ca="1" si="84"/>
        <v>Parkour_2[Resultat]</v>
      </c>
      <c r="NO33" s="97" t="str" cm="1">
        <f t="array" aca="1" ref="NO33" ca="1">IF(INDIRECT(NL$1)="","",IF(INDIRECT(NL$2)=0,0,IF(OR(INDIRECT(NL$1)=$A$2,INDIRECT(NL$1)=$A$3),$A$3,IFERROR(INDEX(INDIRECT(NN33),MATCH(INDIRECT(NL$3),INDIRECT(NN33),NN$25)),IFERROR(IF(NN$25=-1,MAX(INDIRECT(NN33)),IF(NN$25=1,MIN(INDIRECT(NN33)))),"")))))</f>
        <v/>
      </c>
      <c r="NQ33" s="91" t="str">
        <f t="shared" ca="1" si="85"/>
        <v>Parkour_2[Note]</v>
      </c>
      <c r="NR33" s="97" t="str" cm="1">
        <f t="array" aca="1" ref="NR33" ca="1">IFERROR(INDEX(INDIRECT(NQ33),MATCH(INDIRECT(NL$5),INDIRECT(NN33),0)),IF(INDIRECT(NL$5)=0,1,""))</f>
        <v/>
      </c>
      <c r="NS33" s="97"/>
      <c r="NT33" s="97" t="str" cm="1">
        <f t="array" aca="1" ref="NT33" ca="1">INDIRECT(NT$5)</f>
        <v/>
      </c>
      <c r="NU33" s="97" t="str" cm="1">
        <f t="array" aca="1" ref="NU33" ca="1">INDIRECT(NU$5)</f>
        <v/>
      </c>
      <c r="NV33" s="97" t="str" cm="1">
        <f t="array" aca="1" ref="NV33" ca="1">INDIRECT(NV$5)</f>
        <v/>
      </c>
      <c r="NW33" s="97" t="str" cm="1">
        <f t="array" aca="1" ref="NW33" ca="1">INDIRECT(NW$5)</f>
        <v/>
      </c>
      <c r="NX33" s="97" t="str">
        <f t="shared" ca="1" si="86"/>
        <v>Parkour nicht durchgeführt</v>
      </c>
      <c r="NY33" s="97" t="str">
        <f t="shared" ca="1" si="197"/>
        <v/>
      </c>
      <c r="NZ33" s="97" t="str" cm="1">
        <f t="array" aca="1" ref="NZ33" ca="1">IFERROR(IF(INDIRECT(INDEX(INDIRECT(NZ$5),MATCH(NX33,INDIRECT(NZ$4),0)))&lt;&gt;"",INDEX(INDIRECT(NZ$5),MATCH(NX33,INDIRECT(NZ$4),0)),INDEX(INDIRECT(NZ$6),MATCH(NX33,INDIRECT(NZ$4),0))),"")</f>
        <v/>
      </c>
      <c r="OA33" s="97" t="str">
        <f t="shared" ca="1" si="198"/>
        <v/>
      </c>
      <c r="OB33" s="97" t="str" cm="1">
        <f t="array" aca="1" ref="OB33" ca="1">IFERROR(INDIRECT(NZ33),IF(NOT(ISERROR(FIND(Stammdaten!$CC$3,NX33,1))),$A$2,""))</f>
        <v/>
      </c>
      <c r="OC33" s="97" t="str">
        <f ca="1">IF(OB33="","",IF(AND(NY33=Stammdaten!$BX$20,OA33="0",OB33=1),SUBSTITUTE(TEXT(OB33,OA33)&amp;" "&amp;LEFT(NY33,LEN(NY33)-1),".",","),SUBSTITUTE(TEXT(OB33,OA33)&amp;" "&amp;NY33,".",",")))</f>
        <v/>
      </c>
      <c r="OD33" s="97" t="str">
        <f t="shared" ca="1" si="87"/>
        <v/>
      </c>
      <c r="OE33" s="97" t="str" cm="1">
        <f t="array" aca="1" ref="OE33" ca="1">IFERROR(LEFT(INDIRECT(OD33),1)&amp;"]","")</f>
        <v/>
      </c>
      <c r="OF33" s="97" t="str">
        <f t="shared" ca="1" si="88"/>
        <v/>
      </c>
      <c r="OG33" s="97" t="str">
        <f ca="1">IFERROR(LEFT(NX33,FIND(Stammdaten!$CA$4,NX33,1)-2),IFERROR(LEFT(NX33,FIND(Stammdaten!$CC$3,NX33,1)-2),NX33))</f>
        <v>Parkour</v>
      </c>
      <c r="OH33" s="97" t="str">
        <f ca="1">IF(NOT(ISERROR(FIND(Stammdaten!$CA$4,NX33,1))),Stammdaten!$CA$4,IF(OI33&lt;&gt;Stammdaten!$CC$3,OF33,""))</f>
        <v>nicht durchgeführt</v>
      </c>
      <c r="OI33" s="91" t="str">
        <f ca="1">IF(OB33=$A$2,Stammdaten!$CC$3,OC33)</f>
        <v/>
      </c>
      <c r="OJ33" s="97" t="str">
        <f t="shared" ca="1" si="89"/>
        <v/>
      </c>
      <c r="OK33" s="97" t="str">
        <f t="shared" ca="1" si="90"/>
        <v/>
      </c>
      <c r="OL33" s="97">
        <f t="shared" ca="1" si="199"/>
        <v>0</v>
      </c>
      <c r="OM33" s="108">
        <f t="shared" ca="1" si="91"/>
        <v>0</v>
      </c>
      <c r="ON33" s="108">
        <f t="shared" ca="1" si="92"/>
        <v>0</v>
      </c>
      <c r="OO33" s="108" t="str">
        <f t="shared" ca="1" si="200"/>
        <v/>
      </c>
      <c r="OP33" s="97" t="str">
        <f ca="1">IF(OO33="",Stammdaten!$BZ$1,IF(AND(OM33=0,ON33&gt;=OO$25),$A$3,ROUND(SUM(OL33/OO33)/OP$25,0)*OP$25))</f>
        <v>Zu wenige Werte</v>
      </c>
      <c r="OQ33" s="108">
        <f t="shared" ca="1" si="201"/>
        <v>6</v>
      </c>
      <c r="OR33" s="97" t="str">
        <f t="shared" ca="1" si="202"/>
        <v/>
      </c>
      <c r="OS33" s="97" t="str">
        <f t="shared" ca="1" si="203"/>
        <v/>
      </c>
      <c r="OT33" s="97" t="str">
        <f t="shared" ca="1" si="204"/>
        <v/>
      </c>
      <c r="OU33" s="97" t="str">
        <f t="shared" ca="1" si="205"/>
        <v>g</v>
      </c>
      <c r="OV33" s="97" t="str">
        <f t="shared" ca="1" si="206"/>
        <v/>
      </c>
      <c r="OW33" s="97">
        <f t="shared" ca="1" si="207"/>
        <v>1</v>
      </c>
      <c r="OX33" s="97" t="str">
        <f ca="1">IF(OR(Geschlecht[[#This Row],[Geschlecht (Skala)]]="",NOT(ISNUMBER(OO33))),"",OW33)</f>
        <v/>
      </c>
      <c r="OY33" s="97" t="str">
        <f t="shared" ca="1" si="208"/>
        <v/>
      </c>
      <c r="OZ33" s="97"/>
      <c r="PA33" s="308" t="str">
        <f t="shared" ca="1" si="209"/>
        <v>Zu wenige Werte</v>
      </c>
      <c r="PB33" s="97"/>
      <c r="PC33" s="307"/>
      <c r="PD33" s="96" t="str">
        <f>IFERROR(IFERROR(SUBSTITUTE(TanzenResultat[[#This Row],[Eingabe]],".",",")*1,SUBSTITUTE(TanzenResultat[[#This Row],[Eingabe]],",",".")*1),"")</f>
        <v/>
      </c>
      <c r="PE33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3" s="96"/>
      <c r="PG33" s="91" t="str" cm="1">
        <f t="array" aca="1" ref="PG33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3" s="96" t="str">
        <f ca="1">LEFT(Geschlecht[[#This Row],[Geschlecht (Skala)]],1)&amp;PM$4</f>
        <v>2</v>
      </c>
      <c r="PI33" s="96" t="str">
        <f t="shared" ca="1" si="93"/>
        <v>Tanzen_2[Resultat]</v>
      </c>
      <c r="PJ33" s="97" t="str" cm="1">
        <f t="array" aca="1" ref="PJ33" ca="1">IF(INDIRECT(PG$1)="","",IF(INDIRECT(PG$2)=0,0,IF(OR(INDIRECT(PG$1)=$A$2,INDIRECT(PG$1)=$A$3),$A$3,IFERROR(INDEX(INDIRECT(PI33),MATCH(INDIRECT(PG$3),INDIRECT(PI33),PI$25)),IFERROR(IF(PI$25=-1,MAX(INDIRECT(PI33)),IF(PI$25=1,MIN(INDIRECT(PI33)))),"")))))</f>
        <v/>
      </c>
      <c r="PL33" s="91" t="str">
        <f t="shared" ca="1" si="94"/>
        <v>Tanzen_2[Note]</v>
      </c>
      <c r="PM33" s="97" t="str" cm="1">
        <f t="array" aca="1" ref="PM33" ca="1">IFERROR(INDEX(INDIRECT(PL33),MATCH(INDIRECT(PG$5),INDIRECT(PI33),0)),IF(INDIRECT(PG$5)=0,1,""))</f>
        <v/>
      </c>
      <c r="PN33" s="97"/>
      <c r="PO33" s="307"/>
      <c r="PP33" s="96" t="str">
        <f>IFERROR(IFERROR(SUBSTITUTE(RopeSkippingResultat[[#This Row],[Eingabe]],".",",")*1,SUBSTITUTE(RopeSkippingResultat[[#This Row],[Eingabe]],",",".")*1),"")</f>
        <v/>
      </c>
      <c r="PQ33" s="96" t="e">
        <f>INT(RopeSkippingResultat[[#This Row],[Resultat]])=RopeSkippingResultat[[#This Row],[Resultat]]</f>
        <v>#VALUE!</v>
      </c>
      <c r="PR33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3" s="96"/>
      <c r="PT33" s="91" t="str" cm="1">
        <f t="array" aca="1" ref="PT33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3" s="96" t="str">
        <f ca="1">LEFT(Geschlecht[[#This Row],[Geschlecht (Skala)]],1)&amp;PZ$4</f>
        <v>2</v>
      </c>
      <c r="PV33" s="96" t="str">
        <f t="shared" ca="1" si="95"/>
        <v>RopeSkipping_2[Resultat]</v>
      </c>
      <c r="PW33" s="97" t="str" cm="1">
        <f t="array" aca="1" ref="PW33" ca="1">IF(INDIRECT(PT$1)="","",IF(INDIRECT(PT$2)=0,0,IF(OR(INDIRECT(PT$1)=$A$2,INDIRECT(PT$1)=$A$3),$A$3,IFERROR(INDEX(INDIRECT(PV33),MATCH(INDIRECT(PT$3),INDIRECT(PV33),PV$25)),IFERROR(IF(PV$25=-1,MAX(INDIRECT(PV33)),IF(PV$25=1,MIN(INDIRECT(PV33)))),"")))))</f>
        <v/>
      </c>
      <c r="PY33" s="91" t="str">
        <f t="shared" ca="1" si="96"/>
        <v>RopeSkipping_2[Note]</v>
      </c>
      <c r="PZ33" s="97" t="str" cm="1">
        <f t="array" aca="1" ref="PZ33" ca="1">IFERROR(INDEX(INDIRECT(PY33),MATCH(INDIRECT(PT$5),INDIRECT(PV33),0)),IF(INDIRECT(PT$5)=0,1,""))</f>
        <v/>
      </c>
      <c r="QA33" s="97"/>
      <c r="QB33" s="307"/>
      <c r="QC33" s="96" t="str">
        <f>IFERROR(IFERROR(SUBSTITUTE(AerobicResultat[[#This Row],[Eingabe]],".",",")*1,SUBSTITUTE(AerobicResultat[[#This Row],[Eingabe]],",",".")*1),"")</f>
        <v/>
      </c>
      <c r="QD33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3" s="96"/>
      <c r="QF33" s="91" t="str" cm="1">
        <f t="array" aca="1" ref="QF33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3" s="96" t="str">
        <f ca="1">LEFT(Geschlecht[[#This Row],[Geschlecht (Skala)]],1)&amp;QL$4</f>
        <v>2</v>
      </c>
      <c r="QH33" s="96" t="str">
        <f t="shared" ca="1" si="97"/>
        <v>Aerobic_2[Resultat]</v>
      </c>
      <c r="QI33" s="97" t="str" cm="1">
        <f t="array" aca="1" ref="QI33" ca="1">IF(INDIRECT(QF$1)="","",IF(INDIRECT(QF$2)=0,0,IF(OR(INDIRECT(QF$1)=$A$2,INDIRECT(QF$1)=$A$3),$A$3,IFERROR(INDEX(INDIRECT(QH33),MATCH(INDIRECT(QF$3),INDIRECT(QH33),QH$25)),IFERROR(IF(QH$25=-1,MAX(INDIRECT(QH33)),IF(QH$25=1,MIN(INDIRECT(QH33)))),"")))))</f>
        <v/>
      </c>
      <c r="QK33" s="91" t="str">
        <f t="shared" ca="1" si="98"/>
        <v>Aerobic_2[Note]</v>
      </c>
      <c r="QL33" s="97" t="str" cm="1">
        <f t="array" aca="1" ref="QL33" ca="1">IFERROR(INDEX(INDIRECT(QK33),MATCH(INDIRECT(QF$5),INDIRECT(QH33),0)),IF(INDIRECT(QF$5)=0,1,""))</f>
        <v/>
      </c>
      <c r="QM33" s="97"/>
      <c r="QN33" s="97" t="str" cm="1">
        <f t="array" aca="1" ref="QN33" ca="1">INDIRECT(QN$5)</f>
        <v/>
      </c>
      <c r="QO33" s="97" t="str" cm="1">
        <f t="array" aca="1" ref="QO33" ca="1">INDIRECT(QO$5)</f>
        <v/>
      </c>
      <c r="QP33" s="97" t="str" cm="1">
        <f t="array" aca="1" ref="QP33" ca="1">INDIRECT(QP$5)</f>
        <v/>
      </c>
      <c r="QQ33" s="97" t="str" cm="1">
        <f t="array" aca="1" ref="QQ33" ca="1">INDIRECT(QQ$5)</f>
        <v/>
      </c>
      <c r="QR33" s="97" t="str" cm="1">
        <f t="array" aca="1" ref="QR33" ca="1">INDIRECT(QR$5)</f>
        <v/>
      </c>
      <c r="QS33" s="97" t="str" cm="1">
        <f t="array" aca="1" ref="QS33" ca="1">INDIRECT(QS$5)</f>
        <v/>
      </c>
      <c r="QT33" s="97" t="str">
        <f t="shared" ca="1" si="99"/>
        <v>Darstellen und Tanzen nicht durchgeführt</v>
      </c>
      <c r="QU33" s="108">
        <f t="shared" ca="1" si="100"/>
        <v>0</v>
      </c>
      <c r="QV33" s="108">
        <f t="shared" ca="1" si="101"/>
        <v>0</v>
      </c>
      <c r="QW33" s="108" t="str">
        <f t="shared" ca="1" si="210"/>
        <v/>
      </c>
      <c r="QX33" s="97" t="str">
        <f t="shared" ca="1" si="211"/>
        <v>Darstellen und Tanzen nicht durchgeführt</v>
      </c>
      <c r="QY33" s="97" t="str">
        <f t="shared" ca="1" si="212"/>
        <v/>
      </c>
      <c r="QZ33" s="97" t="str" cm="1">
        <f t="array" aca="1" ref="QZ33" ca="1">IFERROR(IF(INDIRECT(INDEX(INDIRECT(QZ$5),MATCH(QX33,INDIRECT(QZ$4),0)))&lt;&gt;"",INDEX(INDIRECT(QZ$5),MATCH(QX33,INDIRECT(QZ$4),0)),INDEX(INDIRECT(QZ$6),MATCH(QX33,INDIRECT(QZ$4),0))),"")</f>
        <v/>
      </c>
      <c r="RA33" s="97" t="str">
        <f t="shared" ca="1" si="213"/>
        <v/>
      </c>
      <c r="RB33" s="97" t="str" cm="1">
        <f t="array" aca="1" ref="RB33" ca="1">IFERROR(INDIRECT(QZ33),IF(NOT(ISERROR(FIND(Stammdaten!$CC$3,QX33,1))),$A$2,""))</f>
        <v/>
      </c>
      <c r="RC33" s="97" t="str">
        <f ca="1">IF(RB33="","",IF(AND(QY33=Stammdaten!$BX$20,RA33="0",RB33=1),SUBSTITUTE(TEXT(RB33,RA33)&amp;" "&amp;LEFT(QY33,LEN(QY33)-1),".",","),SUBSTITUTE(TEXT(RB33,RA33)&amp;" "&amp;QY33,".",",")))</f>
        <v/>
      </c>
      <c r="RD33" s="97" t="str">
        <f t="shared" ca="1" si="102"/>
        <v/>
      </c>
      <c r="RE33" s="97" t="str" cm="1">
        <f t="array" aca="1" ref="RE33" ca="1">IFERROR(LEFT(INDIRECT(RD33),1)&amp;"]","")</f>
        <v/>
      </c>
      <c r="RF33" s="97" t="str">
        <f t="shared" ca="1" si="103"/>
        <v/>
      </c>
      <c r="RG33" s="97" t="str">
        <f ca="1">IFERROR(LEFT(QX33,FIND(Stammdaten!$CA$4,QX33,1)-2),IFERROR(LEFT(QX33,FIND(Stammdaten!$CC$3,QX33,1)-2),QX33))</f>
        <v>Darstellen und Tanzen</v>
      </c>
      <c r="RH33" s="97" t="str">
        <f ca="1">IF(NOT(ISERROR(FIND(Stammdaten!$CA$4,QX33,1))),Stammdaten!$CA$4,IF(RI33&lt;&gt;Stammdaten!$CC$3,RF33,""))</f>
        <v>nicht durchgeführt</v>
      </c>
      <c r="RI33" s="91" t="str">
        <f ca="1">IF(RB33=$A$2,Stammdaten!$CC$3,RC33)</f>
        <v/>
      </c>
      <c r="RJ33" s="108">
        <f t="shared" ca="1" si="214"/>
        <v>6</v>
      </c>
      <c r="RK33" s="97"/>
      <c r="RL33" s="308" t="str">
        <f ca="1">IF(QT33=$QT$4,Stammdaten!$BZ$1,IF(QT33=$QT$5,$A$3,QT33))</f>
        <v>Zu wenige Werte</v>
      </c>
      <c r="RM33" s="97"/>
      <c r="RN33" s="307"/>
      <c r="RO33" s="96" t="str">
        <f>IFERROR(IFERROR(SUBSTITUTE(BasketballResultat[[#This Row],[Eingabe]],".",",")*1,SUBSTITUTE(BasketballResultat[[#This Row],[Eingabe]],",",".")*1),"")</f>
        <v/>
      </c>
      <c r="RP33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3" s="96"/>
      <c r="RR33" s="91" t="str" cm="1">
        <f t="array" aca="1" ref="RR33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3" s="96" t="str">
        <f ca="1">LEFT(Geschlecht[[#This Row],[Geschlecht (Skala)]],1)&amp;RX$4</f>
        <v>2</v>
      </c>
      <c r="RT33" s="96" t="str">
        <f t="shared" ca="1" si="104"/>
        <v>Basketball_2[Resultat]</v>
      </c>
      <c r="RU33" s="97" t="str" cm="1">
        <f t="array" aca="1" ref="RU33" ca="1">IF(INDIRECT(RR$1)="","",IF(INDIRECT(RR$2)=0,0,IF(OR(INDIRECT(RR$1)=$A$2,INDIRECT(RR$1)=$A$3),$A$3,IFERROR(INDEX(INDIRECT(RT33),MATCH(INDIRECT(RR$3),INDIRECT(RT33),RT$25)),IFERROR(IF(RT$25=-1,MAX(INDIRECT(RT33)),IF(RT$25=1,MIN(INDIRECT(RT33)))),"")))))</f>
        <v/>
      </c>
      <c r="RW33" s="91" t="str">
        <f t="shared" ca="1" si="105"/>
        <v>Basketball_2[Note]</v>
      </c>
      <c r="RX33" s="97" t="str" cm="1">
        <f t="array" aca="1" ref="RX33" ca="1">IFERROR(INDEX(INDIRECT(RW33),MATCH(INDIRECT(RR$5),INDIRECT(RT33),0)),IF(INDIRECT(RR$5)=0,1,""))</f>
        <v/>
      </c>
      <c r="RY33" s="97"/>
      <c r="RZ33" s="307"/>
      <c r="SA33" s="96" t="str">
        <f>IFERROR(IFERROR(SUBSTITUTE(FussballResultat[[#This Row],[Eingabe]],".",",")*1,SUBSTITUTE(FussballResultat[[#This Row],[Eingabe]],",",".")*1),"")</f>
        <v/>
      </c>
      <c r="SB33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3" s="96"/>
      <c r="SD33" s="316" t="str" cm="1">
        <f t="array" aca="1" ref="SD33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3" s="96" t="str">
        <f ca="1">LEFT(Geschlecht[[#This Row],[Geschlecht (Skala)]],1)&amp;SJ$4</f>
        <v>2</v>
      </c>
      <c r="SF33" s="96" t="str">
        <f t="shared" ca="1" si="106"/>
        <v>Fussball_2[Resultat]</v>
      </c>
      <c r="SG33" s="97" t="str" cm="1">
        <f t="array" aca="1" ref="SG33" ca="1">IF(INDIRECT(SD$1)="","",IF(INDIRECT(SD$2)=0,0,IF(OR(INDIRECT(SD$1)=$A$2,INDIRECT(SD$1)=$A$3),$A$3,IFERROR(INDEX(INDIRECT(SF33),MATCH(INDIRECT(SD$3),INDIRECT(SF33),SF$25)),IFERROR(IF(SF$25=-1,MAX(INDIRECT(SF33)),IF(SF$25=1,MIN(INDIRECT(SF33)))),"")))))</f>
        <v/>
      </c>
      <c r="SI33" s="91" t="str">
        <f t="shared" ca="1" si="107"/>
        <v>Fussball_2[Note]</v>
      </c>
      <c r="SJ33" s="97" t="str" cm="1">
        <f t="array" aca="1" ref="SJ33" ca="1">IFERROR(INDEX(INDIRECT(SI33),MATCH(INDIRECT(SD$5),INDIRECT(SF33),0)),IF(INDIRECT(SD$5)=0,1,""))</f>
        <v/>
      </c>
      <c r="SK33" s="97"/>
      <c r="SL33" s="307"/>
      <c r="SM33" s="96" t="str">
        <f>IFERROR(IFERROR(SUBSTITUTE(HandballResultat[[#This Row],[Eingabe]],".",",")*1,SUBSTITUTE(HandballResultat[[#This Row],[Eingabe]],",",".")*1),"")</f>
        <v/>
      </c>
      <c r="SN33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3" s="96"/>
      <c r="SP33" s="91" t="str" cm="1">
        <f t="array" aca="1" ref="SP33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3" s="96" t="str">
        <f ca="1">LEFT(Geschlecht[[#This Row],[Geschlecht (Skala)]],1)&amp;SV$4</f>
        <v>2</v>
      </c>
      <c r="SR33" s="96" t="str">
        <f t="shared" ca="1" si="108"/>
        <v>Handball_2[Resultat]</v>
      </c>
      <c r="SS33" s="97" t="str" cm="1">
        <f t="array" aca="1" ref="SS33" ca="1">IF(INDIRECT(SP$1)="","",IF(INDIRECT(SP$2)=0,0,IF(OR(INDIRECT(SP$1)=$A$2,INDIRECT(SP$1)=$A$3),$A$3,IFERROR(INDEX(INDIRECT(SR33),MATCH(INDIRECT(SP$3),INDIRECT(SR33),SR$25)),IFERROR(IF(SR$25=-1,MAX(INDIRECT(SR33)),IF(SR$25=1,MIN(INDIRECT(SR33)))),"")))))</f>
        <v/>
      </c>
      <c r="SU33" s="91" t="str">
        <f t="shared" ca="1" si="109"/>
        <v>Handball_2[Note]</v>
      </c>
      <c r="SV33" s="97" t="str" cm="1">
        <f t="array" aca="1" ref="SV33" ca="1">IFERROR(INDEX(INDIRECT(SU33),MATCH(INDIRECT(SP$5),INDIRECT(SR33),0)),IF(INDIRECT(SP$5)=0,1,""))</f>
        <v/>
      </c>
      <c r="SW33" s="97"/>
      <c r="SX33" s="307"/>
      <c r="SY33" s="96" t="str">
        <f>IFERROR(IFERROR(SUBSTITUTE(UnihockeyResultat[[#This Row],[Eingabe]],".",",")*1,SUBSTITUTE(UnihockeyResultat[[#This Row],[Eingabe]],",",".")*1),"")</f>
        <v/>
      </c>
      <c r="SZ33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3" s="96"/>
      <c r="TB33" s="91" t="str" cm="1">
        <f t="array" aca="1" ref="TB33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3" s="96" t="str">
        <f ca="1">LEFT(Geschlecht[[#This Row],[Geschlecht (Skala)]],1)&amp;TH$4</f>
        <v>2</v>
      </c>
      <c r="TD33" s="96" t="str">
        <f t="shared" ca="1" si="110"/>
        <v>Unihockey_2[Resultat]</v>
      </c>
      <c r="TE33" s="97" t="str" cm="1">
        <f t="array" aca="1" ref="TE33" ca="1">IF(INDIRECT(TB$1)="","",IF(INDIRECT(TB$2)=0,0,IF(OR(INDIRECT(TB$1)=$A$2,INDIRECT(TB$1)=$A$3),$A$3,IFERROR(INDEX(INDIRECT(TD33),MATCH(INDIRECT(TB$3),INDIRECT(TD33),TD$25)),IFERROR(IF(TD$25=-1,MAX(INDIRECT(TD33)),IF(TD$25=1,MIN(INDIRECT(TD33)))),"")))))</f>
        <v/>
      </c>
      <c r="TG33" s="91" t="str">
        <f t="shared" ca="1" si="111"/>
        <v>Unihockey_2[Note]</v>
      </c>
      <c r="TH33" s="97" t="str" cm="1">
        <f t="array" aca="1" ref="TH33" ca="1">IFERROR(INDEX(INDIRECT(TG33),MATCH(INDIRECT(TB$5),INDIRECT(TD33),0)),IF(INDIRECT(TB$5)=0,1,""))</f>
        <v/>
      </c>
      <c r="TI33" s="97"/>
      <c r="TJ33" s="307"/>
      <c r="TK33" s="96" t="str">
        <f>IFERROR(IFERROR(SUBSTITUTE(VolleyballResultat[[#This Row],[Eingabe]],".",",")*1,SUBSTITUTE(VolleyballResultat[[#This Row],[Eingabe]],",",".")*1),"")</f>
        <v/>
      </c>
      <c r="TL33" s="96" t="e">
        <f>INT(VolleyballResultat[[#This Row],[Resultat]])=VolleyballResultat[[#This Row],[Resultat]]</f>
        <v>#VALUE!</v>
      </c>
      <c r="TM33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3" s="96"/>
      <c r="TO33" s="91" t="str" cm="1">
        <f t="array" aca="1" ref="TO33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3" s="96" t="str">
        <f ca="1">LEFT(Geschlecht[[#This Row],[Geschlecht (Skala)]],1)&amp;TU$4</f>
        <v>2</v>
      </c>
      <c r="TQ33" s="96" t="str">
        <f t="shared" ca="1" si="112"/>
        <v>Volleyball_2[Resultat]</v>
      </c>
      <c r="TR33" s="97" t="str" cm="1">
        <f t="array" aca="1" ref="TR33" ca="1">IF(INDIRECT(TO$1)="","",IF(INDIRECT(TO$2)=0,0,IF(OR(INDIRECT(TO$1)=$A$2,INDIRECT(TO$1)=$A$3),$A$3,IFERROR(INDEX(INDIRECT(TQ33),MATCH(INDIRECT(TO$3),INDIRECT(TQ33),TQ$25)),IFERROR(IF(TQ$25=-1,MAX(INDIRECT(TQ33)),IF(TQ$25=1,MIN(INDIRECT(TQ33)))),"")))))</f>
        <v/>
      </c>
      <c r="TT33" s="91" t="str">
        <f t="shared" ca="1" si="113"/>
        <v>Volleyball_2[Note]</v>
      </c>
      <c r="TU33" s="97" t="str" cm="1">
        <f t="array" aca="1" ref="TU33" ca="1">IFERROR(INDEX(INDIRECT(TT33),MATCH(INDIRECT(TO$5),INDIRECT(TQ33),0)),IF(INDIRECT(TO$5)=0,1,""))</f>
        <v/>
      </c>
      <c r="TV33" s="97"/>
      <c r="TW33" s="309" t="str" cm="1">
        <f t="array" aca="1" ref="TW33" ca="1">IF(AND(ISNUMBER(INDIRECT(TW$3)),INDIRECT(TW$3)&gt;1),INDIRECT(TW$3),"")</f>
        <v/>
      </c>
      <c r="TX33" s="309" t="str" cm="1">
        <f t="array" aca="1" ref="TX33" ca="1">IF(AND(ISNUMBER(INDIRECT(TX$3)),INDIRECT(TX$3)&gt;1),INDIRECT(TX$3),"")</f>
        <v/>
      </c>
      <c r="TY33" s="309" t="str" cm="1">
        <f t="array" aca="1" ref="TY33" ca="1">IF(AND(ISNUMBER(INDIRECT(TY$3)),INDIRECT(TY$3)&gt;1),INDIRECT(TY$3),"")</f>
        <v/>
      </c>
      <c r="TZ33" s="309" t="str" cm="1">
        <f t="array" aca="1" ref="TZ33" ca="1">IF(AND(ISNUMBER(INDIRECT(TZ$3)),INDIRECT(TZ$3)&gt;1),INDIRECT(TZ$3),"")</f>
        <v/>
      </c>
      <c r="UA33" s="309" t="str" cm="1">
        <f t="array" aca="1" ref="UA33" ca="1">IF(AND(ISNUMBER(INDIRECT(UA$3)),INDIRECT(UA$3)&gt;1),INDIRECT(UA$3),"")</f>
        <v/>
      </c>
      <c r="UB33" s="309" t="str">
        <f t="shared" ca="1" si="114"/>
        <v>x</v>
      </c>
      <c r="UC33" s="309" t="str">
        <f t="shared" ca="1" si="115"/>
        <v>y</v>
      </c>
      <c r="UD33" s="309" t="str">
        <f t="shared" ca="1" si="116"/>
        <v>z</v>
      </c>
      <c r="UE33" s="309" t="str">
        <f t="shared" ca="1" si="215"/>
        <v>a</v>
      </c>
      <c r="UF33" s="309" t="str" cm="1">
        <f t="array" aca="1" ref="UF33" ca="1">IF(UE33="a","",INDEX($TW$23:$UA$23,,MATCH(UE33,$TW33:$UA33,0)))</f>
        <v/>
      </c>
      <c r="UG33" s="309" t="str" cm="1">
        <f t="array" aca="1" ref="UG33" ca="1">IF(OR(UF33="",UF33&gt;=$UA$23),"",INDEX(INDIRECT(ADDRESS(ROW($TW$23),UF33+1)):$UA$23,,MATCH(UE33,INDIRECT(ADDRESS(ROW(),UF33+1)):$UA33,0)))</f>
        <v/>
      </c>
      <c r="UH33" s="309" t="str" cm="1">
        <f t="array" aca="1" ref="UH33" ca="1">IF(OR(UG33="",UG33&gt;=$UA$23),"",INDEX(INDIRECT(ADDRESS(ROW($TW$23),UG33+1)):$UA$23,,MATCH(UE33,INDIRECT(ADDRESS(ROW(),UG33+1)):$UA33,0)))</f>
        <v/>
      </c>
      <c r="UI33" s="309" t="str">
        <f t="shared" ca="1" si="216"/>
        <v>c</v>
      </c>
      <c r="UJ33" s="309" t="str" cm="1">
        <f t="array" aca="1" ref="UJ33" ca="1">IF(OR(UI33="b",UI33="c"),"",INDEX($TW$23:$UA$23,,MATCH(UI33,$TW33:$UA33,0)))</f>
        <v/>
      </c>
      <c r="UK33" s="309" t="str" cm="1">
        <f t="array" aca="1" ref="UK33" ca="1">IF(OR(UJ33="",UJ33&gt;=$UA$23),"",INDEX(INDIRECT(ADDRESS(ROW($TW$23),UJ33+1)):$UA$23,,MATCH(UI33,INDIRECT(ADDRESS(ROW(),UJ33+1)):$UA33,0)))</f>
        <v/>
      </c>
      <c r="UL33" s="309" t="str">
        <f t="shared" ca="1" si="117"/>
        <v/>
      </c>
      <c r="UM33" s="309" t="str">
        <f t="shared" ca="1" si="217"/>
        <v>e</v>
      </c>
      <c r="UN33" s="309" t="str">
        <f t="shared" ca="1" si="118"/>
        <v/>
      </c>
      <c r="UO33" s="309" t="str" cm="1">
        <f t="array" aca="1" ref="UO33" ca="1">IF(OR(UM33="d",UM33="e"),"",INDEX($TW$23:$UA$23,,MATCH(UM33,$TW33:$UA33,0)))</f>
        <v/>
      </c>
      <c r="UP33" s="309" t="str" cm="1">
        <f t="array" aca="1" ref="UP33" ca="1">IF(OR(UO33="",UO33&gt;=$UA$23),"",INDEX(INDIRECT(ADDRESS(ROW($TW$23),UO33+1)):$UA$23,,MATCH(UM33,INDIRECT(ADDRESS(ROW(),UO33+1)):$UA33,0)))</f>
        <v/>
      </c>
      <c r="UQ33" s="309" t="str" cm="1">
        <f t="array" aca="1" ref="UQ33" ca="1">IFERROR(IF(ISNUMBER(UF33),UF33,IF(ISNUMBER(UJ33),UJ33,IF(ISNUMBER(UN33),UN33,INDEX($TW$23:$UA$23,,MATCH(UB33,$TW33:$UA33,0))))),"x1")</f>
        <v>x1</v>
      </c>
      <c r="UR33" s="309" t="str" cm="1">
        <f t="array" aca="1" ref="UR33" ca="1">IFERROR(IF(ISNUMBER(UG33),UG33,IF(ISNUMBER(UK33),UK33,IF(ISNUMBER(UO33),UO33,INDEX($TW$23:$UA$23,,MATCH(UC33,$TW33:$UA33,0))))),IF(UQ33="x1","x2","x1"))</f>
        <v>x2</v>
      </c>
      <c r="US33" s="309" t="str" cm="1">
        <f t="array" aca="1" ref="US33" ca="1">IFERROR(IF(ISNUMBER(UH33),UH33,IF(ISNUMBER(UL33),UL33,IF(ISNUMBER(UP33),UP33,INDEX($TW$23:$UA$23,,MATCH(UD33,$TW33:$UA33,0))))),IF(UR33="x1","x2",IF(UR33="x2","x3","x1")))</f>
        <v>x3</v>
      </c>
      <c r="UT33" s="97" t="str" cm="1">
        <f t="array" aca="1" ref="UT33" ca="1">IF(OR(INDIRECT(UT$3)=$A$2,INDIRECT(UT$3)=$A$3),COLUMN(),"")</f>
        <v/>
      </c>
      <c r="UU33" s="97" t="str" cm="1">
        <f t="array" aca="1" ref="UU33" ca="1">IF(OR(INDIRECT(UU$3)=$A$2,INDIRECT(UU$3)=$A$3),COLUMN(),"")</f>
        <v/>
      </c>
      <c r="UV33" s="97" t="str" cm="1">
        <f t="array" aca="1" ref="UV33" ca="1">IF(OR(INDIRECT(UV$3)=$A$2,INDIRECT(UV$3)=$A$3),COLUMN(),"")</f>
        <v/>
      </c>
      <c r="UW33" s="97" t="str" cm="1">
        <f t="array" aca="1" ref="UW33" ca="1">IF(OR(INDIRECT(UW$3)=$A$2,INDIRECT(UW$3)=$A$3),COLUMN(),"")</f>
        <v/>
      </c>
      <c r="UX33" s="97" t="str" cm="1">
        <f t="array" aca="1" ref="UX33" ca="1">IF(OR(INDIRECT(UX$3)=$A$2,INDIRECT(UX$3)=$A$3),COLUMN(),"")</f>
        <v/>
      </c>
      <c r="UY33" s="97" t="str" cm="1">
        <f t="array" aca="1" ref="UY33" ca="1">IF(AND(ISNUMBER(INDIRECT(UY$3)),INDIRECT(UY$3)=0),COLUMN(),"")</f>
        <v/>
      </c>
      <c r="UZ33" s="97" t="str" cm="1">
        <f t="array" aca="1" ref="UZ33" ca="1">IF(AND(ISNUMBER(INDIRECT(UZ$3)),INDIRECT(UZ$3)=0),COLUMN(),"")</f>
        <v/>
      </c>
      <c r="VA33" s="97" t="str" cm="1">
        <f t="array" aca="1" ref="VA33" ca="1">IF(AND(ISNUMBER(INDIRECT(VA$3)),INDIRECT(VA$3)=0),COLUMN(),"")</f>
        <v/>
      </c>
      <c r="VB33" s="97" t="str" cm="1">
        <f t="array" aca="1" ref="VB33" ca="1">IF(AND(ISNUMBER(INDIRECT(VB$3)),INDIRECT(VB$3)=0),COLUMN(),"")</f>
        <v/>
      </c>
      <c r="VC33" s="97" t="str" cm="1">
        <f t="array" aca="1" ref="VC33" ca="1">IF(AND(ISNUMBER(INDIRECT(VC$3)),INDIRECT(VC$3)=0),COLUMN(),"")</f>
        <v/>
      </c>
      <c r="VD33" s="97" t="str">
        <f t="shared" ca="1" si="218"/>
        <v>x1</v>
      </c>
      <c r="VE33" s="97" t="str">
        <f t="shared" ca="1" si="219"/>
        <v>x2</v>
      </c>
      <c r="VF33" s="97" t="str">
        <f t="shared" ca="1" si="220"/>
        <v>x3</v>
      </c>
      <c r="VG33" s="97" t="str">
        <f ca="1">IFERROR(IF(ISNUMBER(VD33),VD33,SMALL($UY33:$VC33,VALUE(RIGHT(VD33,1)))),Stammdaten!$CB$17)</f>
        <v>Erste Spielsportart nicht durchgeführt</v>
      </c>
      <c r="VH33" s="97" t="str">
        <f ca="1">IFERROR(IF(ISNUMBER(VE33),VE33,SMALL($UY33:$VC33,VALUE(RIGHT(VE33,1)))),Stammdaten!$CB$18)</f>
        <v>Zweite Spielsportart nicht durchgeführt</v>
      </c>
      <c r="VI33" s="97" t="str">
        <f ca="1">IFERROR(IF(ISNUMBER(VF33),VF33,SMALL($UY33:$VC33,VALUE(RIGHT(VF33,1)))),Stammdaten!$CB$19)</f>
        <v>Dritte Spielsportart nicht durchgeführt</v>
      </c>
      <c r="VJ33" s="91" t="str" cm="1">
        <f t="array" aca="1" ref="VJ33" ca="1">IFERROR(INDIRECT(ADDRESS(ROW($TW$5),VG33)),VG33)</f>
        <v>Erste Spielsportart nicht durchgeführt</v>
      </c>
      <c r="VK33" s="97" t="str">
        <f t="shared" ca="1" si="221"/>
        <v/>
      </c>
      <c r="VL33" s="97" t="str" cm="1">
        <f t="array" aca="1" ref="VL33" ca="1">IFERROR(IF(INDIRECT(INDEX(INDIRECT(VL$5),MATCH(VJ33,INDIRECT(VL$4),0)))&lt;&gt;"",INDEX(INDIRECT(VL$5),MATCH(VJ33,INDIRECT(VL$4),0)),INDEX(INDIRECT(VL$6),MATCH(VJ33,INDIRECT(VL$4),0))),"")</f>
        <v/>
      </c>
      <c r="VM33" s="97" t="str">
        <f t="shared" ca="1" si="222"/>
        <v/>
      </c>
      <c r="VN33" s="97" t="str" cm="1">
        <f t="array" aca="1" ref="VN33" ca="1">IFERROR(INDIRECT(VL33),"")</f>
        <v/>
      </c>
      <c r="VO33" s="97" t="str">
        <f ca="1">IF(VN33="","",IF(AND(VK33=Stammdaten!$BX$20,VM33="0",VN33=1),SUBSTITUTE(TEXT(VN33,VM33)&amp;" "&amp;LEFT(VK33,LEN(VK33)-1),".",","),SUBSTITUTE(TEXT(VN33,VM33)&amp;" "&amp;VK33,".",",")))</f>
        <v/>
      </c>
      <c r="VP33" s="97" t="str">
        <f t="shared" ca="1" si="119"/>
        <v/>
      </c>
      <c r="VQ33" s="97" t="str" cm="1">
        <f t="array" aca="1" ref="VQ33" ca="1">IFERROR(LEFT(INDIRECT(VP33),1)&amp;"]","")</f>
        <v/>
      </c>
      <c r="VR33" s="97" t="str">
        <f t="shared" ca="1" si="120"/>
        <v/>
      </c>
      <c r="VS33" s="97" t="str">
        <f ca="1">IFERROR(LEFT(VJ33,FIND(Stammdaten!$CA$4,VJ33,1)-2),IFERROR(LEFT(VJ33,FIND(Stammdaten!$CC$3,VJ33,1)-2),VJ33))</f>
        <v>Erste Spielsportart</v>
      </c>
      <c r="VT33" s="97" t="str">
        <f ca="1">IF(NOT(ISERROR(FIND(Stammdaten!$CA$4,VJ33,1))),Stammdaten!$CA$4,IF(VU33&lt;&gt;Stammdaten!$CC$3,VR33,""))</f>
        <v>nicht durchgeführt</v>
      </c>
      <c r="VU33" s="91" t="str">
        <f ca="1">IF(VN33=$A$2,Stammdaten!$CC$3,VO33)</f>
        <v/>
      </c>
      <c r="VV33" s="91" t="str" cm="1">
        <f t="array" aca="1" ref="VV33" ca="1">IFERROR(INDIRECT(ADDRESS(ROW($TW$5),VH33)),VH33)</f>
        <v>Zweite Spielsportart nicht durchgeführt</v>
      </c>
      <c r="VW33" s="97" t="str">
        <f t="shared" ca="1" si="223"/>
        <v/>
      </c>
      <c r="VX33" s="97" t="str" cm="1">
        <f t="array" aca="1" ref="VX33" ca="1">IFERROR(IF(INDIRECT(INDEX(INDIRECT(VX$5),MATCH(VV33,INDIRECT(VX$4),0)))&lt;&gt;"",INDEX(INDIRECT(VX$5),MATCH(VV33,INDIRECT(VX$4),0)),INDEX(INDIRECT(VX$6),MATCH(VV33,INDIRECT(VX$4),0))),"")</f>
        <v/>
      </c>
      <c r="VY33" s="97" t="str">
        <f t="shared" ca="1" si="224"/>
        <v/>
      </c>
      <c r="VZ33" s="97" t="str" cm="1">
        <f t="array" aca="1" ref="VZ33" ca="1">IFERROR(INDIRECT(VX33),"")</f>
        <v/>
      </c>
      <c r="WA33" s="97" t="str">
        <f ca="1">IF(VZ33="","",IF(AND(VW33=Stammdaten!$BX$20,VY33="0",VZ33=1),SUBSTITUTE(TEXT(VZ33,VY33)&amp;" "&amp;LEFT(VW33,LEN(VW33)-1),".",","),SUBSTITUTE(TEXT(VZ33,VY33)&amp;" "&amp;VW33,".",",")))</f>
        <v/>
      </c>
      <c r="WB33" s="97" t="str">
        <f t="shared" ca="1" si="121"/>
        <v/>
      </c>
      <c r="WC33" s="97" t="str" cm="1">
        <f t="array" aca="1" ref="WC33" ca="1">IFERROR(LEFT(INDIRECT(WB33),1)&amp;"]","")</f>
        <v/>
      </c>
      <c r="WD33" s="97" t="str">
        <f t="shared" ca="1" si="122"/>
        <v/>
      </c>
      <c r="WE33" s="97" t="str">
        <f ca="1">IFERROR(LEFT(VV33,FIND(Stammdaten!$CA$4,VV33,1)-2),IFERROR(LEFT(VV33,FIND(Stammdaten!$CC$3,VV33,1)-2),VV33))</f>
        <v>Zweite Spielsportart</v>
      </c>
      <c r="WF33" s="97" t="str">
        <f ca="1">IF(NOT(ISERROR(FIND(Stammdaten!$CA$4,VV33,1))),Stammdaten!$CA$4,IF(WG33&lt;&gt;Stammdaten!$CC$3,WD33,""))</f>
        <v>nicht durchgeführt</v>
      </c>
      <c r="WG33" s="91" t="str">
        <f ca="1">IF(VZ33=$A$2,Stammdaten!$CC$3,WA33)</f>
        <v/>
      </c>
      <c r="WH33" s="91" t="str" cm="1">
        <f t="array" aca="1" ref="WH33" ca="1">IFERROR(INDIRECT(ADDRESS(ROW($TW$5),VI33)),VI33)</f>
        <v>Dritte Spielsportart nicht durchgeführt</v>
      </c>
      <c r="WI33" s="97" t="str">
        <f t="shared" ca="1" si="225"/>
        <v/>
      </c>
      <c r="WJ33" s="97" t="str" cm="1">
        <f t="array" aca="1" ref="WJ33" ca="1">IFERROR(IF(INDIRECT(INDEX(INDIRECT(WJ$5),MATCH(WH33,INDIRECT(WJ$4),0)))&lt;&gt;"",INDEX(INDIRECT(WJ$5),MATCH(WH33,INDIRECT(WJ$4),0)),INDEX(INDIRECT(WJ$6),MATCH(WH33,INDIRECT(WJ$4),0))),"")</f>
        <v/>
      </c>
      <c r="WK33" s="97" t="str">
        <f t="shared" ca="1" si="226"/>
        <v/>
      </c>
      <c r="WL33" s="97" t="str" cm="1">
        <f t="array" aca="1" ref="WL33" ca="1">IFERROR(INDIRECT(WJ33),"")</f>
        <v/>
      </c>
      <c r="WM33" s="97" t="str">
        <f ca="1">IF(WL33="","",IF(AND(WI33=Stammdaten!$BX$20,WK33="0",WL33=1),SUBSTITUTE(TEXT(WL33,WK33)&amp;" "&amp;LEFT(WI33,LEN(WI33)-1),".",","),SUBSTITUTE(TEXT(WL33,WK33)&amp;" "&amp;WI33,".",",")))</f>
        <v/>
      </c>
      <c r="WN33" s="97" t="str">
        <f t="shared" ca="1" si="123"/>
        <v/>
      </c>
      <c r="WO33" s="97" t="str" cm="1">
        <f t="array" aca="1" ref="WO33" ca="1">IFERROR(LEFT(INDIRECT(WN33),1)&amp;"]","")</f>
        <v/>
      </c>
      <c r="WP33" s="97" t="str">
        <f t="shared" ca="1" si="124"/>
        <v/>
      </c>
      <c r="WQ33" s="97" t="str">
        <f ca="1">IFERROR(LEFT(WH33,FIND(Stammdaten!$CA$4,WH33,1)-2),IFERROR(LEFT(WH33,FIND(Stammdaten!$CC$3,WH33,1)-2),WH33))</f>
        <v>Dritte Spielsportart</v>
      </c>
      <c r="WR33" s="97" t="str">
        <f ca="1">IF(NOT(ISERROR(FIND(Stammdaten!$CA$4,WH33,1))),Stammdaten!$CA$4,IF(WS33&lt;&gt;Stammdaten!$CC$3,WP33,""))</f>
        <v>nicht durchgeführt</v>
      </c>
      <c r="WS33" s="91" t="str">
        <f ca="1">IF(WL33=$A$2,Stammdaten!$CC$3,WM33)</f>
        <v/>
      </c>
      <c r="WT33" s="97" t="str" cm="1">
        <f t="array" aca="1" ref="WT33" ca="1">INDIRECT(WT$5)</f>
        <v/>
      </c>
      <c r="WU33" s="97" t="str" cm="1">
        <f t="array" aca="1" ref="WU33" ca="1">INDIRECT(WU$5)</f>
        <v/>
      </c>
      <c r="WV33" s="97" t="str" cm="1">
        <f t="array" aca="1" ref="WV33" ca="1">INDIRECT(WV$5)</f>
        <v/>
      </c>
      <c r="WW33" s="97" t="str" cm="1">
        <f t="array" aca="1" ref="WW33" ca="1">INDIRECT(WW$5)</f>
        <v/>
      </c>
      <c r="WX33" s="97" t="str" cm="1">
        <f t="array" aca="1" ref="WX33" ca="1">INDIRECT(WX$5)</f>
        <v/>
      </c>
      <c r="WY33" s="97" cm="1">
        <f t="array" aca="1" ref="WY33" ca="1">IF(INDIRECT(WY$5)&lt;&gt;"",INDIRECT(WY$5),0)</f>
        <v>0</v>
      </c>
      <c r="WZ33" s="97" cm="1">
        <f t="array" aca="1" ref="WZ33" ca="1">IF(INDIRECT(WZ$5)&lt;&gt;"",INDIRECT(WZ$5),0)</f>
        <v>0</v>
      </c>
      <c r="XA33" s="97" cm="1">
        <f t="array" aca="1" ref="XA33" ca="1">IF(INDIRECT(XA$5)&lt;&gt;"",INDIRECT(XA$5),0)</f>
        <v>0</v>
      </c>
      <c r="XB33" s="97" cm="1">
        <f t="array" aca="1" ref="XB33" ca="1">IF(INDIRECT(XB$5)&lt;&gt;"",INDIRECT(XB$5),0)</f>
        <v>0</v>
      </c>
      <c r="XC33" s="97" cm="1">
        <f t="array" aca="1" ref="XC33" ca="1">IF(INDIRECT(XC$5)&lt;&gt;"",INDIRECT(XC$5),0)</f>
        <v>0</v>
      </c>
      <c r="XD33" s="97">
        <f t="shared" ca="1" si="125"/>
        <v>0</v>
      </c>
      <c r="XE33" s="97">
        <f t="shared" ca="1" si="125"/>
        <v>0</v>
      </c>
      <c r="XF33" s="97">
        <f t="shared" ca="1" si="125"/>
        <v>0</v>
      </c>
      <c r="XG33" s="97">
        <f t="shared" ca="1" si="227"/>
        <v>0</v>
      </c>
      <c r="XH33" s="108">
        <f t="shared" ca="1" si="228"/>
        <v>0</v>
      </c>
      <c r="XI33" s="108">
        <f t="shared" ca="1" si="126"/>
        <v>0</v>
      </c>
      <c r="XJ33" s="108" t="str">
        <f t="shared" ca="1" si="229"/>
        <v/>
      </c>
      <c r="XK33" s="97" t="str">
        <f ca="1">IF(XJ33="",Stammdaten!$BZ$1,IF(AND(XH33=0,XI33&gt;=XJ$25),$A$3,ROUND(SUM(XG33/XJ33)/XK$25,0)*XK$25))</f>
        <v>Zu wenige Werte</v>
      </c>
      <c r="XL33" s="108">
        <f t="shared" ca="1" si="230"/>
        <v>6</v>
      </c>
      <c r="XM33" s="97" t="str">
        <f t="shared" ca="1" si="231"/>
        <v/>
      </c>
      <c r="XN33" s="97" t="str">
        <f t="shared" ca="1" si="232"/>
        <v/>
      </c>
      <c r="XO33" s="97" t="str">
        <f t="shared" ca="1" si="233"/>
        <v/>
      </c>
      <c r="XP33" s="97" t="str">
        <f t="shared" ca="1" si="234"/>
        <v/>
      </c>
      <c r="XQ33" s="97" t="str">
        <f t="shared" ca="1" si="235"/>
        <v>g</v>
      </c>
      <c r="XR33" s="97" t="str">
        <f t="shared" ca="1" si="236"/>
        <v/>
      </c>
      <c r="XS33" s="97">
        <f t="shared" ca="1" si="237"/>
        <v>1</v>
      </c>
      <c r="XT33" s="97" t="str">
        <f ca="1">IF(OR(Geschlecht[[#This Row],[Geschlecht (Skala)]]="",NOT(ISNUMBER(XJ33))),"",XS33)</f>
        <v/>
      </c>
      <c r="XU33" s="97" t="str">
        <f t="shared" ca="1" si="238"/>
        <v/>
      </c>
      <c r="XV33" s="97"/>
      <c r="XW33" s="308" t="str">
        <f t="shared" ca="1" si="127"/>
        <v>Zu wenige Werte</v>
      </c>
      <c r="XX33" s="97"/>
      <c r="XY33" s="97" t="str">
        <f t="shared" ca="1" si="128"/>
        <v>Zu wenige Werte</v>
      </c>
      <c r="XZ33" s="97" t="str">
        <f t="shared" ca="1" si="129"/>
        <v>Zu wenige Werte</v>
      </c>
      <c r="YA33" s="97" t="str">
        <f t="shared" ca="1" si="130"/>
        <v>Zu wenige Werte</v>
      </c>
      <c r="YB33" s="97" t="str">
        <f t="shared" ca="1" si="131"/>
        <v>Zu wenige Werte</v>
      </c>
      <c r="YC33" s="97">
        <f t="shared" ca="1" si="239"/>
        <v>0</v>
      </c>
      <c r="YD33" s="108">
        <f t="shared" ca="1" si="240"/>
        <v>0</v>
      </c>
      <c r="YE33" s="108">
        <f t="shared" ca="1" si="241"/>
        <v>0</v>
      </c>
      <c r="YF33" s="108" t="str">
        <f t="shared" ca="1" si="242"/>
        <v/>
      </c>
      <c r="YG33" s="97" t="str">
        <f ca="1">IF(YF33="",Stammdaten!$BZ$1,IF(YE33=YF$25,$A$3,ROUND(SUM(YC33/YF33)/YG$25,0)*YG$25))</f>
        <v>Zu wenige Werte</v>
      </c>
      <c r="YH33" s="97" t="str">
        <f ca="1">IF(NOT(ISNUMBER(XY33)),"",IF(YH$11&lt;&gt;"2+",TEXT(XY33,YH$11)&amp;" / ",IF(RIGHT(XY33*100,2)="00",TEXT(XY33,"0"&amp;Stammdaten!$AZ$3&amp;"0")&amp;" / ",XY33&amp;" / ")))</f>
        <v/>
      </c>
      <c r="YI33" s="97" t="str">
        <f ca="1">IF(NOT(ISNUMBER(XZ33)),"",IF(YI$11&lt;&gt;"2+",TEXT(XZ33,YI$11)&amp;" / ",IF(RIGHT(XZ33*100,2)="00",TEXT(XZ33,"0"&amp;Stammdaten!$AZ$3&amp;"0")&amp;" / ",XZ33&amp;" / ")))</f>
        <v/>
      </c>
      <c r="YJ33" s="97" t="str">
        <f ca="1">IF(NOT(ISNUMBER(YA33)),"",IF(YJ$11&lt;&gt;"2+",TEXT(YA33,YJ$11)&amp;" / ",IF(RIGHT(YA33*100,2)="00",TEXT(YA33,"0"&amp;Stammdaten!$AZ$3&amp;"0")&amp;" / ",YA33&amp;" / ")))</f>
        <v/>
      </c>
      <c r="YK33" s="97" t="str">
        <f ca="1">IF(NOT(ISNUMBER(YB33)),"",IF(YK$11&lt;&gt;"2+",TEXT(YB33,YK$11)&amp;" / ",IF(RIGHT(YB33*100,2)="00",TEXT(YB33,"0"&amp;Stammdaten!$AZ$3&amp;"0")&amp;" / ",YB33&amp;" / ")))</f>
        <v/>
      </c>
      <c r="YL33" s="97" t="str">
        <f t="shared" ca="1" si="243"/>
        <v/>
      </c>
      <c r="YM33" s="97" t="str">
        <f>IF(Geschlecht[[#This Row],[Geschlecht (Skala)]]="","",IF(ISNUMBER(XY33),1,IF(XY33=$A$3,$A$2,"R")))</f>
        <v/>
      </c>
      <c r="YN33" s="97" t="str">
        <f>IF(Geschlecht[[#This Row],[Geschlecht (Skala)]]="","",IF(ISNUMBER(XZ33),1,IF(XZ33=$A$3,$A$2,"R")))</f>
        <v/>
      </c>
      <c r="YO33" s="97" t="str">
        <f>IF(Geschlecht[[#This Row],[Geschlecht (Skala)]]="","",IF(ISNUMBER(YA33),1,IF(YA33=$A$3,$A$2,"R")))</f>
        <v/>
      </c>
      <c r="YP33" s="97" t="str">
        <f>IF(Geschlecht[[#This Row],[Geschlecht (Skala)]]="","",IF(ISNUMBER(YB33),1,IF(YB33=$A$3,$A$2,"R")))</f>
        <v/>
      </c>
      <c r="YQ33" s="97" t="str">
        <f t="shared" si="244"/>
        <v>g</v>
      </c>
      <c r="YR33" s="97" t="str">
        <f t="shared" ca="1" si="245"/>
        <v/>
      </c>
      <c r="YS33" s="97">
        <f t="shared" ca="1" si="246"/>
        <v>1</v>
      </c>
      <c r="YT33" s="97" t="str">
        <f ca="1">IF(OR(Geschlecht[[#This Row],[Geschlecht (Skala)]]="",NOT(ISNUMBER(YG33))),"",YS33)</f>
        <v/>
      </c>
      <c r="YU33" s="97"/>
      <c r="YV33" s="311" t="str">
        <f t="shared" si="247"/>
        <v>D</v>
      </c>
      <c r="YW33" s="302"/>
      <c r="YX33" s="311" t="str">
        <f t="shared" si="248"/>
        <v>D</v>
      </c>
      <c r="YY33" s="302"/>
      <c r="YZ33" s="311" t="str">
        <f t="shared" si="249"/>
        <v>D</v>
      </c>
      <c r="ZA33" s="302"/>
      <c r="ZB33" s="311" t="str">
        <f t="shared" si="250"/>
        <v>D</v>
      </c>
      <c r="ZC33" s="97"/>
      <c r="ZD33" s="97" t="str">
        <f t="shared" ca="1" si="132"/>
        <v/>
      </c>
      <c r="ZE33" s="97"/>
      <c r="ZF33" s="308" t="str">
        <f t="shared" ca="1" si="251"/>
        <v>Zu wenige Werte</v>
      </c>
      <c r="ZH33" s="317" t="s">
        <v>134</v>
      </c>
      <c r="ZJ33" s="91" t="str" cm="1">
        <f t="array" ref="ZJ33">IF(OR(Geschlecht[[#This Row],[Geschlecht (Skala)]]="",ZH33="",ZH33=Stammdaten!$BZ$5),"",REPLACE(INDEX(StdDisziplinen[TabÜberschriftNote],ZH$3),FIND("X",INDEX(StdDisziplinen[TabÜberschriftNote],ZH$3),1),1,Geschlecht[[#This Row],[Geschlecht (Skala)]]))</f>
        <v/>
      </c>
      <c r="ZK33" s="314"/>
      <c r="ZM33" s="315"/>
      <c r="ZN33" s="97" t="str">
        <f>IFERROR(IFERROR(SUBSTITUTE(SchwimmenResultatMin[[#This Row],[Min]],".",",")*1,SUBSTITUTE(SchwimmenResultatMin[[#This Row],[Min]],",",".")*1),"")</f>
        <v/>
      </c>
      <c r="ZO33" s="91" t="e">
        <f>INT(SchwimmenResultatMin[[#This Row],[Resultat]])=SchwimmenResultatMin[[#This Row],[Resultat]]</f>
        <v>#VALUE!</v>
      </c>
      <c r="ZP33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3" s="315"/>
      <c r="ZS33" s="97" t="str">
        <f>IFERROR(IFERROR(SUBSTITUTE(SchwimmenResultatSek[[#This Row],[Sek]],".",",")*1,SUBSTITUTE(SchwimmenResultatSek[[#This Row],[Sek]],",",".")*1),"")</f>
        <v/>
      </c>
      <c r="ZT33" s="108" t="e">
        <f>INT(SchwimmenResultatSek[[#This Row],[Resultat]])=SchwimmenResultatSek[[#This Row],[Resultat]]</f>
        <v>#VALUE!</v>
      </c>
      <c r="ZU33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3" s="97" t="str" cm="1">
        <f t="array" aca="1" ref="ZW33" ca="1">IF(AND(INDIRECT(ZW$2)="",INDIRECT(ZX$2)=""),"",IFERROR((INDIRECT(ZW$2)*$ZW$25)+INDIRECT(ZX$2),""))</f>
        <v/>
      </c>
      <c r="ZX33" s="91" t="str">
        <f ca="1">REPLACE(ZW$4,ZX$6,1,Geschlecht[[#This Row],[Geschlecht (Skala)]])</f>
        <v>Schwimmen_[Resultat]</v>
      </c>
      <c r="ZY33" s="91" t="str">
        <f ca="1">IFERROR(REPLACE($ZX33,FIND(Stammdaten!$V$2,$ZX33,1),LEN(Stammdaten!$V$2),Stammdaten!$BZ$9),"")</f>
        <v>Schwimmen_[Anzeige]</v>
      </c>
      <c r="ZZ33" s="97" t="str" cm="1">
        <f t="array" aca="1" ref="ZZ33" ca="1">IF(INDIRECT(ZW$3)="","",IF(INDIRECT(ZW$3)=0,0,IF(OR(INDIRECT(ZW$1)=$A$2,INDIRECT(ZW$1)=$A$3),$A$3,IFERROR(INDEX(INDIRECT(ZX33),MATCH(INDIRECT(ZW$3),INDIRECT(ZX33),ZY$25)),IFERROR(IF(ZY$25=-1,MAX(INDIRECT(ZX33)),IF(ZY$25=1,MIN(INDIRECT(ZX33)))),"")))))</f>
        <v/>
      </c>
      <c r="AAA33" s="97" t="str" cm="1">
        <f t="array" aca="1" ref="AAA33" ca="1">IF(INDIRECT(ZX$5)=0,0,IF(OR(INDIRECT(ZW$1)=$A$2,INDIRECT(ZW$1)=$A$3),$A$3,IFERROR(INDEX(INDIRECT($ZY33),MATCH(INDIRECT(ZX$5),INDIRECT($ZX33),0)),"")))</f>
        <v/>
      </c>
      <c r="AAC33" s="91" t="str">
        <f ca="1">REPLACE(ZW$6,ZX$6,1,Geschlecht[[#This Row],[Geschlecht (Skala)]])</f>
        <v>Schwimmen_[Note]</v>
      </c>
      <c r="AAD33" s="97" t="str" cm="1">
        <f t="array" aca="1" ref="AAD33" ca="1">IFERROR(INDEX(INDIRECT(AAC33),MATCH(INDIRECT(ZX$5),INDIRECT(ZX33),0)),IF(INDIRECT(ZX$5)=0,1,""))</f>
        <v/>
      </c>
      <c r="AAE33" s="97"/>
      <c r="AAF33" s="96" t="str">
        <f>ZwölfMinLaufHalleResultat[[#This Row],[Resultat]]</f>
        <v/>
      </c>
      <c r="AAG33" s="96"/>
      <c r="AAH33" s="97" t="str">
        <f ca="1">ZwölfMinLaufHalleSkalawert[[#This Row],[Skala-Wert]]</f>
        <v/>
      </c>
      <c r="AAJ33" s="97" t="str">
        <f ca="1">ZwölfMinLaufHalleNote[[#This Row],[Note]]</f>
        <v/>
      </c>
      <c r="AAK33" s="97"/>
      <c r="AAL33" s="96" t="str">
        <f>ZwölfMinLaufimFreienResultat[[#This Row],[Resultat]]</f>
        <v/>
      </c>
      <c r="AAM33" s="96"/>
      <c r="AAN33" s="97" t="str">
        <f ca="1">ZwölfMinLaufimFreienSkalawert[[#This Row],[Skala-Wert]]</f>
        <v/>
      </c>
      <c r="AAP33" s="97" t="str">
        <f ca="1">ZwölfMinLaufimFreienNote[[#This Row],[Note]]</f>
        <v/>
      </c>
      <c r="AAQ33" s="97"/>
      <c r="AAR33" s="307"/>
      <c r="AAS33" s="96" t="str">
        <f>IFERROR(IFERROR(SUBSTITUTE(BeweglichkeitResultat[[#This Row],[Eingabe]],".",",")*1,SUBSTITUTE(BeweglichkeitResultat[[#This Row],[Eingabe]],",",".")*1),"")</f>
        <v/>
      </c>
      <c r="AAT33" s="96" t="e">
        <f>INT(BeweglichkeitResultat[[#This Row],[Resultat]])=BeweglichkeitResultat[[#This Row],[Resultat]]</f>
        <v>#VALUE!</v>
      </c>
      <c r="AAU33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3" s="96"/>
      <c r="AAW33" s="91" t="str" cm="1">
        <f t="array" aca="1" ref="AAW33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3" s="96" t="str">
        <f ca="1">REPLACE(AAW$4,AAX$6,1,Geschlecht[[#This Row],[Geschlecht (Skala)]])</f>
        <v>Beweglichkeit_[Resultat]</v>
      </c>
      <c r="AAY33" s="96" t="str" cm="1">
        <f t="array" aca="1" ref="AAY33" ca="1">IF(OR(INDIRECT(AAW$1)=$A$2,INDIRECT(AAW$1)=$A$3),$A$3,IF(OR(INDIRECT(AAW$2)="",AND(Geschlecht[[#This Row],[Geschlecht (Skala)]]=Stammdaten!$D$7,INDIRECT(AAW$2)&lt;0)),"",IFERROR(INDEX(INDIRECT(AAX33),MATCH(INDIRECT(AAW$3),INDIRECT(AAX33),AAX$25)),IFERROR(IF(AAX$25=-1,MAX(INDIRECT(AAX33)),IF(AAX$25=1,MIN(INDIRECT(AAX33)))),""))))</f>
        <v/>
      </c>
      <c r="AAZ33" s="97" t="str" cm="1">
        <f t="array" aca="1" ref="AAZ33" ca="1">IF(INDIRECT(AAW$1)="","",IF(INDIRECT(AAW$1)=0,0,IF(OR(INDIRECT(AAW$1)=$A$2,INDIRECT(AAW$1)=$A$3),$A$3,IFERROR(INDEX(INDIRECT(AAY33),MATCH(INDIRECT(AAW$3),INDIRECT(AAY33),AAY$27)),IFERROR(IF(AAY$27=-1,MAX(INDIRECT(AAY33)),IF(AAY$27=1,MIN(INDIRECT(AAY33)))),"")))))</f>
        <v/>
      </c>
      <c r="ABA33" s="96" t="str">
        <f ca="1">REPLACE(AAW$6,AAX$6,1,Geschlecht[[#This Row],[Geschlecht (Skala)]])</f>
        <v>Beweglichkeit_[Note]</v>
      </c>
      <c r="ABB33" s="91" t="str" cm="1">
        <f t="array" aca="1" ref="ABB33" ca="1">IFERROR(INDEX(INDIRECT(ABA33),MATCH(INDIRECT(AAW$5),INDIRECT(AAX33),0)),"")</f>
        <v/>
      </c>
      <c r="ABC33" s="97" t="str" cm="1">
        <f t="array" aca="1" ref="ABC33" ca="1">IFERROR(INDEX(INDIRECT(ABB33),MATCH(INDIRECT(AAW$5),INDIRECT(AAY33),0)),"")</f>
        <v/>
      </c>
      <c r="ABD33" s="307"/>
      <c r="ABE33" s="96" t="str">
        <f>IFERROR(IFERROR(SUBSTITUTE(RumpfkraftResultat[[#This Row],[Eingabe]],".",",")*1,SUBSTITUTE(RumpfkraftResultat[[#This Row],[Eingabe]],",",".")*1),"")</f>
        <v/>
      </c>
      <c r="ABF33" s="96" t="e">
        <f>INT(RumpfkraftResultat[[#This Row],[Resultat]])=RumpfkraftResultat[[#This Row],[Resultat]]</f>
        <v>#VALUE!</v>
      </c>
      <c r="ABG33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3" s="96"/>
      <c r="ABI33" s="91" t="str" cm="1">
        <f t="array" aca="1" ref="ABI33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3" s="96" t="str">
        <f ca="1">REPLACE(ABI$4,ABJ$6,1,Geschlecht[[#This Row],[Geschlecht (Skala)]])</f>
        <v>Rumpfkraft_[Resultat]</v>
      </c>
      <c r="ABK33" s="97" t="str" cm="1">
        <f t="array" aca="1" ref="ABK33" ca="1">IF(INDIRECT(ABI$1)="","",IF(OR(INDIRECT(ABI$1)=$A$2,INDIRECT(ABI$1)=$A$3),$A$3,IFERROR(INDEX(INDIRECT(ABJ33),MATCH(INDIRECT(ABI$3),INDIRECT(ABJ33),ABJ$25)),IFERROR(IF(ABJ$25=-1,MAX(INDIRECT(ABJ33)),IF(ABJ$25=1,MIN(INDIRECT(ABJ33)))),""))))</f>
        <v/>
      </c>
      <c r="ABM33" s="91" t="str">
        <f ca="1">REPLACE(ABI$6,ABJ$6,1,Geschlecht[[#This Row],[Geschlecht (Skala)]])</f>
        <v>Rumpfkraft_[Note]</v>
      </c>
      <c r="ABN33" s="97" t="str" cm="1">
        <f t="array" aca="1" ref="ABN33" ca="1">IFERROR(INDEX(INDIRECT(ABM33),MATCH(INDIRECT(ABI$5),INDIRECT(ABJ33),0)),"")</f>
        <v/>
      </c>
      <c r="ABO33" s="97"/>
      <c r="ABP33" s="96" t="str">
        <f>SechzigmLaufResultat[[#This Row],[Resultat]]</f>
        <v/>
      </c>
      <c r="ABQ33" s="96"/>
      <c r="ABR33" s="97" t="str">
        <f ca="1">SechzigmLaufSkalawert[[#This Row],[Skala-Wert]]</f>
        <v/>
      </c>
      <c r="ABT33" s="97" t="str">
        <f ca="1">SechzigmLaufNote[[#This Row],[Note]]</f>
        <v/>
      </c>
      <c r="ABU33" s="97"/>
      <c r="ABV33" s="96" t="str">
        <f>AchtzigmLaufResultat[[#This Row],[Resultat]]</f>
        <v/>
      </c>
      <c r="ABW33" s="96"/>
      <c r="ABX33" s="97" t="str">
        <f ca="1">AchtzigmLaufSkalawert[[#This Row],[Skala-Wert]]</f>
        <v/>
      </c>
      <c r="ABZ33" s="97" t="str">
        <f ca="1">AchtzigmLaufNote[[#This Row],[Note]]</f>
        <v/>
      </c>
      <c r="ACA33" s="97"/>
      <c r="ACB33" s="307"/>
      <c r="ACC33" s="96" t="str">
        <f>IFERROR(IFERROR(SUBSTITUTE(KonditionsparcoursResultat[[#This Row],[Eingabe]],".",",")*1,SUBSTITUTE(KonditionsparcoursResultat[[#This Row],[Eingabe]],",",".")*1),"")</f>
        <v/>
      </c>
      <c r="ACD33" s="96" t="e">
        <f>INT(KonditionsparcoursResultat[[#This Row],[Resultat]])=KonditionsparcoursResultat[[#This Row],[Resultat]]</f>
        <v>#VALUE!</v>
      </c>
      <c r="ACE33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3" s="96"/>
      <c r="ACG33" s="91" t="str" cm="1">
        <f t="array" aca="1" ref="ACG33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3" s="96" t="str">
        <f ca="1">LEFT(Geschlecht[[#This Row],[Geschlecht (Skala)]],1)&amp;ACM$4</f>
        <v>2</v>
      </c>
      <c r="ACI33" s="96" t="str">
        <f t="shared" ca="1" si="133"/>
        <v>Konditionsparcours_2[Resultat]</v>
      </c>
      <c r="ACJ33" s="97" t="str" cm="1">
        <f t="array" aca="1" ref="ACJ33" ca="1">IF(INDIRECT(ACG$1)="","",IF(OR(INDIRECT(ACG$1)=$A$2,INDIRECT(ACG$1)=$A$3),$A$3,IFERROR(INDEX(INDIRECT(ACI33),MATCH(INDIRECT(ACG$3),INDIRECT(ACI33),ACI$25)),IFERROR(IF(ACI$25=-1,MAX(INDIRECT(ACI33)),IF(ACI$25=1,MIN(INDIRECT(ACI33)))),""))))</f>
        <v/>
      </c>
      <c r="ACL33" s="91" t="str">
        <f t="shared" ca="1" si="134"/>
        <v>Konditionsparcours_2[Note]</v>
      </c>
      <c r="ACM33" s="97" t="str" cm="1">
        <f t="array" aca="1" ref="ACM33" ca="1">IFERROR(INDEX(INDIRECT(ACL33),MATCH(INDIRECT(ACG$5),INDIRECT(ACI33),0)),"")</f>
        <v/>
      </c>
      <c r="ACN33" s="102"/>
    </row>
    <row r="34" spans="1:768">
      <c r="A34" s="305">
        <v>7</v>
      </c>
      <c r="B34" s="133"/>
      <c r="C34" s="133"/>
      <c r="E34" s="306"/>
      <c r="G34" s="307"/>
      <c r="H34" s="96" t="str">
        <f>IFERROR(IFERROR(SUBSTITUTE(SechzigmLaufResultat[[#This Row],[Eingabe]],".",",")*1,SUBSTITUTE(SechzigmLaufResultat[[#This Row],[Eingabe]],",",".")*1),"")</f>
        <v/>
      </c>
      <c r="I34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4" s="96"/>
      <c r="K34" s="91" t="str" cm="1">
        <f t="array" aca="1" ref="K34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4" s="96" t="str">
        <f ca="1">LEFT(Geschlecht[[#This Row],[Geschlecht (Skala)]],1)&amp;Q$4</f>
        <v>2</v>
      </c>
      <c r="M34" s="96" t="str">
        <f t="shared" ca="1" si="37"/>
        <v>SechzigmLauf_2[Resultat]</v>
      </c>
      <c r="N34" s="97" t="str" cm="1">
        <f t="array" aca="1" ref="N34" ca="1">IF(INDIRECT(K$1)="","",IF(INDIRECT(K$2)=0,0,IF(OR(INDIRECT(K$1)=$A$2,INDIRECT(K$1)=$A$3),$A$3,IFERROR(INDEX(INDIRECT(M34),MATCH(INDIRECT(K$3),INDIRECT(M34),M$25)),IFERROR(IF(M$25=-1,MAX(INDIRECT(M34)),IF(M$25=1,MIN(INDIRECT(M34)))),"")))))</f>
        <v/>
      </c>
      <c r="P34" s="91" t="str">
        <f t="shared" ca="1" si="38"/>
        <v>SechzigmLauf_2[Note]</v>
      </c>
      <c r="Q34" s="97" t="str" cm="1">
        <f t="array" aca="1" ref="Q34" ca="1">IFERROR(INDEX(INDIRECT(P34),MATCH(INDIRECT(K$5),INDIRECT(M34),0)),IF(INDIRECT(K$5)=0,1,""))</f>
        <v/>
      </c>
      <c r="R34" s="97"/>
      <c r="S34" s="307"/>
      <c r="T34" s="96" t="str">
        <f>IFERROR(IFERROR(SUBSTITUTE(AchtzigmLaufResultat[[#This Row],[Eingabe]],".",",")*1,SUBSTITUTE(AchtzigmLaufResultat[[#This Row],[Eingabe]],",",".")*1),"")</f>
        <v/>
      </c>
      <c r="U34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4" s="96"/>
      <c r="W34" s="91" t="str" cm="1">
        <f t="array" aca="1" ref="W34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4" s="96" t="str">
        <f ca="1">LEFT(Geschlecht[[#This Row],[Geschlecht (Skala)]],1)&amp;AC$4</f>
        <v>2</v>
      </c>
      <c r="Y34" s="96" t="str">
        <f t="shared" ca="1" si="39"/>
        <v>AchtzigmLauf_2[Resultat]</v>
      </c>
      <c r="Z34" s="97" t="str" cm="1">
        <f t="array" aca="1" ref="Z34" ca="1">IF(INDIRECT(W$1)="","",IF(INDIRECT(W$2)=0,0,IF(OR(INDIRECT(W$1)=$A$2,INDIRECT(W$1)=$A$3),$A$3,IFERROR(INDEX(INDIRECT(Y34),MATCH(INDIRECT(W$3),INDIRECT(Y34),Y$25)),IFERROR(IF(Y$25=-1,MAX(INDIRECT(Y34)),IF(Y$25=1,MIN(INDIRECT(Y34)))),"")))))</f>
        <v/>
      </c>
      <c r="AB34" s="91" t="str">
        <f t="shared" ca="1" si="40"/>
        <v>AchtzigmLauf_2[Note]</v>
      </c>
      <c r="AC34" s="97" t="str" cm="1">
        <f t="array" aca="1" ref="AC34" ca="1">IFERROR(INDEX(INDIRECT(AB34),MATCH(INDIRECT(W$5),INDIRECT(Y34),0)),IF(INDIRECT(W$5)=0,1,""))</f>
        <v/>
      </c>
      <c r="AD34" s="97"/>
      <c r="AE34" s="307"/>
      <c r="AF34" s="96" t="str">
        <f>IFERROR(IFERROR(SUBSTITUTE(ZwölfMinLaufHalleResultat[[#This Row],[Eingabe]],".",",")*1,SUBSTITUTE(ZwölfMinLaufHalleResultat[[#This Row],[Eingabe]],",",".")*1),"")</f>
        <v/>
      </c>
      <c r="AG34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4" s="96"/>
      <c r="AI34" s="91" t="str" cm="1">
        <f t="array" aca="1" ref="AI34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4" s="96" t="str">
        <f ca="1">LEFT(Geschlecht[[#This Row],[Geschlecht (Skala)]],1)&amp;AO$4</f>
        <v>2</v>
      </c>
      <c r="AK34" s="96" t="str">
        <f t="shared" ca="1" si="41"/>
        <v>ZwölfMinLaufHalle_2[Resultat]</v>
      </c>
      <c r="AL34" s="97" t="str" cm="1">
        <f t="array" aca="1" ref="AL34" ca="1">IF(INDIRECT(AI$1)="","",IF(INDIRECT(AI$2)=0,0,IF(OR(INDIRECT(AI$1)=$A$2,INDIRECT(AI$1)=$A$3),$A$3,IFERROR(INDEX(INDIRECT(AK34),MATCH(INDIRECT(AI$3),INDIRECT(AK34),AK$25)),IFERROR(IF(AK$25=-1,MAX(INDIRECT(AK34)),IF(AK$25=1,MIN(INDIRECT(AK34)))),"")))))</f>
        <v/>
      </c>
      <c r="AN34" s="91" t="str">
        <f t="shared" ca="1" si="42"/>
        <v>ZwölfMinLaufHalle_2[Note]</v>
      </c>
      <c r="AO34" s="97" t="str" cm="1">
        <f t="array" aca="1" ref="AO34" ca="1">IFERROR(INDEX(INDIRECT(AN34),MATCH(INDIRECT(AI$5),INDIRECT(AK34),0)),IF(INDIRECT(AI$5)=0,1,""))</f>
        <v/>
      </c>
      <c r="AP34" s="97"/>
      <c r="AQ34" s="307"/>
      <c r="AR34" s="96" t="str">
        <f>IFERROR(IFERROR(SUBSTITUTE(ZwölfMinLaufimFreienResultat[[#This Row],[Eingabe]],".",",")*1,SUBSTITUTE(ZwölfMinLaufimFreienResultat[[#This Row],[Eingabe]],",",".")*1),"")</f>
        <v/>
      </c>
      <c r="AS34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4" s="96"/>
      <c r="AU34" s="91" t="str" cm="1">
        <f t="array" aca="1" ref="AU34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4" s="96" t="str">
        <f ca="1">LEFT(Geschlecht[[#This Row],[Geschlecht (Skala)]],1)&amp;BA$4</f>
        <v>2</v>
      </c>
      <c r="AW34" s="96" t="str">
        <f t="shared" ca="1" si="43"/>
        <v>ZwölfMinLaufimFreien_2[Resultat]</v>
      </c>
      <c r="AX34" s="97" t="str" cm="1">
        <f t="array" aca="1" ref="AX34" ca="1">IF(INDIRECT(AU$1)="","",IF(INDIRECT(AU$2)=0,0,IF(OR(INDIRECT(AU$1)=$A$2,INDIRECT(AU$1)=$A$3),$A$3,IFERROR(INDEX(INDIRECT(AW34),MATCH(INDIRECT(AU$3),INDIRECT(AW34),AW$25)),IFERROR(IF(AW$25=-1,MAX(INDIRECT(AW34)),IF(AW$25=1,MIN(INDIRECT(AW34)))),"")))))</f>
        <v/>
      </c>
      <c r="AZ34" s="91" t="str">
        <f t="shared" ca="1" si="44"/>
        <v>ZwölfMinLaufimFreien_2[Note]</v>
      </c>
      <c r="BA34" s="97" t="str" cm="1">
        <f t="array" aca="1" ref="BA34" ca="1">IFERROR(INDEX(INDIRECT(AZ34),MATCH(INDIRECT(AU$5),INDIRECT(AW34),0)),IF(INDIRECT(AU$5)=0,1,""))</f>
        <v/>
      </c>
      <c r="BB34" s="97"/>
      <c r="BC34" s="307"/>
      <c r="BD34" s="96" t="str">
        <f>IFERROR(IFERROR(SUBSTITUTE(HochsprungResultat[[#This Row],[Eingabe]],".",",")*1,SUBSTITUTE(HochsprungResultat[[#This Row],[Eingabe]],",",".")*1),"")</f>
        <v/>
      </c>
      <c r="BE34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4" s="96"/>
      <c r="BG34" s="91" t="str" cm="1">
        <f t="array" aca="1" ref="BG34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4" s="96" t="str">
        <f ca="1">LEFT(Geschlecht[[#This Row],[Geschlecht (Skala)]],1)&amp;BM$4</f>
        <v>2</v>
      </c>
      <c r="BI34" s="96" t="str">
        <f t="shared" ca="1" si="45"/>
        <v>Hochsprung_2[Resultat]</v>
      </c>
      <c r="BJ34" s="97" t="str" cm="1">
        <f t="array" aca="1" ref="BJ34" ca="1">IF(INDIRECT(BG$1)="","",IF(INDIRECT(BG$2)=0,0,IF(OR(INDIRECT(BG$1)=$A$2,INDIRECT(BG$1)=$A$3),$A$3,IFERROR(INDEX(INDIRECT(BI34),MATCH(INDIRECT(BG$3),INDIRECT(BI34),BI$25)),IFERROR(IF(BI$25=-1,MAX(INDIRECT(BI34)),IF(BI$25=1,MIN(INDIRECT(BI34)))),"")))))</f>
        <v/>
      </c>
      <c r="BL34" s="91" t="str">
        <f t="shared" ca="1" si="46"/>
        <v>Hochsprung_2[Note]</v>
      </c>
      <c r="BM34" s="97" t="str" cm="1">
        <f t="array" aca="1" ref="BM34" ca="1">IFERROR(INDEX(INDIRECT(BL34),MATCH(INDIRECT(BG$5),INDIRECT(BI34),0)),IF(INDIRECT(BG$5)=0,1,""))</f>
        <v/>
      </c>
      <c r="BN34" s="97"/>
      <c r="BO34" s="307"/>
      <c r="BP34" s="96" t="str">
        <f>IFERROR(IFERROR(SUBSTITUTE(WeitsprungResultat[[#This Row],[Eingabe]],".",",")*1,SUBSTITUTE(WeitsprungResultat[[#This Row],[Eingabe]],",",".")*1),"")</f>
        <v/>
      </c>
      <c r="BQ34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4" s="96"/>
      <c r="BS34" s="91" t="str" cm="1">
        <f t="array" aca="1" ref="BS34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4" s="96" t="str">
        <f ca="1">LEFT(Geschlecht[[#This Row],[Geschlecht (Skala)]],1)&amp;BY$4</f>
        <v>2</v>
      </c>
      <c r="BU34" s="96" t="str">
        <f t="shared" ca="1" si="47"/>
        <v>Weitsprung_2[Resultat]</v>
      </c>
      <c r="BV34" s="97" t="str" cm="1">
        <f t="array" aca="1" ref="BV34" ca="1">IF(INDIRECT(BS$1)="","",IF(INDIRECT(BS$2)=0,0,IF(OR(INDIRECT(BS$1)=$A$2,INDIRECT(BS$1)=$A$3),$A$3,IFERROR(INDEX(INDIRECT(BU34),MATCH(INDIRECT(BS$3),INDIRECT(BU34),BU$25)),IFERROR(IF(BU$25=-1,MAX(INDIRECT(BU34)),IF(BU$25=1,MIN(INDIRECT(BU34)))),"")))))</f>
        <v/>
      </c>
      <c r="BX34" s="91" t="str">
        <f t="shared" ca="1" si="48"/>
        <v>Weitsprung_2[Note]</v>
      </c>
      <c r="BY34" s="97" t="str" cm="1">
        <f t="array" aca="1" ref="BY34" ca="1">IFERROR(INDEX(INDIRECT(BX34),MATCH(INDIRECT(BS$5),INDIRECT(BU34),0)),IF(INDIRECT(BS$5)=0,1,""))</f>
        <v/>
      </c>
      <c r="BZ34" s="97"/>
      <c r="CA34" s="307"/>
      <c r="CB34" s="96" t="str">
        <f>IFERROR(IFERROR(SUBSTITUTE(BallwurfResultat[[#This Row],[Eingabe]],".",",")*1,SUBSTITUTE(BallwurfResultat[[#This Row],[Eingabe]],",",".")*1),"")</f>
        <v/>
      </c>
      <c r="CC34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4" s="96"/>
      <c r="CE34" s="91" t="str" cm="1">
        <f t="array" aca="1" ref="CE34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4" s="96" t="str">
        <f ca="1">LEFT(Geschlecht[[#This Row],[Geschlecht (Skala)]],1)&amp;CK$4</f>
        <v>2</v>
      </c>
      <c r="CG34" s="96" t="str">
        <f t="shared" ca="1" si="49"/>
        <v>Ballwurf_2[Resultat]</v>
      </c>
      <c r="CH34" s="97" t="str" cm="1">
        <f t="array" aca="1" ref="CH34" ca="1">IF(INDIRECT(CE$1)="","",IF(INDIRECT(CE$2)=0,0,IF(OR(INDIRECT(CE$1)=$A$2,INDIRECT(CE$1)=$A$3),$A$3,IFERROR(INDEX(INDIRECT(CG34),MATCH(INDIRECT(CE$3),INDIRECT(CG34),CG$25)),IFERROR(IF(CG$25=-1,MAX(INDIRECT(CG34)),IF(CG$25=1,MIN(INDIRECT(CG34)))),"")))))</f>
        <v/>
      </c>
      <c r="CJ34" s="91" t="str">
        <f t="shared" ca="1" si="50"/>
        <v>Ballwurf_2[Note]</v>
      </c>
      <c r="CK34" s="97" t="str" cm="1">
        <f t="array" aca="1" ref="CK34" ca="1">IFERROR(INDEX(INDIRECT(CJ34),MATCH(INDIRECT(CE$5),INDIRECT(CG34),0)),IF(INDIRECT(CE$5)=0,1,""))</f>
        <v/>
      </c>
      <c r="CL34" s="97"/>
      <c r="CM34" s="307"/>
      <c r="CN34" s="96" t="str">
        <f>IFERROR(IFERROR(SUBSTITUTE(KugelstossenResultat[[#This Row],[Eingabe]],".",",")*1,SUBSTITUTE(KugelstossenResultat[[#This Row],[Eingabe]],",",".")*1),"")</f>
        <v/>
      </c>
      <c r="CO34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4" s="96"/>
      <c r="CQ34" s="91" t="str" cm="1">
        <f t="array" aca="1" ref="CQ34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4" s="96" t="str">
        <f ca="1">LEFT(Geschlecht[[#This Row],[Geschlecht (Skala)]],1)&amp;CW$4</f>
        <v>2</v>
      </c>
      <c r="CS34" s="96" t="str">
        <f t="shared" ca="1" si="51"/>
        <v>Kugelstossen_2[Resultat]</v>
      </c>
      <c r="CT34" s="97" t="str" cm="1">
        <f t="array" aca="1" ref="CT34" ca="1">IF(INDIRECT(CQ$1)="","",IF(INDIRECT(CQ$2)=0,0,IF(OR(INDIRECT(CQ$1)=$A$2,INDIRECT(CQ$1)=$A$3),$A$3,IFERROR(INDEX(INDIRECT(CS34),MATCH(INDIRECT(CQ$3),INDIRECT(CS34),CS$25)),IFERROR(IF(CS$25=-1,MAX(INDIRECT(CS34)),IF(CS$25=1,MIN(INDIRECT(CS34)))),"")))))</f>
        <v/>
      </c>
      <c r="CV34" s="91" t="str">
        <f t="shared" ca="1" si="52"/>
        <v>Kugelstossen_2[Note]</v>
      </c>
      <c r="CW34" s="97" t="str" cm="1">
        <f t="array" aca="1" ref="CW34" ca="1">IFERROR(INDEX(INDIRECT(CV34),MATCH(INDIRECT(CQ$5),INDIRECT(CS34),0)),IF(INDIRECT(CQ$5)=0,1,""))</f>
        <v/>
      </c>
      <c r="CX34" s="97"/>
      <c r="CY34" s="307"/>
      <c r="CZ34" s="96" t="str">
        <f>IFERROR(IFERROR(SUBSTITUTE(SpeerwurfResultat[[#This Row],[Eingabe]],".",",")*1,SUBSTITUTE(SpeerwurfResultat[[#This Row],[Eingabe]],",",".")*1),"")</f>
        <v/>
      </c>
      <c r="DA34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4" s="96"/>
      <c r="DC34" s="91" t="str" cm="1">
        <f t="array" aca="1" ref="DC34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4" s="96" t="str">
        <f ca="1">LEFT(Geschlecht[[#This Row],[Geschlecht (Skala)]],1)&amp;DI$4</f>
        <v>2</v>
      </c>
      <c r="DE34" s="96" t="str">
        <f t="shared" ca="1" si="53"/>
        <v>Speerwurf_2[Resultat]</v>
      </c>
      <c r="DF34" s="97" t="str" cm="1">
        <f t="array" aca="1" ref="DF34" ca="1">IF(INDIRECT(DC$1)="","",IF(INDIRECT(DC$2)=0,0,IF(OR(INDIRECT(DC$1)=$A$2,INDIRECT(DC$1)=$A$3),$A$3,IFERROR(INDEX(INDIRECT(DE34),MATCH(INDIRECT(DC$3),INDIRECT(DE34),DE$25)),IFERROR(IF(DE$25=-1,MAX(INDIRECT(DE34)),IF(DE$25=1,MIN(INDIRECT(DE34)))),"")))))</f>
        <v/>
      </c>
      <c r="DH34" s="91" t="str">
        <f t="shared" ca="1" si="54"/>
        <v>Speerwurf_2[Note]</v>
      </c>
      <c r="DI34" s="97" t="str" cm="1">
        <f t="array" aca="1" ref="DI34" ca="1">IFERROR(INDEX(INDIRECT(DH34),MATCH(INDIRECT(DC$5),INDIRECT(DE34),0)),IF(INDIRECT(DC$5)=0,1,""))</f>
        <v/>
      </c>
      <c r="DJ34" s="97"/>
      <c r="DK34" s="97" t="str" cm="1">
        <f t="array" aca="1" ref="DK34" ca="1">INDIRECT(DK$5)</f>
        <v/>
      </c>
      <c r="DL34" s="97" t="str" cm="1">
        <f t="array" aca="1" ref="DL34" ca="1">INDIRECT(DL$5)</f>
        <v/>
      </c>
      <c r="DM34" s="97" t="str" cm="1">
        <f t="array" aca="1" ref="DM34" ca="1">INDIRECT(DM$5)</f>
        <v/>
      </c>
      <c r="DN34" s="97" t="str" cm="1">
        <f t="array" aca="1" ref="DN34" ca="1">INDIRECT(DN$5)</f>
        <v/>
      </c>
      <c r="DO34" s="97" t="str">
        <f t="shared" ca="1" si="135"/>
        <v>Sprintdisziplinen nicht durchgeführt</v>
      </c>
      <c r="DP34" s="97" t="str">
        <f t="shared" ca="1" si="136"/>
        <v/>
      </c>
      <c r="DQ34" s="108">
        <f t="shared" ca="1" si="137"/>
        <v>0</v>
      </c>
      <c r="DR34" s="108">
        <f t="shared" ca="1" si="138"/>
        <v>0</v>
      </c>
      <c r="DS34" s="108" t="str">
        <f t="shared" ca="1" si="139"/>
        <v/>
      </c>
      <c r="DT34" s="97" t="str">
        <f t="shared" ca="1" si="140"/>
        <v>Sprintdisziplinen nicht durchgeführt</v>
      </c>
      <c r="DU34" s="97" t="str">
        <f t="shared" ca="1" si="141"/>
        <v/>
      </c>
      <c r="DV34" s="97" t="str" cm="1">
        <f t="array" aca="1" ref="DV34" ca="1">IFERROR(IF(INDIRECT(INDEX(INDIRECT(DV$5),MATCH(DT34,INDIRECT(DV$4),0)))&lt;&gt;"",INDEX(INDIRECT(DV$5),MATCH(DT34,INDIRECT(DV$4),0)),INDEX(INDIRECT(DV$6),MATCH(DT34,INDIRECT(DV$4),0))),"")</f>
        <v/>
      </c>
      <c r="DW34" s="97" t="str">
        <f t="shared" ca="1" si="142"/>
        <v/>
      </c>
      <c r="DX34" s="97" t="str" cm="1">
        <f t="array" aca="1" ref="DX34" ca="1">IFERROR(INDIRECT(DV34),IF(NOT(ISERROR(FIND(Stammdaten!$CC$3,DT34,1))),$A$2,""))</f>
        <v/>
      </c>
      <c r="DY34" s="97" t="str">
        <f ca="1">IF(DX34="","",IF(AND(DU34=Stammdaten!$BX$20,DW34="0",DX34=1),SUBSTITUTE(TEXT(DX34,DW34)&amp;" "&amp;LEFT(DU34,LEN(DU34)-1),".",","),SUBSTITUTE(TEXT(DX34,DW34)&amp;" "&amp;DU34,".",",")))</f>
        <v/>
      </c>
      <c r="DZ34" s="97" t="str">
        <f t="shared" ca="1" si="55"/>
        <v/>
      </c>
      <c r="EA34" s="97" t="str" cm="1">
        <f t="array" aca="1" ref="EA34" ca="1">IFERROR(LEFT(INDIRECT(DZ34),1)&amp;"]","")</f>
        <v/>
      </c>
      <c r="EB34" s="97" t="str">
        <f t="shared" ca="1" si="56"/>
        <v/>
      </c>
      <c r="EC34" s="97" t="str">
        <f ca="1">IFERROR(LEFT(DT34,FIND(Stammdaten!$CA$4,DT34,1)-2),IFERROR(LEFT(DT34,FIND(Stammdaten!$CC$3,DT34,1)-2),DT34))</f>
        <v>Sprintdisziplinen</v>
      </c>
      <c r="ED34" s="97" t="str">
        <f ca="1">IF(NOT(ISERROR(FIND(Stammdaten!$CA$4,DT34,1))),Stammdaten!$CA$4,IF(EE34&lt;&gt;Stammdaten!$CC$3,EB34,""))</f>
        <v>nicht durchgeführt</v>
      </c>
      <c r="EE34" s="91" t="str">
        <f ca="1">IF(DX34=$A$2,Stammdaten!$CC$3,DY34)</f>
        <v/>
      </c>
      <c r="EF34" s="97" t="str" cm="1">
        <f t="array" aca="1" ref="EF34" ca="1">INDIRECT(EF$5)</f>
        <v/>
      </c>
      <c r="EG34" s="97" t="str" cm="1">
        <f t="array" aca="1" ref="EG34" ca="1">INDIRECT(EG$5)</f>
        <v/>
      </c>
      <c r="EH34" s="97" t="str" cm="1">
        <f t="array" aca="1" ref="EH34" ca="1">INDIRECT(EH$5)</f>
        <v/>
      </c>
      <c r="EI34" s="97" t="str" cm="1">
        <f t="array" aca="1" ref="EI34" ca="1">INDIRECT(EI$5)</f>
        <v/>
      </c>
      <c r="EJ34" s="97" t="str">
        <f t="shared" ca="1" si="143"/>
        <v>Ausdauerdisziplinen nicht durchgeführt</v>
      </c>
      <c r="EK34" s="97" t="str">
        <f t="shared" ca="1" si="144"/>
        <v/>
      </c>
      <c r="EL34" s="108">
        <f t="shared" ca="1" si="145"/>
        <v>0</v>
      </c>
      <c r="EM34" s="108">
        <f t="shared" ca="1" si="146"/>
        <v>0</v>
      </c>
      <c r="EN34" s="108" t="str">
        <f t="shared" ca="1" si="147"/>
        <v/>
      </c>
      <c r="EO34" s="97" t="str">
        <f t="shared" ca="1" si="148"/>
        <v>Ausdauerdisziplinen nicht durchgeführt</v>
      </c>
      <c r="EP34" s="97" t="str">
        <f t="shared" ca="1" si="149"/>
        <v/>
      </c>
      <c r="EQ34" s="97" t="str" cm="1">
        <f t="array" aca="1" ref="EQ34" ca="1">IFERROR(IF(INDIRECT(INDEX(INDIRECT(EQ$5),MATCH(EO34,INDIRECT(EQ$4),0)))&lt;&gt;"",INDEX(INDIRECT(EQ$5),MATCH(EO34,INDIRECT(EQ$4),0)),INDEX(INDIRECT(EQ$6),MATCH(EO34,INDIRECT(EQ$4),0))),"")</f>
        <v/>
      </c>
      <c r="ER34" s="97" t="str">
        <f t="shared" ca="1" si="150"/>
        <v/>
      </c>
      <c r="ES34" s="97" t="str" cm="1">
        <f t="array" aca="1" ref="ES34" ca="1">IFERROR(INDIRECT(EQ34),IF(NOT(ISERROR(FIND(Stammdaten!$CC$3,EO34,1))),$A$2,""))</f>
        <v/>
      </c>
      <c r="ET34" s="97" t="str">
        <f ca="1">IF(ES34="","",IF(AND(EP34=Stammdaten!$BX$20,ER34="0",ES34=1),SUBSTITUTE(TEXT(ES34,ER34)&amp;" "&amp;LEFT(EP34,LEN(EP34)-1),".",","),SUBSTITUTE(TEXT(ES34,ER34)&amp;" "&amp;EP34,".",",")))</f>
        <v/>
      </c>
      <c r="EU34" s="97" t="str">
        <f t="shared" ca="1" si="57"/>
        <v/>
      </c>
      <c r="EV34" s="97" t="str" cm="1">
        <f t="array" aca="1" ref="EV34" ca="1">IFERROR(LEFT(INDIRECT(EU34),1)&amp;"]","")</f>
        <v/>
      </c>
      <c r="EW34" s="97" t="str">
        <f t="shared" ca="1" si="58"/>
        <v/>
      </c>
      <c r="EX34" s="97" t="str">
        <f ca="1">IFERROR(LEFT(EO34,FIND(Stammdaten!$CA$4,EO34,1)-2),IFERROR(LEFT(EO34,FIND(Stammdaten!$CC$3,EO34,1)-2),EO34))</f>
        <v>Ausdauerdisziplinen</v>
      </c>
      <c r="EY34" s="97" t="str">
        <f ca="1">IF(NOT(ISERROR(FIND(Stammdaten!$CA$4,EO34,1))),Stammdaten!$CA$4,IF(EZ34&lt;&gt;Stammdaten!$CC$3,EW34,""))</f>
        <v>nicht durchgeführt</v>
      </c>
      <c r="EZ34" s="91" t="str">
        <f ca="1">IF(ES34=$A$2,Stammdaten!$CC$3,ET34)</f>
        <v/>
      </c>
      <c r="FA34" s="97" t="str" cm="1">
        <f t="array" aca="1" ref="FA34" ca="1">INDIRECT(FA$5)</f>
        <v/>
      </c>
      <c r="FB34" s="97" t="str" cm="1">
        <f t="array" aca="1" ref="FB34" ca="1">INDIRECT(FB$5)</f>
        <v/>
      </c>
      <c r="FC34" s="97" t="str" cm="1">
        <f t="array" aca="1" ref="FC34" ca="1">INDIRECT(FC$5)</f>
        <v/>
      </c>
      <c r="FD34" s="97" t="str" cm="1">
        <f t="array" aca="1" ref="FD34" ca="1">INDIRECT(FD$5)</f>
        <v/>
      </c>
      <c r="FE34" s="97" t="str">
        <f t="shared" ca="1" si="151"/>
        <v>Sprungdisziplinen nicht durchgeführt</v>
      </c>
      <c r="FF34" s="97" t="str">
        <f t="shared" ca="1" si="152"/>
        <v/>
      </c>
      <c r="FG34" s="108">
        <f t="shared" ca="1" si="153"/>
        <v>0</v>
      </c>
      <c r="FH34" s="108">
        <f t="shared" ca="1" si="154"/>
        <v>0</v>
      </c>
      <c r="FI34" s="108" t="str">
        <f t="shared" ca="1" si="155"/>
        <v/>
      </c>
      <c r="FJ34" s="97" t="str">
        <f t="shared" ca="1" si="156"/>
        <v>Sprungdisziplinen nicht durchgeführt</v>
      </c>
      <c r="FK34" s="97" t="str">
        <f t="shared" ca="1" si="157"/>
        <v/>
      </c>
      <c r="FL34" s="97" t="str" cm="1">
        <f t="array" aca="1" ref="FL34" ca="1">IFERROR(IF(INDIRECT(INDEX(INDIRECT(FL$5),MATCH(FJ34,INDIRECT(FL$4),0)))&lt;&gt;"",INDEX(INDIRECT(FL$5),MATCH(FJ34,INDIRECT(FL$4),0)),INDEX(INDIRECT(FL$6),MATCH(FJ34,INDIRECT(FL$4),0))),"")</f>
        <v/>
      </c>
      <c r="FM34" s="97" t="str">
        <f t="shared" ca="1" si="158"/>
        <v/>
      </c>
      <c r="FN34" s="97" t="str" cm="1">
        <f t="array" aca="1" ref="FN34" ca="1">IFERROR(INDIRECT(FL34),IF(NOT(ISERROR(FIND(Stammdaten!$CC$3,FJ34,1))),$A$2,""))</f>
        <v/>
      </c>
      <c r="FO34" s="97" t="str">
        <f ca="1">IF(FN34="","",IF(AND(FK34=Stammdaten!$BX$20,FM34="0",FN34=1),SUBSTITUTE(TEXT(FN34,FM34)&amp;" "&amp;LEFT(FK34,LEN(FK34)-1),".",","),SUBSTITUTE(TEXT(FN34,FM34)&amp;" "&amp;FK34,".",",")))</f>
        <v/>
      </c>
      <c r="FP34" s="97" t="str">
        <f t="shared" ca="1" si="59"/>
        <v/>
      </c>
      <c r="FQ34" s="97" t="str" cm="1">
        <f t="array" aca="1" ref="FQ34" ca="1">IFERROR(LEFT(INDIRECT(FP34),1)&amp;"]","")</f>
        <v/>
      </c>
      <c r="FR34" s="97" t="str">
        <f t="shared" ca="1" si="60"/>
        <v/>
      </c>
      <c r="FS34" s="97" t="str">
        <f ca="1">IFERROR(LEFT(FJ34,FIND(Stammdaten!$CA$4,FJ34,1)-2),IFERROR(LEFT(FJ34,FIND(Stammdaten!$CC$3,FJ34,1)-2),FJ34))</f>
        <v>Sprungdisziplinen</v>
      </c>
      <c r="FT34" s="97" t="str">
        <f ca="1">IF(NOT(ISERROR(FIND(Stammdaten!$CA$4,FJ34,1))),Stammdaten!$CA$4,IF(FU34&lt;&gt;Stammdaten!$CC$3,FR34,""))</f>
        <v>nicht durchgeführt</v>
      </c>
      <c r="FU34" s="91" t="str">
        <f ca="1">IF(FN34=$A$2,Stammdaten!$CC$3,FO34)</f>
        <v/>
      </c>
      <c r="FV34" s="97" t="str" cm="1">
        <f t="array" aca="1" ref="FV34" ca="1">INDIRECT(FV$5)</f>
        <v/>
      </c>
      <c r="FW34" s="97" t="str" cm="1">
        <f t="array" aca="1" ref="FW34" ca="1">INDIRECT(FW$5)</f>
        <v/>
      </c>
      <c r="FX34" s="97" t="str" cm="1">
        <f t="array" aca="1" ref="FX34" ca="1">INDIRECT(FX$5)</f>
        <v/>
      </c>
      <c r="FY34" s="97" t="str" cm="1">
        <f t="array" aca="1" ref="FY34" ca="1">INDIRECT(FY$5)</f>
        <v/>
      </c>
      <c r="FZ34" s="97" t="str" cm="1">
        <f t="array" aca="1" ref="FZ34" ca="1">INDIRECT(FZ$5)</f>
        <v/>
      </c>
      <c r="GA34" s="97" t="str" cm="1">
        <f t="array" aca="1" ref="GA34" ca="1">INDIRECT(GA$5)</f>
        <v/>
      </c>
      <c r="GB34" s="97" t="str">
        <f t="shared" ca="1" si="159"/>
        <v>Wurfdisziplinen nicht durchgeführt</v>
      </c>
      <c r="GC34" s="97" t="str">
        <f t="shared" ca="1" si="160"/>
        <v/>
      </c>
      <c r="GD34" s="108">
        <f t="shared" ca="1" si="161"/>
        <v>0</v>
      </c>
      <c r="GE34" s="108">
        <f t="shared" ca="1" si="162"/>
        <v>0</v>
      </c>
      <c r="GF34" s="108" t="str">
        <f t="shared" ca="1" si="163"/>
        <v/>
      </c>
      <c r="GG34" s="97" t="str">
        <f t="shared" ca="1" si="164"/>
        <v>Wurfdisziplinen nicht durchgeführt</v>
      </c>
      <c r="GH34" s="97" t="str">
        <f t="shared" ca="1" si="165"/>
        <v/>
      </c>
      <c r="GI34" s="97" t="str" cm="1">
        <f t="array" aca="1" ref="GI34" ca="1">IFERROR(IF(INDIRECT(INDEX(INDIRECT(GI$5),MATCH(GG34,INDIRECT(GI$4),0)))&lt;&gt;"",INDEX(INDIRECT(GI$5),MATCH(GG34,INDIRECT(GI$4),0)),INDEX(INDIRECT(GI$6),MATCH(GG34,INDIRECT(GI$4),0))),"")</f>
        <v/>
      </c>
      <c r="GJ34" s="97" t="str">
        <f t="shared" ca="1" si="166"/>
        <v/>
      </c>
      <c r="GK34" s="97" t="str" cm="1">
        <f t="array" aca="1" ref="GK34" ca="1">IFERROR(INDIRECT(GI34),IF(NOT(ISERROR(FIND(Stammdaten!$CC$3,GG34,1))),$A$2,""))</f>
        <v/>
      </c>
      <c r="GL34" s="97" t="str">
        <f ca="1">IF(GK34="","",IF(AND(GH34=Stammdaten!$BX$20,GJ34="0",GK34=1),SUBSTITUTE(TEXT(GK34,GJ34)&amp;" "&amp;LEFT(GH34,LEN(GH34)-1),".",","),SUBSTITUTE(TEXT(GK34,GJ34)&amp;" "&amp;GH34,".",",")))</f>
        <v/>
      </c>
      <c r="GM34" s="97" t="str">
        <f t="shared" ca="1" si="61"/>
        <v/>
      </c>
      <c r="GN34" s="97" t="str" cm="1">
        <f t="array" aca="1" ref="GN34" ca="1">IFERROR(LEFT(INDIRECT(GM34),1)&amp;"]","")</f>
        <v/>
      </c>
      <c r="GO34" s="97" t="str">
        <f t="shared" ca="1" si="62"/>
        <v/>
      </c>
      <c r="GP34" s="97" t="str">
        <f ca="1">IFERROR(LEFT(GG34,FIND(Stammdaten!$CA$4,GG34,1)-2),IFERROR(LEFT(GG34,FIND(Stammdaten!$CC$3,GG34,1)-2),GG34))</f>
        <v>Wurfdisziplinen</v>
      </c>
      <c r="GQ34" s="97" t="str">
        <f ca="1">IF(NOT(ISERROR(FIND(Stammdaten!$CA$4,GG34,1))),Stammdaten!$CA$4,IF(GR34&lt;&gt;Stammdaten!$CC$3,GO34,""))</f>
        <v>nicht durchgeführt</v>
      </c>
      <c r="GR34" s="91" t="str">
        <f ca="1">IF(GK34=$A$2,Stammdaten!$CC$3,GL34)</f>
        <v/>
      </c>
      <c r="GS34" s="97" t="str">
        <f t="shared" ca="1" si="63"/>
        <v/>
      </c>
      <c r="GT34" s="97" t="str">
        <f t="shared" ca="1" si="64"/>
        <v/>
      </c>
      <c r="GU34" s="97" t="str">
        <f t="shared" ca="1" si="65"/>
        <v/>
      </c>
      <c r="GV34" s="97" t="str">
        <f t="shared" ca="1" si="66"/>
        <v/>
      </c>
      <c r="GW34" s="97">
        <f t="shared" ca="1" si="167"/>
        <v>0</v>
      </c>
      <c r="GX34" s="108">
        <f t="shared" ca="1" si="168"/>
        <v>0</v>
      </c>
      <c r="GY34" s="108">
        <f t="shared" ca="1" si="169"/>
        <v>0</v>
      </c>
      <c r="GZ34" s="108" t="str">
        <f t="shared" ca="1" si="170"/>
        <v/>
      </c>
      <c r="HA34" s="97" t="str">
        <f ca="1">IF(GZ34="",Stammdaten!$BZ$1,IF(AND(GX34=0,GY34&gt;=GZ$25),$A$3,ROUND(SUM(GW34/GZ34)/HA$25,0)*HA$25))</f>
        <v>Zu wenige Werte</v>
      </c>
      <c r="HB34" s="108">
        <f t="shared" ca="1" si="171"/>
        <v>6</v>
      </c>
      <c r="HC34" s="97" t="str">
        <f t="shared" ca="1" si="172"/>
        <v/>
      </c>
      <c r="HD34" s="97" t="str">
        <f t="shared" ca="1" si="173"/>
        <v/>
      </c>
      <c r="HE34" s="97" t="str">
        <f t="shared" ca="1" si="174"/>
        <v/>
      </c>
      <c r="HF34" s="97" t="str">
        <f t="shared" ca="1" si="175"/>
        <v/>
      </c>
      <c r="HG34" s="97" t="str">
        <f t="shared" ca="1" si="176"/>
        <v/>
      </c>
      <c r="HH34" s="97" t="str">
        <f t="shared" ca="1" si="177"/>
        <v>g</v>
      </c>
      <c r="HI34" s="97" t="str">
        <f t="shared" ca="1" si="178"/>
        <v/>
      </c>
      <c r="HJ34" s="97">
        <f t="shared" ca="1" si="179"/>
        <v>1</v>
      </c>
      <c r="HK34" s="97" t="str">
        <f ca="1">IF(OR(Geschlecht[[#This Row],[Geschlecht (Skala)]]="",NOT(ISNUMBER(GZ34))),"",HJ34)</f>
        <v/>
      </c>
      <c r="HL34" s="97" t="str">
        <f t="shared" ca="1" si="180"/>
        <v/>
      </c>
      <c r="HM34" s="97"/>
      <c r="HN34" s="308" t="str">
        <f t="shared" ca="1" si="68"/>
        <v>Zu wenige Werte</v>
      </c>
      <c r="HO34" s="97"/>
      <c r="HP34" s="307"/>
      <c r="HQ34" s="96" t="str">
        <f>IFERROR(IFERROR(SUBSTITUTE(ReckResultat[[#This Row],[Eingabe]],".",",")*1,SUBSTITUTE(ReckResultat[[#This Row],[Eingabe]],",",".")*1),"")</f>
        <v/>
      </c>
      <c r="HR34" s="96" t="e">
        <f>INT(ReckResultat[[#This Row],[Resultat]])=ReckResultat[[#This Row],[Resultat]]</f>
        <v>#VALUE!</v>
      </c>
      <c r="HS34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4" s="96"/>
      <c r="HX34" s="97"/>
      <c r="HY34" s="307"/>
      <c r="HZ34" s="96" t="str">
        <f>IFERROR(IFERROR(SUBSTITUTE(BodenResultat[[#This Row],[Eingabe]],".",",")*1,SUBSTITUTE(BodenResultat[[#This Row],[Eingabe]],",",".")*1),"")</f>
        <v/>
      </c>
      <c r="IA34" s="96" t="e">
        <f>INT(BodenResultat[[#This Row],[Resultat]])=BodenResultat[[#This Row],[Resultat]]</f>
        <v>#VALUE!</v>
      </c>
      <c r="IB34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4" s="96"/>
      <c r="IG34" s="97"/>
      <c r="IH34" s="307"/>
      <c r="II34" s="96" t="str">
        <f>IFERROR(IFERROR(SUBSTITUTE(StufenbarrenResultat[[#This Row],[Eingabe]],".",",")*1,SUBSTITUTE(StufenbarrenResultat[[#This Row],[Eingabe]],",",".")*1),"")</f>
        <v/>
      </c>
      <c r="IJ34" s="96" t="e">
        <f>INT(StufenbarrenResultat[[#This Row],[Resultat]])=StufenbarrenResultat[[#This Row],[Resultat]]</f>
        <v>#VALUE!</v>
      </c>
      <c r="IK34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4" s="96"/>
      <c r="IP34" s="97"/>
      <c r="IQ34" s="307"/>
      <c r="IR34" s="96" t="str">
        <f>IFERROR(IFERROR(SUBSTITUTE(ParallelbarrenResultat[[#This Row],[Eingabe]],".",",")*1,SUBSTITUTE(ParallelbarrenResultat[[#This Row],[Eingabe]],",",".")*1),"")</f>
        <v/>
      </c>
      <c r="IS34" s="96" t="e">
        <f>INT(ParallelbarrenResultat[[#This Row],[Resultat]])=ParallelbarrenResultat[[#This Row],[Resultat]]</f>
        <v>#VALUE!</v>
      </c>
      <c r="IT34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4" s="96"/>
      <c r="IY34" s="97"/>
      <c r="IZ34" s="307"/>
      <c r="JA34" s="96" t="str">
        <f>IFERROR(IFERROR(SUBSTITUTE(SchaukelringeResultat[[#This Row],[Eingabe]],".",",")*1,SUBSTITUTE(SchaukelringeResultat[[#This Row],[Eingabe]],",",".")*1),"")</f>
        <v/>
      </c>
      <c r="JB34" s="96" t="e">
        <f>INT(SchaukelringeResultat[[#This Row],[Resultat]])=SchaukelringeResultat[[#This Row],[Resultat]]</f>
        <v>#VALUE!</v>
      </c>
      <c r="JC34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4" s="96"/>
      <c r="JH34" s="97"/>
      <c r="JI34" s="307"/>
      <c r="JJ34" s="96" t="str">
        <f>IFERROR(IFERROR(SUBSTITUTE(SprungResultat[[#This Row],[Eingabe]],".",",")*1,SUBSTITUTE(SprungResultat[[#This Row],[Eingabe]],",",".")*1),"")</f>
        <v/>
      </c>
      <c r="JK34" s="96" t="e">
        <f>INT(SprungResultat[[#This Row],[Resultat]])=SprungResultat[[#This Row],[Resultat]]</f>
        <v>#VALUE!</v>
      </c>
      <c r="JL34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4" s="96"/>
      <c r="JQ34" s="97"/>
      <c r="JR34" s="309" t="str" cm="1">
        <f t="array" aca="1" ref="JR34" ca="1">IF(AND(ISNUMBER(INDIRECT(JR$3)),INDIRECT(JR$3)&gt;0),INDIRECT(JR$3),"")</f>
        <v/>
      </c>
      <c r="JS34" s="309" t="str" cm="1">
        <f t="array" aca="1" ref="JS34" ca="1">IF(AND(ISNUMBER(INDIRECT(JS$3)),INDIRECT(JS$3)&gt;0),INDIRECT(JS$3),"")</f>
        <v/>
      </c>
      <c r="JT34" s="309" t="str" cm="1">
        <f t="array" aca="1" ref="JT34" ca="1">IF(AND(ISNUMBER(INDIRECT(JT$3)),INDIRECT(JT$3)&gt;0),INDIRECT(JT$3),"")</f>
        <v/>
      </c>
      <c r="JU34" s="309" t="str" cm="1">
        <f t="array" aca="1" ref="JU34" ca="1">IF(AND(ISNUMBER(INDIRECT(JU$3)),INDIRECT(JU$3)&gt;0),INDIRECT(JU$3),"")</f>
        <v/>
      </c>
      <c r="JV34" s="309" t="str" cm="1">
        <f t="array" aca="1" ref="JV34" ca="1">IF(AND(ISNUMBER(INDIRECT(JV$3)),INDIRECT(JV$3)&gt;0),INDIRECT(JV$3),"")</f>
        <v/>
      </c>
      <c r="JW34" s="309" t="str" cm="1">
        <f t="array" aca="1" ref="JW34" ca="1">IF(AND(ISNUMBER(INDIRECT(JW$3)),INDIRECT(JW$3)&gt;0),INDIRECT(JW$3),"")</f>
        <v/>
      </c>
      <c r="JX34" s="309" t="str">
        <f t="shared" ca="1" si="69"/>
        <v>x</v>
      </c>
      <c r="JY34" s="309" t="str">
        <f t="shared" ca="1" si="70"/>
        <v>y</v>
      </c>
      <c r="JZ34" s="309" t="str">
        <f t="shared" ca="1" si="71"/>
        <v>z</v>
      </c>
      <c r="KA34" s="309" t="str">
        <f t="shared" ca="1" si="181"/>
        <v>a</v>
      </c>
      <c r="KB34" s="309" t="str" cm="1">
        <f t="array" aca="1" ref="KB34" ca="1">IF(KA34="a","",INDEX($JR$23:$JW$23,,MATCH(KA34,$JR34:$JW34,0)))</f>
        <v/>
      </c>
      <c r="KC34" s="309" t="str" cm="1">
        <f t="array" aca="1" ref="KC34" ca="1">IF(OR(KB34="",KB34&gt;=$JW$23),"",INDEX(INDIRECT(ADDRESS(ROW($JR$23),KB34+1)):$JW$23,,MATCH(KA34,INDIRECT(ADDRESS(ROW(),KB34+1)):$JW34,0)))</f>
        <v/>
      </c>
      <c r="KD34" s="309" t="str" cm="1">
        <f t="array" aca="1" ref="KD34" ca="1">IF(OR(KC34="",KC34&gt;=$JW$23),"",INDEX(INDIRECT(ADDRESS(ROW($JR$23),KC34+1)):$JW$23,,MATCH(KA34,INDIRECT(ADDRESS(ROW(),KC34+1)):$JW34,0)))</f>
        <v/>
      </c>
      <c r="KE34" s="309" t="str">
        <f t="shared" ca="1" si="182"/>
        <v>c</v>
      </c>
      <c r="KF34" s="309" t="str" cm="1">
        <f t="array" aca="1" ref="KF34" ca="1">IF(OR(KE34="b",KE34="c"),"",INDEX($JR$23:$JW$23,,MATCH(KE34,$JR34:$JW34,0)))</f>
        <v/>
      </c>
      <c r="KG34" s="309" t="str" cm="1">
        <f t="array" aca="1" ref="KG34" ca="1">IF(OR(KF34="",KF34&gt;=$JW$23),"",INDEX(INDIRECT(ADDRESS(ROW($JR$23),KF34+1)):$JW$23,,MATCH(KE34,INDIRECT(ADDRESS(ROW(),KF34+1)):$JW34,0)))</f>
        <v/>
      </c>
      <c r="KH34" s="309" t="str">
        <f t="shared" ca="1" si="72"/>
        <v/>
      </c>
      <c r="KI34" s="309" t="str">
        <f t="shared" ca="1" si="183"/>
        <v>e</v>
      </c>
      <c r="KJ34" s="309" t="str">
        <f t="shared" ca="1" si="73"/>
        <v/>
      </c>
      <c r="KK34" s="309" t="str" cm="1">
        <f t="array" aca="1" ref="KK34" ca="1">IF(OR(KI34="d",KI34="e"),"",INDEX($JR$23:$JW$23,,MATCH(KI34,$JR34:$JW34,0)))</f>
        <v/>
      </c>
      <c r="KL34" s="309" t="str" cm="1">
        <f t="array" aca="1" ref="KL34" ca="1">IF(OR(KK34="",KK34&gt;=$JW$23),"",INDEX(INDIRECT(ADDRESS(ROW($JR$23),KK34+1)):$JW$23,,MATCH(KI34,INDIRECT(ADDRESS(ROW(),KK34+1)):$JW34,0)))</f>
        <v/>
      </c>
      <c r="KM34" s="309" t="str" cm="1">
        <f t="array" aca="1" ref="KM34" ca="1">IFERROR(IF(ISNUMBER(KB34),KB34,IF(ISNUMBER(KF34),KF34,IF(ISNUMBER(KJ34),KJ34,INDEX($JR$23:$JW$23,,MATCH(JX34,$JR34:$JW34,0))))),"x1")</f>
        <v>x1</v>
      </c>
      <c r="KN34" s="309" t="str" cm="1">
        <f t="array" aca="1" ref="KN34" ca="1">IFERROR(IF(ISNUMBER(KC34),KC34,IF(ISNUMBER(KG34),KG34,IF(ISNUMBER(KK34),KK34,INDEX($JR$23:$JW$23,,MATCH(JY34,$JR34:$JW34,0))))),IF(KM34="x1","x2","x1"))</f>
        <v>x2</v>
      </c>
      <c r="KO34" s="309" t="str" cm="1">
        <f t="array" aca="1" ref="KO34" ca="1">IFERROR(IF(ISNUMBER(KD34),KD34,IF(ISNUMBER(KH34),KH34,IF(ISNUMBER(KL34),KL34,INDEX($JR$23:$JW$23,,MATCH(JZ34,$JR34:$JW34,0))))),IF(KN34="x1","x2",IF(KN34="x2","x3","x1")))</f>
        <v>x3</v>
      </c>
      <c r="KP34" s="97" t="str" cm="1">
        <f t="array" aca="1" ref="KP34" ca="1">IF(OR(INDIRECT(KP$3)=$A$2,INDIRECT(KP$3)=$A$3),COLUMN(),"")</f>
        <v/>
      </c>
      <c r="KQ34" s="97" t="str" cm="1">
        <f t="array" aca="1" ref="KQ34" ca="1">IF(OR(INDIRECT(KQ$3)=$A$2,INDIRECT(KQ$3)=$A$3),COLUMN(),"")</f>
        <v/>
      </c>
      <c r="KR34" s="97" t="str" cm="1">
        <f t="array" aca="1" ref="KR34" ca="1">IF(OR(INDIRECT(KR$3)=$A$2,INDIRECT(KR$3)=$A$3),COLUMN(),"")</f>
        <v/>
      </c>
      <c r="KS34" s="97" t="str" cm="1">
        <f t="array" aca="1" ref="KS34" ca="1">IF(OR(INDIRECT(KS$3)=$A$2,INDIRECT(KS$3)=$A$3),COLUMN(),"")</f>
        <v/>
      </c>
      <c r="KT34" s="97" t="str" cm="1">
        <f t="array" aca="1" ref="KT34" ca="1">IF(OR(INDIRECT(KT$3)=$A$2,INDIRECT(KT$3)=$A$3),COLUMN(),"")</f>
        <v/>
      </c>
      <c r="KU34" s="97" t="str" cm="1">
        <f t="array" aca="1" ref="KU34" ca="1">IF(OR(INDIRECT(KU$3)=$A$2,INDIRECT(KU$3)=$A$3),COLUMN(),"")</f>
        <v/>
      </c>
      <c r="KV34" s="97" t="str" cm="1">
        <f t="array" aca="1" ref="KV34" ca="1">IF(AND(ISNUMBER(INDIRECT(KV$3)),INDIRECT(KV$3)=0),COLUMN(),"")</f>
        <v/>
      </c>
      <c r="KW34" s="97" t="str" cm="1">
        <f t="array" aca="1" ref="KW34" ca="1">IF(AND(ISNUMBER(INDIRECT(KW$3)),INDIRECT(KW$3)=0),COLUMN(),"")</f>
        <v/>
      </c>
      <c r="KX34" s="97" t="str" cm="1">
        <f t="array" aca="1" ref="KX34" ca="1">IF(AND(ISNUMBER(INDIRECT(KX$3)),INDIRECT(KX$3)=0),COLUMN(),"")</f>
        <v/>
      </c>
      <c r="KY34" s="97" t="str" cm="1">
        <f t="array" aca="1" ref="KY34" ca="1">IF(AND(ISNUMBER(INDIRECT(KY$3)),INDIRECT(KY$3)=0),COLUMN(),"")</f>
        <v/>
      </c>
      <c r="KZ34" s="97" t="str" cm="1">
        <f t="array" aca="1" ref="KZ34" ca="1">IF(AND(ISNUMBER(INDIRECT(KZ$3)),INDIRECT(KZ$3)=0),COLUMN(),"")</f>
        <v/>
      </c>
      <c r="LA34" s="97" t="str" cm="1">
        <f t="array" aca="1" ref="LA34" ca="1">IF(AND(ISNUMBER(INDIRECT(LA$3)),INDIRECT(LA$3)=0),COLUMN(),"")</f>
        <v/>
      </c>
      <c r="LB34" s="97" t="str">
        <f t="shared" ca="1" si="184"/>
        <v>x1</v>
      </c>
      <c r="LC34" s="97" t="str">
        <f t="shared" ca="1" si="185"/>
        <v>x2</v>
      </c>
      <c r="LD34" s="97" t="str">
        <f t="shared" ca="1" si="186"/>
        <v>x3</v>
      </c>
      <c r="LE34" s="97" t="str">
        <f ca="1">IFERROR(IF(ISNUMBER(LB34),LB34,SMALL($KV34:$LA34,VALUE(RIGHT(LB34,1)))),Stammdaten!$CA$17)</f>
        <v>Erstes Gerät nicht durchgeführt</v>
      </c>
      <c r="LF34" s="97" t="str">
        <f ca="1">IFERROR(IF(ISNUMBER(LC34),LC34,SMALL($KV34:$LA34,VALUE(RIGHT(LC34,1)))),Stammdaten!$CA$18)</f>
        <v>Zweites Gerät nicht durchgeführt</v>
      </c>
      <c r="LG34" s="97" t="str">
        <f ca="1">IFERROR(IF(ISNUMBER(LD34),LD34,SMALL($KV34:$LA34,VALUE(RIGHT(LD34,1)))),Stammdaten!$CA$19)</f>
        <v>Drittes Gerät nicht durchgeführt</v>
      </c>
      <c r="LH34" s="91" t="str" cm="1">
        <f t="array" aca="1" ref="LH34" ca="1">IFERROR(INDIRECT(ADDRESS(ROW($JR$5),LE34)),LE34)</f>
        <v>Erstes Gerät nicht durchgeführt</v>
      </c>
      <c r="LI34" s="97" t="str">
        <f t="shared" ca="1" si="187"/>
        <v/>
      </c>
      <c r="LJ34" s="97" t="str" cm="1">
        <f t="array" aca="1" ref="LJ34" ca="1">IFERROR(IF(INDIRECT(INDEX(INDIRECT(LJ$5),MATCH(LH34,INDIRECT(LJ$4),0)))&lt;&gt;"",INDEX(INDIRECT(LJ$5),MATCH(LH34,INDIRECT(LJ$4),0)),INDEX(INDIRECT(LJ$6),MATCH(LH34,INDIRECT(LJ$4),0))),"")</f>
        <v/>
      </c>
      <c r="LK34" s="97" t="str">
        <f t="shared" ca="1" si="188"/>
        <v/>
      </c>
      <c r="LL34" s="97" t="str" cm="1">
        <f t="array" aca="1" ref="LL34" ca="1">IFERROR(INDIRECT(LJ34),"")</f>
        <v/>
      </c>
      <c r="LM34" s="97" t="str">
        <f ca="1">IF(LL34="","",IF(AND(LI34=Stammdaten!$BX$20,LK34="0",LL34=1),SUBSTITUTE(TEXT(LL34,LK34)&amp;" "&amp;LEFT(LI34,LEN(LI34)-1),".",","),SUBSTITUTE(TEXT(LL34,LK34)&amp;" "&amp;LI34,".",",")))</f>
        <v/>
      </c>
      <c r="LN34" s="97" t="str">
        <f t="shared" ca="1" si="74"/>
        <v/>
      </c>
      <c r="LO34" s="97" t="str" cm="1">
        <f t="array" aca="1" ref="LO34" ca="1">IFERROR(LEFT(INDIRECT(LN34),1)&amp;"]","")</f>
        <v/>
      </c>
      <c r="LP34" s="97" t="str">
        <f t="shared" ca="1" si="75"/>
        <v/>
      </c>
      <c r="LQ34" s="97" t="str">
        <f ca="1">IFERROR(LEFT(LH34,FIND(Stammdaten!$CA$4,LH34,1)-2),IFERROR(LEFT(LH34,FIND(Stammdaten!$CC$3,LH34,1)-2),LH34))</f>
        <v>Erstes Gerät</v>
      </c>
      <c r="LR34" s="97" t="str">
        <f ca="1">IF(NOT(ISERROR(FIND(Stammdaten!$CA$4,LH34,1))),Stammdaten!$CA$4,IF(LS34&lt;&gt;Stammdaten!$CC$3,LP34,""))</f>
        <v>nicht durchgeführt</v>
      </c>
      <c r="LS34" s="91" t="str">
        <f ca="1">IF(LL34=$A$2,Stammdaten!$CC$3,LM34)</f>
        <v/>
      </c>
      <c r="LT34" s="91" t="str" cm="1">
        <f t="array" aca="1" ref="LT34" ca="1">IFERROR(INDIRECT(ADDRESS(ROW($JR$5),LF34)),LF34)</f>
        <v>Zweites Gerät nicht durchgeführt</v>
      </c>
      <c r="LU34" s="97" t="str">
        <f t="shared" ca="1" si="189"/>
        <v/>
      </c>
      <c r="LV34" s="97" t="str" cm="1">
        <f t="array" aca="1" ref="LV34" ca="1">IFERROR(IF(INDIRECT(INDEX(INDIRECT(LV$5),MATCH(LT34,INDIRECT(LV$4),0)))&lt;&gt;"",INDEX(INDIRECT(LV$5),MATCH(LT34,INDIRECT(LV$4),0)),INDEX(INDIRECT(LV$6),MATCH(LT34,INDIRECT(LV$4),0))),"")</f>
        <v/>
      </c>
      <c r="LW34" s="97" t="str">
        <f t="shared" ca="1" si="190"/>
        <v/>
      </c>
      <c r="LX34" s="97" t="str" cm="1">
        <f t="array" aca="1" ref="LX34" ca="1">IFERROR(INDIRECT(LV34),"")</f>
        <v/>
      </c>
      <c r="LY34" s="97" t="str">
        <f ca="1">IF(LX34="","",IF(AND(LU34=Stammdaten!$BX$20,LW34="0",LX34=1),SUBSTITUTE(TEXT(LX34,LW34)&amp;" "&amp;LEFT(LU34,LEN(LU34)-1),".",","),SUBSTITUTE(TEXT(LX34,LW34)&amp;" "&amp;LU34,".",",")))</f>
        <v/>
      </c>
      <c r="LZ34" s="97" t="str">
        <f t="shared" ca="1" si="76"/>
        <v/>
      </c>
      <c r="MA34" s="97" t="str" cm="1">
        <f t="array" aca="1" ref="MA34" ca="1">IFERROR(LEFT(INDIRECT(LZ34),1)&amp;"]","")</f>
        <v/>
      </c>
      <c r="MB34" s="97" t="str">
        <f t="shared" ca="1" si="77"/>
        <v/>
      </c>
      <c r="MC34" s="97" t="str">
        <f ca="1">IFERROR(LEFT(LT34,FIND(Stammdaten!$CA$4,LT34,1)-2),IFERROR(LEFT(LT34,FIND(Stammdaten!$CC$3,LT34,1)-2),LT34))</f>
        <v>Zweites Gerät</v>
      </c>
      <c r="MD34" s="97" t="str">
        <f ca="1">IF(NOT(ISERROR(FIND(Stammdaten!$CA$4,LT34,1))),Stammdaten!$CA$4,IF(ME34&lt;&gt;Stammdaten!$CC$3,MB34,""))</f>
        <v>nicht durchgeführt</v>
      </c>
      <c r="ME34" s="91" t="str">
        <f ca="1">IF(LX34=$A$2,Stammdaten!$CC$3,LY34)</f>
        <v/>
      </c>
      <c r="MF34" s="91" t="str" cm="1">
        <f t="array" aca="1" ref="MF34" ca="1">IFERROR(INDIRECT(ADDRESS(ROW($JR$5),LG34)),LG34)</f>
        <v>Drittes Gerät nicht durchgeführt</v>
      </c>
      <c r="MG34" s="97" t="str">
        <f t="shared" ca="1" si="191"/>
        <v/>
      </c>
      <c r="MH34" s="97" t="str" cm="1">
        <f t="array" aca="1" ref="MH34" ca="1">IFERROR(IF(INDIRECT(INDEX(INDIRECT(MH$5),MATCH(MF34,INDIRECT(MH$4),0)))&lt;&gt;"",INDEX(INDIRECT(MH$5),MATCH(MF34,INDIRECT(MH$4),0)),INDEX(INDIRECT(MH$6),MATCH(MF34,INDIRECT(MH$4),0))),"")</f>
        <v/>
      </c>
      <c r="MI34" s="97" t="str">
        <f t="shared" ca="1" si="192"/>
        <v/>
      </c>
      <c r="MJ34" s="97" t="str" cm="1">
        <f t="array" aca="1" ref="MJ34" ca="1">IFERROR(INDIRECT(MH34),"")</f>
        <v/>
      </c>
      <c r="MK34" s="97" t="str">
        <f ca="1">IF(MJ34="","",IF(AND(MG34=Stammdaten!$BX$20,MI34="0",MJ34=1),SUBSTITUTE(TEXT(MJ34,MI34)&amp;" "&amp;LEFT(MG34,LEN(MG34)-1),".",","),SUBSTITUTE(TEXT(MJ34,MI34)&amp;" "&amp;MG34,".",",")))</f>
        <v/>
      </c>
      <c r="ML34" s="97" t="str">
        <f t="shared" ca="1" si="78"/>
        <v/>
      </c>
      <c r="MM34" s="97" t="str" cm="1">
        <f t="array" aca="1" ref="MM34" ca="1">IFERROR(LEFT(INDIRECT(ML34),1)&amp;"]","")</f>
        <v/>
      </c>
      <c r="MN34" s="97" t="str">
        <f t="shared" ca="1" si="79"/>
        <v/>
      </c>
      <c r="MO34" s="97" t="str">
        <f ca="1">IFERROR(LEFT(MF34,FIND(Stammdaten!$CA$4,MF34,1)-2),IFERROR(LEFT(MF34,FIND(Stammdaten!$CC$3,MF34,1)-2),MF34))</f>
        <v>Drittes Gerät</v>
      </c>
      <c r="MP34" s="97" t="str">
        <f ca="1">IF(NOT(ISERROR(FIND(Stammdaten!$CA$4,MF34,1))),Stammdaten!$CA$4,IF(MQ34&lt;&gt;Stammdaten!$CC$3,MN34,""))</f>
        <v>nicht durchgeführt</v>
      </c>
      <c r="MQ34" s="91" t="str">
        <f ca="1">IF(MJ34=$A$2,Stammdaten!$CC$3,MK34)</f>
        <v/>
      </c>
      <c r="MR34" s="97">
        <f t="shared" ca="1" si="80"/>
        <v>0</v>
      </c>
      <c r="MS34" s="108">
        <f t="shared" ca="1" si="193"/>
        <v>0</v>
      </c>
      <c r="MT34" s="108">
        <f t="shared" ca="1" si="194"/>
        <v>0</v>
      </c>
      <c r="MU34" s="108">
        <f t="shared" ca="1" si="195"/>
        <v>0</v>
      </c>
      <c r="MV34" s="108" t="str">
        <f t="shared" ca="1" si="196"/>
        <v/>
      </c>
      <c r="MW34" s="97" t="str">
        <f ca="1">IF(MV34="",Stammdaten!$BZ$1,IF(AND(MS34+MT34=0,MU34&gt;=MV$25),$A$3,MR34))</f>
        <v>Zu wenige Werte</v>
      </c>
      <c r="MX34" s="97"/>
      <c r="MY34" s="91" t="str">
        <f t="shared" ca="1" si="81"/>
        <v/>
      </c>
      <c r="MZ34" s="96" t="str">
        <f>LEFT(Geschlecht[[#This Row],[Geschlecht (Skala)]],1)&amp;$MZ$27</f>
        <v>2</v>
      </c>
      <c r="NA34" s="96" t="str">
        <f t="shared" ca="1" si="82"/>
        <v>Geräteturnen_2[Resultat]</v>
      </c>
      <c r="NB34" s="97" t="str" cm="1">
        <f t="array" aca="1" ref="NB34" ca="1">IF(OR($MW34="",$MW34=Stammdaten!$BZ$1),"",IF($MW34=0,0,IF(OR($MW34=$A$2,$MW34=$A$3),$A$3,IFERROR(INDEX(INDIRECT(NA34),MATCH(INDIRECT(MY$3),INDIRECT(NA34),NA$25)),IFERROR(IF(NA$25=-1,MAX(INDIRECT(NA34)),IF(NA$25=1,MIN(INDIRECT(NA34)))),"")))))</f>
        <v/>
      </c>
      <c r="ND34" s="91" t="str">
        <f t="shared" ca="1" si="83"/>
        <v>Geräteturnen_2[Note]</v>
      </c>
      <c r="NE34" s="97" t="str" cm="1">
        <f t="array" aca="1" ref="NE34" ca="1">IFERROR(INDEX(INDIRECT(ND34),MATCH(INDIRECT(MY$5),INDIRECT(NA34),0)),IF(INDIRECT(MY$5)=0,1,""))</f>
        <v/>
      </c>
      <c r="NF34" s="97"/>
      <c r="NG34" s="307"/>
      <c r="NH34" s="96" t="str">
        <f>IFERROR(IFERROR(SUBSTITUTE(ParkourResultat[[#This Row],[Eingabe]],".",",")*1,SUBSTITUTE(ParkourResultat[[#This Row],[Eingabe]],",",".")*1),"")</f>
        <v/>
      </c>
      <c r="NI34" s="96" t="e">
        <f>INT(ParkourResultat[[#This Row],[Resultat]])=ParkourResultat[[#This Row],[Resultat]]</f>
        <v>#VALUE!</v>
      </c>
      <c r="NJ34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4" s="96"/>
      <c r="NL34" s="91" t="str" cm="1">
        <f t="array" aca="1" ref="NL34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4" s="96" t="str">
        <f ca="1">LEFT(Geschlecht[[#This Row],[Geschlecht (Skala)]],1)&amp;NR$4</f>
        <v>2</v>
      </c>
      <c r="NN34" s="96" t="str">
        <f t="shared" ca="1" si="84"/>
        <v>Parkour_2[Resultat]</v>
      </c>
      <c r="NO34" s="97" t="str" cm="1">
        <f t="array" aca="1" ref="NO34" ca="1">IF(INDIRECT(NL$1)="","",IF(INDIRECT(NL$2)=0,0,IF(OR(INDIRECT(NL$1)=$A$2,INDIRECT(NL$1)=$A$3),$A$3,IFERROR(INDEX(INDIRECT(NN34),MATCH(INDIRECT(NL$3),INDIRECT(NN34),NN$25)),IFERROR(IF(NN$25=-1,MAX(INDIRECT(NN34)),IF(NN$25=1,MIN(INDIRECT(NN34)))),"")))))</f>
        <v/>
      </c>
      <c r="NQ34" s="91" t="str">
        <f t="shared" ca="1" si="85"/>
        <v>Parkour_2[Note]</v>
      </c>
      <c r="NR34" s="97" t="str" cm="1">
        <f t="array" aca="1" ref="NR34" ca="1">IFERROR(INDEX(INDIRECT(NQ34),MATCH(INDIRECT(NL$5),INDIRECT(NN34),0)),IF(INDIRECT(NL$5)=0,1,""))</f>
        <v/>
      </c>
      <c r="NS34" s="97"/>
      <c r="NT34" s="97" t="str" cm="1">
        <f t="array" aca="1" ref="NT34" ca="1">INDIRECT(NT$5)</f>
        <v/>
      </c>
      <c r="NU34" s="97" t="str" cm="1">
        <f t="array" aca="1" ref="NU34" ca="1">INDIRECT(NU$5)</f>
        <v/>
      </c>
      <c r="NV34" s="97" t="str" cm="1">
        <f t="array" aca="1" ref="NV34" ca="1">INDIRECT(NV$5)</f>
        <v/>
      </c>
      <c r="NW34" s="97" t="str" cm="1">
        <f t="array" aca="1" ref="NW34" ca="1">INDIRECT(NW$5)</f>
        <v/>
      </c>
      <c r="NX34" s="97" t="str">
        <f t="shared" ca="1" si="86"/>
        <v>Parkour nicht durchgeführt</v>
      </c>
      <c r="NY34" s="97" t="str">
        <f t="shared" ca="1" si="197"/>
        <v/>
      </c>
      <c r="NZ34" s="97" t="str" cm="1">
        <f t="array" aca="1" ref="NZ34" ca="1">IFERROR(IF(INDIRECT(INDEX(INDIRECT(NZ$5),MATCH(NX34,INDIRECT(NZ$4),0)))&lt;&gt;"",INDEX(INDIRECT(NZ$5),MATCH(NX34,INDIRECT(NZ$4),0)),INDEX(INDIRECT(NZ$6),MATCH(NX34,INDIRECT(NZ$4),0))),"")</f>
        <v/>
      </c>
      <c r="OA34" s="97" t="str">
        <f t="shared" ca="1" si="198"/>
        <v/>
      </c>
      <c r="OB34" s="97" t="str" cm="1">
        <f t="array" aca="1" ref="OB34" ca="1">IFERROR(INDIRECT(NZ34),IF(NOT(ISERROR(FIND(Stammdaten!$CC$3,NX34,1))),$A$2,""))</f>
        <v/>
      </c>
      <c r="OC34" s="97" t="str">
        <f ca="1">IF(OB34="","",IF(AND(NY34=Stammdaten!$BX$20,OA34="0",OB34=1),SUBSTITUTE(TEXT(OB34,OA34)&amp;" "&amp;LEFT(NY34,LEN(NY34)-1),".",","),SUBSTITUTE(TEXT(OB34,OA34)&amp;" "&amp;NY34,".",",")))</f>
        <v/>
      </c>
      <c r="OD34" s="97" t="str">
        <f t="shared" ca="1" si="87"/>
        <v/>
      </c>
      <c r="OE34" s="97" t="str" cm="1">
        <f t="array" aca="1" ref="OE34" ca="1">IFERROR(LEFT(INDIRECT(OD34),1)&amp;"]","")</f>
        <v/>
      </c>
      <c r="OF34" s="97" t="str">
        <f t="shared" ca="1" si="88"/>
        <v/>
      </c>
      <c r="OG34" s="97" t="str">
        <f ca="1">IFERROR(LEFT(NX34,FIND(Stammdaten!$CA$4,NX34,1)-2),IFERROR(LEFT(NX34,FIND(Stammdaten!$CC$3,NX34,1)-2),NX34))</f>
        <v>Parkour</v>
      </c>
      <c r="OH34" s="97" t="str">
        <f ca="1">IF(NOT(ISERROR(FIND(Stammdaten!$CA$4,NX34,1))),Stammdaten!$CA$4,IF(OI34&lt;&gt;Stammdaten!$CC$3,OF34,""))</f>
        <v>nicht durchgeführt</v>
      </c>
      <c r="OI34" s="91" t="str">
        <f ca="1">IF(OB34=$A$2,Stammdaten!$CC$3,OC34)</f>
        <v/>
      </c>
      <c r="OJ34" s="97" t="str">
        <f t="shared" ca="1" si="89"/>
        <v/>
      </c>
      <c r="OK34" s="97" t="str">
        <f t="shared" ca="1" si="90"/>
        <v/>
      </c>
      <c r="OL34" s="97">
        <f t="shared" ca="1" si="199"/>
        <v>0</v>
      </c>
      <c r="OM34" s="108">
        <f t="shared" ca="1" si="91"/>
        <v>0</v>
      </c>
      <c r="ON34" s="108">
        <f t="shared" ca="1" si="92"/>
        <v>0</v>
      </c>
      <c r="OO34" s="108" t="str">
        <f t="shared" ca="1" si="200"/>
        <v/>
      </c>
      <c r="OP34" s="97" t="str">
        <f ca="1">IF(OO34="",Stammdaten!$BZ$1,IF(AND(OM34=0,ON34&gt;=OO$25),$A$3,ROUND(SUM(OL34/OO34)/OP$25,0)*OP$25))</f>
        <v>Zu wenige Werte</v>
      </c>
      <c r="OQ34" s="108">
        <f t="shared" ca="1" si="201"/>
        <v>6</v>
      </c>
      <c r="OR34" s="97" t="str">
        <f t="shared" ca="1" si="202"/>
        <v/>
      </c>
      <c r="OS34" s="97" t="str">
        <f t="shared" ca="1" si="203"/>
        <v/>
      </c>
      <c r="OT34" s="97" t="str">
        <f t="shared" ca="1" si="204"/>
        <v/>
      </c>
      <c r="OU34" s="97" t="str">
        <f t="shared" ca="1" si="205"/>
        <v>g</v>
      </c>
      <c r="OV34" s="97" t="str">
        <f t="shared" ca="1" si="206"/>
        <v/>
      </c>
      <c r="OW34" s="97">
        <f t="shared" ca="1" si="207"/>
        <v>1</v>
      </c>
      <c r="OX34" s="97" t="str">
        <f ca="1">IF(OR(Geschlecht[[#This Row],[Geschlecht (Skala)]]="",NOT(ISNUMBER(OO34))),"",OW34)</f>
        <v/>
      </c>
      <c r="OY34" s="97" t="str">
        <f t="shared" ca="1" si="208"/>
        <v/>
      </c>
      <c r="OZ34" s="97"/>
      <c r="PA34" s="308" t="str">
        <f t="shared" ca="1" si="209"/>
        <v>Zu wenige Werte</v>
      </c>
      <c r="PB34" s="97"/>
      <c r="PC34" s="307"/>
      <c r="PD34" s="96" t="str">
        <f>IFERROR(IFERROR(SUBSTITUTE(TanzenResultat[[#This Row],[Eingabe]],".",",")*1,SUBSTITUTE(TanzenResultat[[#This Row],[Eingabe]],",",".")*1),"")</f>
        <v/>
      </c>
      <c r="PE34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4" s="96"/>
      <c r="PG34" s="91" t="str" cm="1">
        <f t="array" aca="1" ref="PG34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4" s="96" t="str">
        <f ca="1">LEFT(Geschlecht[[#This Row],[Geschlecht (Skala)]],1)&amp;PM$4</f>
        <v>2</v>
      </c>
      <c r="PI34" s="96" t="str">
        <f t="shared" ca="1" si="93"/>
        <v>Tanzen_2[Resultat]</v>
      </c>
      <c r="PJ34" s="97" t="str" cm="1">
        <f t="array" aca="1" ref="PJ34" ca="1">IF(INDIRECT(PG$1)="","",IF(INDIRECT(PG$2)=0,0,IF(OR(INDIRECT(PG$1)=$A$2,INDIRECT(PG$1)=$A$3),$A$3,IFERROR(INDEX(INDIRECT(PI34),MATCH(INDIRECT(PG$3),INDIRECT(PI34),PI$25)),IFERROR(IF(PI$25=-1,MAX(INDIRECT(PI34)),IF(PI$25=1,MIN(INDIRECT(PI34)))),"")))))</f>
        <v/>
      </c>
      <c r="PL34" s="91" t="str">
        <f t="shared" ca="1" si="94"/>
        <v>Tanzen_2[Note]</v>
      </c>
      <c r="PM34" s="97" t="str" cm="1">
        <f t="array" aca="1" ref="PM34" ca="1">IFERROR(INDEX(INDIRECT(PL34),MATCH(INDIRECT(PG$5),INDIRECT(PI34),0)),IF(INDIRECT(PG$5)=0,1,""))</f>
        <v/>
      </c>
      <c r="PN34" s="97"/>
      <c r="PO34" s="307"/>
      <c r="PP34" s="96" t="str">
        <f>IFERROR(IFERROR(SUBSTITUTE(RopeSkippingResultat[[#This Row],[Eingabe]],".",",")*1,SUBSTITUTE(RopeSkippingResultat[[#This Row],[Eingabe]],",",".")*1),"")</f>
        <v/>
      </c>
      <c r="PQ34" s="96" t="e">
        <f>INT(RopeSkippingResultat[[#This Row],[Resultat]])=RopeSkippingResultat[[#This Row],[Resultat]]</f>
        <v>#VALUE!</v>
      </c>
      <c r="PR34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4" s="96"/>
      <c r="PT34" s="91" t="str" cm="1">
        <f t="array" aca="1" ref="PT34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4" s="96" t="str">
        <f ca="1">LEFT(Geschlecht[[#This Row],[Geschlecht (Skala)]],1)&amp;PZ$4</f>
        <v>2</v>
      </c>
      <c r="PV34" s="96" t="str">
        <f t="shared" ca="1" si="95"/>
        <v>RopeSkipping_2[Resultat]</v>
      </c>
      <c r="PW34" s="97" t="str" cm="1">
        <f t="array" aca="1" ref="PW34" ca="1">IF(INDIRECT(PT$1)="","",IF(INDIRECT(PT$2)=0,0,IF(OR(INDIRECT(PT$1)=$A$2,INDIRECT(PT$1)=$A$3),$A$3,IFERROR(INDEX(INDIRECT(PV34),MATCH(INDIRECT(PT$3),INDIRECT(PV34),PV$25)),IFERROR(IF(PV$25=-1,MAX(INDIRECT(PV34)),IF(PV$25=1,MIN(INDIRECT(PV34)))),"")))))</f>
        <v/>
      </c>
      <c r="PY34" s="91" t="str">
        <f t="shared" ca="1" si="96"/>
        <v>RopeSkipping_2[Note]</v>
      </c>
      <c r="PZ34" s="97" t="str" cm="1">
        <f t="array" aca="1" ref="PZ34" ca="1">IFERROR(INDEX(INDIRECT(PY34),MATCH(INDIRECT(PT$5),INDIRECT(PV34),0)),IF(INDIRECT(PT$5)=0,1,""))</f>
        <v/>
      </c>
      <c r="QA34" s="97"/>
      <c r="QB34" s="307"/>
      <c r="QC34" s="96" t="str">
        <f>IFERROR(IFERROR(SUBSTITUTE(AerobicResultat[[#This Row],[Eingabe]],".",",")*1,SUBSTITUTE(AerobicResultat[[#This Row],[Eingabe]],",",".")*1),"")</f>
        <v/>
      </c>
      <c r="QD34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4" s="96"/>
      <c r="QF34" s="91" t="str" cm="1">
        <f t="array" aca="1" ref="QF34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4" s="96" t="str">
        <f ca="1">LEFT(Geschlecht[[#This Row],[Geschlecht (Skala)]],1)&amp;QL$4</f>
        <v>2</v>
      </c>
      <c r="QH34" s="96" t="str">
        <f t="shared" ca="1" si="97"/>
        <v>Aerobic_2[Resultat]</v>
      </c>
      <c r="QI34" s="97" t="str" cm="1">
        <f t="array" aca="1" ref="QI34" ca="1">IF(INDIRECT(QF$1)="","",IF(INDIRECT(QF$2)=0,0,IF(OR(INDIRECT(QF$1)=$A$2,INDIRECT(QF$1)=$A$3),$A$3,IFERROR(INDEX(INDIRECT(QH34),MATCH(INDIRECT(QF$3),INDIRECT(QH34),QH$25)),IFERROR(IF(QH$25=-1,MAX(INDIRECT(QH34)),IF(QH$25=1,MIN(INDIRECT(QH34)))),"")))))</f>
        <v/>
      </c>
      <c r="QK34" s="91" t="str">
        <f t="shared" ca="1" si="98"/>
        <v>Aerobic_2[Note]</v>
      </c>
      <c r="QL34" s="97" t="str" cm="1">
        <f t="array" aca="1" ref="QL34" ca="1">IFERROR(INDEX(INDIRECT(QK34),MATCH(INDIRECT(QF$5),INDIRECT(QH34),0)),IF(INDIRECT(QF$5)=0,1,""))</f>
        <v/>
      </c>
      <c r="QM34" s="97"/>
      <c r="QN34" s="97" t="str" cm="1">
        <f t="array" aca="1" ref="QN34" ca="1">INDIRECT(QN$5)</f>
        <v/>
      </c>
      <c r="QO34" s="97" t="str" cm="1">
        <f t="array" aca="1" ref="QO34" ca="1">INDIRECT(QO$5)</f>
        <v/>
      </c>
      <c r="QP34" s="97" t="str" cm="1">
        <f t="array" aca="1" ref="QP34" ca="1">INDIRECT(QP$5)</f>
        <v/>
      </c>
      <c r="QQ34" s="97" t="str" cm="1">
        <f t="array" aca="1" ref="QQ34" ca="1">INDIRECT(QQ$5)</f>
        <v/>
      </c>
      <c r="QR34" s="97" t="str" cm="1">
        <f t="array" aca="1" ref="QR34" ca="1">INDIRECT(QR$5)</f>
        <v/>
      </c>
      <c r="QS34" s="97" t="str" cm="1">
        <f t="array" aca="1" ref="QS34" ca="1">INDIRECT(QS$5)</f>
        <v/>
      </c>
      <c r="QT34" s="97" t="str">
        <f t="shared" ca="1" si="99"/>
        <v>Darstellen und Tanzen nicht durchgeführt</v>
      </c>
      <c r="QU34" s="108">
        <f t="shared" ca="1" si="100"/>
        <v>0</v>
      </c>
      <c r="QV34" s="108">
        <f t="shared" ca="1" si="101"/>
        <v>0</v>
      </c>
      <c r="QW34" s="108" t="str">
        <f t="shared" ca="1" si="210"/>
        <v/>
      </c>
      <c r="QX34" s="97" t="str">
        <f t="shared" ca="1" si="211"/>
        <v>Darstellen und Tanzen nicht durchgeführt</v>
      </c>
      <c r="QY34" s="97" t="str">
        <f t="shared" ca="1" si="212"/>
        <v/>
      </c>
      <c r="QZ34" s="97" t="str" cm="1">
        <f t="array" aca="1" ref="QZ34" ca="1">IFERROR(IF(INDIRECT(INDEX(INDIRECT(QZ$5),MATCH(QX34,INDIRECT(QZ$4),0)))&lt;&gt;"",INDEX(INDIRECT(QZ$5),MATCH(QX34,INDIRECT(QZ$4),0)),INDEX(INDIRECT(QZ$6),MATCH(QX34,INDIRECT(QZ$4),0))),"")</f>
        <v/>
      </c>
      <c r="RA34" s="97" t="str">
        <f t="shared" ca="1" si="213"/>
        <v/>
      </c>
      <c r="RB34" s="97" t="str" cm="1">
        <f t="array" aca="1" ref="RB34" ca="1">IFERROR(INDIRECT(QZ34),IF(NOT(ISERROR(FIND(Stammdaten!$CC$3,QX34,1))),$A$2,""))</f>
        <v/>
      </c>
      <c r="RC34" s="97" t="str">
        <f ca="1">IF(RB34="","",IF(AND(QY34=Stammdaten!$BX$20,RA34="0",RB34=1),SUBSTITUTE(TEXT(RB34,RA34)&amp;" "&amp;LEFT(QY34,LEN(QY34)-1),".",","),SUBSTITUTE(TEXT(RB34,RA34)&amp;" "&amp;QY34,".",",")))</f>
        <v/>
      </c>
      <c r="RD34" s="97" t="str">
        <f t="shared" ca="1" si="102"/>
        <v/>
      </c>
      <c r="RE34" s="97" t="str" cm="1">
        <f t="array" aca="1" ref="RE34" ca="1">IFERROR(LEFT(INDIRECT(RD34),1)&amp;"]","")</f>
        <v/>
      </c>
      <c r="RF34" s="97" t="str">
        <f t="shared" ca="1" si="103"/>
        <v/>
      </c>
      <c r="RG34" s="97" t="str">
        <f ca="1">IFERROR(LEFT(QX34,FIND(Stammdaten!$CA$4,QX34,1)-2),IFERROR(LEFT(QX34,FIND(Stammdaten!$CC$3,QX34,1)-2),QX34))</f>
        <v>Darstellen und Tanzen</v>
      </c>
      <c r="RH34" s="97" t="str">
        <f ca="1">IF(NOT(ISERROR(FIND(Stammdaten!$CA$4,QX34,1))),Stammdaten!$CA$4,IF(RI34&lt;&gt;Stammdaten!$CC$3,RF34,""))</f>
        <v>nicht durchgeführt</v>
      </c>
      <c r="RI34" s="91" t="str">
        <f ca="1">IF(RB34=$A$2,Stammdaten!$CC$3,RC34)</f>
        <v/>
      </c>
      <c r="RJ34" s="108">
        <f t="shared" ca="1" si="214"/>
        <v>6</v>
      </c>
      <c r="RK34" s="97"/>
      <c r="RL34" s="308" t="str">
        <f ca="1">IF(QT34=$QT$4,Stammdaten!$BZ$1,IF(QT34=$QT$5,$A$3,QT34))</f>
        <v>Zu wenige Werte</v>
      </c>
      <c r="RM34" s="97"/>
      <c r="RN34" s="307"/>
      <c r="RO34" s="96" t="str">
        <f>IFERROR(IFERROR(SUBSTITUTE(BasketballResultat[[#This Row],[Eingabe]],".",",")*1,SUBSTITUTE(BasketballResultat[[#This Row],[Eingabe]],",",".")*1),"")</f>
        <v/>
      </c>
      <c r="RP34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4" s="96"/>
      <c r="RR34" s="91" t="str" cm="1">
        <f t="array" aca="1" ref="RR34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4" s="96" t="str">
        <f ca="1">LEFT(Geschlecht[[#This Row],[Geschlecht (Skala)]],1)&amp;RX$4</f>
        <v>2</v>
      </c>
      <c r="RT34" s="96" t="str">
        <f t="shared" ca="1" si="104"/>
        <v>Basketball_2[Resultat]</v>
      </c>
      <c r="RU34" s="97" t="str" cm="1">
        <f t="array" aca="1" ref="RU34" ca="1">IF(INDIRECT(RR$1)="","",IF(INDIRECT(RR$2)=0,0,IF(OR(INDIRECT(RR$1)=$A$2,INDIRECT(RR$1)=$A$3),$A$3,IFERROR(INDEX(INDIRECT(RT34),MATCH(INDIRECT(RR$3),INDIRECT(RT34),RT$25)),IFERROR(IF(RT$25=-1,MAX(INDIRECT(RT34)),IF(RT$25=1,MIN(INDIRECT(RT34)))),"")))))</f>
        <v/>
      </c>
      <c r="RW34" s="91" t="str">
        <f t="shared" ca="1" si="105"/>
        <v>Basketball_2[Note]</v>
      </c>
      <c r="RX34" s="97" t="str" cm="1">
        <f t="array" aca="1" ref="RX34" ca="1">IFERROR(INDEX(INDIRECT(RW34),MATCH(INDIRECT(RR$5),INDIRECT(RT34),0)),IF(INDIRECT(RR$5)=0,1,""))</f>
        <v/>
      </c>
      <c r="RY34" s="97"/>
      <c r="RZ34" s="307"/>
      <c r="SA34" s="96" t="str">
        <f>IFERROR(IFERROR(SUBSTITUTE(FussballResultat[[#This Row],[Eingabe]],".",",")*1,SUBSTITUTE(FussballResultat[[#This Row],[Eingabe]],",",".")*1),"")</f>
        <v/>
      </c>
      <c r="SB34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4" s="96"/>
      <c r="SD34" s="316" t="str" cm="1">
        <f t="array" aca="1" ref="SD34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4" s="96" t="str">
        <f ca="1">LEFT(Geschlecht[[#This Row],[Geschlecht (Skala)]],1)&amp;SJ$4</f>
        <v>2</v>
      </c>
      <c r="SF34" s="96" t="str">
        <f t="shared" ca="1" si="106"/>
        <v>Fussball_2[Resultat]</v>
      </c>
      <c r="SG34" s="97" t="str" cm="1">
        <f t="array" aca="1" ref="SG34" ca="1">IF(INDIRECT(SD$1)="","",IF(INDIRECT(SD$2)=0,0,IF(OR(INDIRECT(SD$1)=$A$2,INDIRECT(SD$1)=$A$3),$A$3,IFERROR(INDEX(INDIRECT(SF34),MATCH(INDIRECT(SD$3),INDIRECT(SF34),SF$25)),IFERROR(IF(SF$25=-1,MAX(INDIRECT(SF34)),IF(SF$25=1,MIN(INDIRECT(SF34)))),"")))))</f>
        <v/>
      </c>
      <c r="SI34" s="91" t="str">
        <f t="shared" ca="1" si="107"/>
        <v>Fussball_2[Note]</v>
      </c>
      <c r="SJ34" s="97" t="str" cm="1">
        <f t="array" aca="1" ref="SJ34" ca="1">IFERROR(INDEX(INDIRECT(SI34),MATCH(INDIRECT(SD$5),INDIRECT(SF34),0)),IF(INDIRECT(SD$5)=0,1,""))</f>
        <v/>
      </c>
      <c r="SK34" s="97"/>
      <c r="SL34" s="307"/>
      <c r="SM34" s="96" t="str">
        <f>IFERROR(IFERROR(SUBSTITUTE(HandballResultat[[#This Row],[Eingabe]],".",",")*1,SUBSTITUTE(HandballResultat[[#This Row],[Eingabe]],",",".")*1),"")</f>
        <v/>
      </c>
      <c r="SN34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4" s="96"/>
      <c r="SP34" s="91" t="str" cm="1">
        <f t="array" aca="1" ref="SP34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4" s="96" t="str">
        <f ca="1">LEFT(Geschlecht[[#This Row],[Geschlecht (Skala)]],1)&amp;SV$4</f>
        <v>2</v>
      </c>
      <c r="SR34" s="96" t="str">
        <f t="shared" ca="1" si="108"/>
        <v>Handball_2[Resultat]</v>
      </c>
      <c r="SS34" s="97" t="str" cm="1">
        <f t="array" aca="1" ref="SS34" ca="1">IF(INDIRECT(SP$1)="","",IF(INDIRECT(SP$2)=0,0,IF(OR(INDIRECT(SP$1)=$A$2,INDIRECT(SP$1)=$A$3),$A$3,IFERROR(INDEX(INDIRECT(SR34),MATCH(INDIRECT(SP$3),INDIRECT(SR34),SR$25)),IFERROR(IF(SR$25=-1,MAX(INDIRECT(SR34)),IF(SR$25=1,MIN(INDIRECT(SR34)))),"")))))</f>
        <v/>
      </c>
      <c r="SU34" s="91" t="str">
        <f t="shared" ca="1" si="109"/>
        <v>Handball_2[Note]</v>
      </c>
      <c r="SV34" s="97" t="str" cm="1">
        <f t="array" aca="1" ref="SV34" ca="1">IFERROR(INDEX(INDIRECT(SU34),MATCH(INDIRECT(SP$5),INDIRECT(SR34),0)),IF(INDIRECT(SP$5)=0,1,""))</f>
        <v/>
      </c>
      <c r="SW34" s="97"/>
      <c r="SX34" s="307"/>
      <c r="SY34" s="96" t="str">
        <f>IFERROR(IFERROR(SUBSTITUTE(UnihockeyResultat[[#This Row],[Eingabe]],".",",")*1,SUBSTITUTE(UnihockeyResultat[[#This Row],[Eingabe]],",",".")*1),"")</f>
        <v/>
      </c>
      <c r="SZ34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4" s="96"/>
      <c r="TB34" s="91" t="str" cm="1">
        <f t="array" aca="1" ref="TB34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4" s="96" t="str">
        <f ca="1">LEFT(Geschlecht[[#This Row],[Geschlecht (Skala)]],1)&amp;TH$4</f>
        <v>2</v>
      </c>
      <c r="TD34" s="96" t="str">
        <f t="shared" ca="1" si="110"/>
        <v>Unihockey_2[Resultat]</v>
      </c>
      <c r="TE34" s="97" t="str" cm="1">
        <f t="array" aca="1" ref="TE34" ca="1">IF(INDIRECT(TB$1)="","",IF(INDIRECT(TB$2)=0,0,IF(OR(INDIRECT(TB$1)=$A$2,INDIRECT(TB$1)=$A$3),$A$3,IFERROR(INDEX(INDIRECT(TD34),MATCH(INDIRECT(TB$3),INDIRECT(TD34),TD$25)),IFERROR(IF(TD$25=-1,MAX(INDIRECT(TD34)),IF(TD$25=1,MIN(INDIRECT(TD34)))),"")))))</f>
        <v/>
      </c>
      <c r="TG34" s="91" t="str">
        <f t="shared" ca="1" si="111"/>
        <v>Unihockey_2[Note]</v>
      </c>
      <c r="TH34" s="97" t="str" cm="1">
        <f t="array" aca="1" ref="TH34" ca="1">IFERROR(INDEX(INDIRECT(TG34),MATCH(INDIRECT(TB$5),INDIRECT(TD34),0)),IF(INDIRECT(TB$5)=0,1,""))</f>
        <v/>
      </c>
      <c r="TI34" s="97"/>
      <c r="TJ34" s="307"/>
      <c r="TK34" s="96" t="str">
        <f>IFERROR(IFERROR(SUBSTITUTE(VolleyballResultat[[#This Row],[Eingabe]],".",",")*1,SUBSTITUTE(VolleyballResultat[[#This Row],[Eingabe]],",",".")*1),"")</f>
        <v/>
      </c>
      <c r="TL34" s="96" t="e">
        <f>INT(VolleyballResultat[[#This Row],[Resultat]])=VolleyballResultat[[#This Row],[Resultat]]</f>
        <v>#VALUE!</v>
      </c>
      <c r="TM34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4" s="96"/>
      <c r="TO34" s="91" t="str" cm="1">
        <f t="array" aca="1" ref="TO34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4" s="96" t="str">
        <f ca="1">LEFT(Geschlecht[[#This Row],[Geschlecht (Skala)]],1)&amp;TU$4</f>
        <v>2</v>
      </c>
      <c r="TQ34" s="96" t="str">
        <f t="shared" ca="1" si="112"/>
        <v>Volleyball_2[Resultat]</v>
      </c>
      <c r="TR34" s="97" t="str" cm="1">
        <f t="array" aca="1" ref="TR34" ca="1">IF(INDIRECT(TO$1)="","",IF(INDIRECT(TO$2)=0,0,IF(OR(INDIRECT(TO$1)=$A$2,INDIRECT(TO$1)=$A$3),$A$3,IFERROR(INDEX(INDIRECT(TQ34),MATCH(INDIRECT(TO$3),INDIRECT(TQ34),TQ$25)),IFERROR(IF(TQ$25=-1,MAX(INDIRECT(TQ34)),IF(TQ$25=1,MIN(INDIRECT(TQ34)))),"")))))</f>
        <v/>
      </c>
      <c r="TT34" s="91" t="str">
        <f t="shared" ca="1" si="113"/>
        <v>Volleyball_2[Note]</v>
      </c>
      <c r="TU34" s="97" t="str" cm="1">
        <f t="array" aca="1" ref="TU34" ca="1">IFERROR(INDEX(INDIRECT(TT34),MATCH(INDIRECT(TO$5),INDIRECT(TQ34),0)),IF(INDIRECT(TO$5)=0,1,""))</f>
        <v/>
      </c>
      <c r="TV34" s="97"/>
      <c r="TW34" s="309" t="str" cm="1">
        <f t="array" aca="1" ref="TW34" ca="1">IF(AND(ISNUMBER(INDIRECT(TW$3)),INDIRECT(TW$3)&gt;1),INDIRECT(TW$3),"")</f>
        <v/>
      </c>
      <c r="TX34" s="309" t="str" cm="1">
        <f t="array" aca="1" ref="TX34" ca="1">IF(AND(ISNUMBER(INDIRECT(TX$3)),INDIRECT(TX$3)&gt;1),INDIRECT(TX$3),"")</f>
        <v/>
      </c>
      <c r="TY34" s="309" t="str" cm="1">
        <f t="array" aca="1" ref="TY34" ca="1">IF(AND(ISNUMBER(INDIRECT(TY$3)),INDIRECT(TY$3)&gt;1),INDIRECT(TY$3),"")</f>
        <v/>
      </c>
      <c r="TZ34" s="309" t="str" cm="1">
        <f t="array" aca="1" ref="TZ34" ca="1">IF(AND(ISNUMBER(INDIRECT(TZ$3)),INDIRECT(TZ$3)&gt;1),INDIRECT(TZ$3),"")</f>
        <v/>
      </c>
      <c r="UA34" s="309" t="str" cm="1">
        <f t="array" aca="1" ref="UA34" ca="1">IF(AND(ISNUMBER(INDIRECT(UA$3)),INDIRECT(UA$3)&gt;1),INDIRECT(UA$3),"")</f>
        <v/>
      </c>
      <c r="UB34" s="309" t="str">
        <f t="shared" ca="1" si="114"/>
        <v>x</v>
      </c>
      <c r="UC34" s="309" t="str">
        <f t="shared" ca="1" si="115"/>
        <v>y</v>
      </c>
      <c r="UD34" s="309" t="str">
        <f t="shared" ca="1" si="116"/>
        <v>z</v>
      </c>
      <c r="UE34" s="309" t="str">
        <f t="shared" ca="1" si="215"/>
        <v>a</v>
      </c>
      <c r="UF34" s="309" t="str" cm="1">
        <f t="array" aca="1" ref="UF34" ca="1">IF(UE34="a","",INDEX($TW$23:$UA$23,,MATCH(UE34,$TW34:$UA34,0)))</f>
        <v/>
      </c>
      <c r="UG34" s="309" t="str" cm="1">
        <f t="array" aca="1" ref="UG34" ca="1">IF(OR(UF34="",UF34&gt;=$UA$23),"",INDEX(INDIRECT(ADDRESS(ROW($TW$23),UF34+1)):$UA$23,,MATCH(UE34,INDIRECT(ADDRESS(ROW(),UF34+1)):$UA34,0)))</f>
        <v/>
      </c>
      <c r="UH34" s="309" t="str" cm="1">
        <f t="array" aca="1" ref="UH34" ca="1">IF(OR(UG34="",UG34&gt;=$UA$23),"",INDEX(INDIRECT(ADDRESS(ROW($TW$23),UG34+1)):$UA$23,,MATCH(UE34,INDIRECT(ADDRESS(ROW(),UG34+1)):$UA34,0)))</f>
        <v/>
      </c>
      <c r="UI34" s="309" t="str">
        <f t="shared" ca="1" si="216"/>
        <v>c</v>
      </c>
      <c r="UJ34" s="309" t="str" cm="1">
        <f t="array" aca="1" ref="UJ34" ca="1">IF(OR(UI34="b",UI34="c"),"",INDEX($TW$23:$UA$23,,MATCH(UI34,$TW34:$UA34,0)))</f>
        <v/>
      </c>
      <c r="UK34" s="309" t="str" cm="1">
        <f t="array" aca="1" ref="UK34" ca="1">IF(OR(UJ34="",UJ34&gt;=$UA$23),"",INDEX(INDIRECT(ADDRESS(ROW($TW$23),UJ34+1)):$UA$23,,MATCH(UI34,INDIRECT(ADDRESS(ROW(),UJ34+1)):$UA34,0)))</f>
        <v/>
      </c>
      <c r="UL34" s="309" t="str">
        <f t="shared" ca="1" si="117"/>
        <v/>
      </c>
      <c r="UM34" s="309" t="str">
        <f t="shared" ca="1" si="217"/>
        <v>e</v>
      </c>
      <c r="UN34" s="309" t="str">
        <f t="shared" ca="1" si="118"/>
        <v/>
      </c>
      <c r="UO34" s="309" t="str" cm="1">
        <f t="array" aca="1" ref="UO34" ca="1">IF(OR(UM34="d",UM34="e"),"",INDEX($TW$23:$UA$23,,MATCH(UM34,$TW34:$UA34,0)))</f>
        <v/>
      </c>
      <c r="UP34" s="309" t="str" cm="1">
        <f t="array" aca="1" ref="UP34" ca="1">IF(OR(UO34="",UO34&gt;=$UA$23),"",INDEX(INDIRECT(ADDRESS(ROW($TW$23),UO34+1)):$UA$23,,MATCH(UM34,INDIRECT(ADDRESS(ROW(),UO34+1)):$UA34,0)))</f>
        <v/>
      </c>
      <c r="UQ34" s="309" t="str" cm="1">
        <f t="array" aca="1" ref="UQ34" ca="1">IFERROR(IF(ISNUMBER(UF34),UF34,IF(ISNUMBER(UJ34),UJ34,IF(ISNUMBER(UN34),UN34,INDEX($TW$23:$UA$23,,MATCH(UB34,$TW34:$UA34,0))))),"x1")</f>
        <v>x1</v>
      </c>
      <c r="UR34" s="309" t="str" cm="1">
        <f t="array" aca="1" ref="UR34" ca="1">IFERROR(IF(ISNUMBER(UG34),UG34,IF(ISNUMBER(UK34),UK34,IF(ISNUMBER(UO34),UO34,INDEX($TW$23:$UA$23,,MATCH(UC34,$TW34:$UA34,0))))),IF(UQ34="x1","x2","x1"))</f>
        <v>x2</v>
      </c>
      <c r="US34" s="309" t="str" cm="1">
        <f t="array" aca="1" ref="US34" ca="1">IFERROR(IF(ISNUMBER(UH34),UH34,IF(ISNUMBER(UL34),UL34,IF(ISNUMBER(UP34),UP34,INDEX($TW$23:$UA$23,,MATCH(UD34,$TW34:$UA34,0))))),IF(UR34="x1","x2",IF(UR34="x2","x3","x1")))</f>
        <v>x3</v>
      </c>
      <c r="UT34" s="97" t="str" cm="1">
        <f t="array" aca="1" ref="UT34" ca="1">IF(OR(INDIRECT(UT$3)=$A$2,INDIRECT(UT$3)=$A$3),COLUMN(),"")</f>
        <v/>
      </c>
      <c r="UU34" s="97" t="str" cm="1">
        <f t="array" aca="1" ref="UU34" ca="1">IF(OR(INDIRECT(UU$3)=$A$2,INDIRECT(UU$3)=$A$3),COLUMN(),"")</f>
        <v/>
      </c>
      <c r="UV34" s="97" t="str" cm="1">
        <f t="array" aca="1" ref="UV34" ca="1">IF(OR(INDIRECT(UV$3)=$A$2,INDIRECT(UV$3)=$A$3),COLUMN(),"")</f>
        <v/>
      </c>
      <c r="UW34" s="97" t="str" cm="1">
        <f t="array" aca="1" ref="UW34" ca="1">IF(OR(INDIRECT(UW$3)=$A$2,INDIRECT(UW$3)=$A$3),COLUMN(),"")</f>
        <v/>
      </c>
      <c r="UX34" s="97" t="str" cm="1">
        <f t="array" aca="1" ref="UX34" ca="1">IF(OR(INDIRECT(UX$3)=$A$2,INDIRECT(UX$3)=$A$3),COLUMN(),"")</f>
        <v/>
      </c>
      <c r="UY34" s="97" t="str" cm="1">
        <f t="array" aca="1" ref="UY34" ca="1">IF(AND(ISNUMBER(INDIRECT(UY$3)),INDIRECT(UY$3)=0),COLUMN(),"")</f>
        <v/>
      </c>
      <c r="UZ34" s="97" t="str" cm="1">
        <f t="array" aca="1" ref="UZ34" ca="1">IF(AND(ISNUMBER(INDIRECT(UZ$3)),INDIRECT(UZ$3)=0),COLUMN(),"")</f>
        <v/>
      </c>
      <c r="VA34" s="97" t="str" cm="1">
        <f t="array" aca="1" ref="VA34" ca="1">IF(AND(ISNUMBER(INDIRECT(VA$3)),INDIRECT(VA$3)=0),COLUMN(),"")</f>
        <v/>
      </c>
      <c r="VB34" s="97" t="str" cm="1">
        <f t="array" aca="1" ref="VB34" ca="1">IF(AND(ISNUMBER(INDIRECT(VB$3)),INDIRECT(VB$3)=0),COLUMN(),"")</f>
        <v/>
      </c>
      <c r="VC34" s="97" t="str" cm="1">
        <f t="array" aca="1" ref="VC34" ca="1">IF(AND(ISNUMBER(INDIRECT(VC$3)),INDIRECT(VC$3)=0),COLUMN(),"")</f>
        <v/>
      </c>
      <c r="VD34" s="97" t="str">
        <f t="shared" ca="1" si="218"/>
        <v>x1</v>
      </c>
      <c r="VE34" s="97" t="str">
        <f t="shared" ca="1" si="219"/>
        <v>x2</v>
      </c>
      <c r="VF34" s="97" t="str">
        <f t="shared" ca="1" si="220"/>
        <v>x3</v>
      </c>
      <c r="VG34" s="97" t="str">
        <f ca="1">IFERROR(IF(ISNUMBER(VD34),VD34,SMALL($UY34:$VC34,VALUE(RIGHT(VD34,1)))),Stammdaten!$CB$17)</f>
        <v>Erste Spielsportart nicht durchgeführt</v>
      </c>
      <c r="VH34" s="97" t="str">
        <f ca="1">IFERROR(IF(ISNUMBER(VE34),VE34,SMALL($UY34:$VC34,VALUE(RIGHT(VE34,1)))),Stammdaten!$CB$18)</f>
        <v>Zweite Spielsportart nicht durchgeführt</v>
      </c>
      <c r="VI34" s="97" t="str">
        <f ca="1">IFERROR(IF(ISNUMBER(VF34),VF34,SMALL($UY34:$VC34,VALUE(RIGHT(VF34,1)))),Stammdaten!$CB$19)</f>
        <v>Dritte Spielsportart nicht durchgeführt</v>
      </c>
      <c r="VJ34" s="91" t="str" cm="1">
        <f t="array" aca="1" ref="VJ34" ca="1">IFERROR(INDIRECT(ADDRESS(ROW($TW$5),VG34)),VG34)</f>
        <v>Erste Spielsportart nicht durchgeführt</v>
      </c>
      <c r="VK34" s="97" t="str">
        <f t="shared" ca="1" si="221"/>
        <v/>
      </c>
      <c r="VL34" s="97" t="str" cm="1">
        <f t="array" aca="1" ref="VL34" ca="1">IFERROR(IF(INDIRECT(INDEX(INDIRECT(VL$5),MATCH(VJ34,INDIRECT(VL$4),0)))&lt;&gt;"",INDEX(INDIRECT(VL$5),MATCH(VJ34,INDIRECT(VL$4),0)),INDEX(INDIRECT(VL$6),MATCH(VJ34,INDIRECT(VL$4),0))),"")</f>
        <v/>
      </c>
      <c r="VM34" s="97" t="str">
        <f t="shared" ca="1" si="222"/>
        <v/>
      </c>
      <c r="VN34" s="97" t="str" cm="1">
        <f t="array" aca="1" ref="VN34" ca="1">IFERROR(INDIRECT(VL34),"")</f>
        <v/>
      </c>
      <c r="VO34" s="97" t="str">
        <f ca="1">IF(VN34="","",IF(AND(VK34=Stammdaten!$BX$20,VM34="0",VN34=1),SUBSTITUTE(TEXT(VN34,VM34)&amp;" "&amp;LEFT(VK34,LEN(VK34)-1),".",","),SUBSTITUTE(TEXT(VN34,VM34)&amp;" "&amp;VK34,".",",")))</f>
        <v/>
      </c>
      <c r="VP34" s="97" t="str">
        <f t="shared" ca="1" si="119"/>
        <v/>
      </c>
      <c r="VQ34" s="97" t="str" cm="1">
        <f t="array" aca="1" ref="VQ34" ca="1">IFERROR(LEFT(INDIRECT(VP34),1)&amp;"]","")</f>
        <v/>
      </c>
      <c r="VR34" s="97" t="str">
        <f t="shared" ca="1" si="120"/>
        <v/>
      </c>
      <c r="VS34" s="97" t="str">
        <f ca="1">IFERROR(LEFT(VJ34,FIND(Stammdaten!$CA$4,VJ34,1)-2),IFERROR(LEFT(VJ34,FIND(Stammdaten!$CC$3,VJ34,1)-2),VJ34))</f>
        <v>Erste Spielsportart</v>
      </c>
      <c r="VT34" s="97" t="str">
        <f ca="1">IF(NOT(ISERROR(FIND(Stammdaten!$CA$4,VJ34,1))),Stammdaten!$CA$4,IF(VU34&lt;&gt;Stammdaten!$CC$3,VR34,""))</f>
        <v>nicht durchgeführt</v>
      </c>
      <c r="VU34" s="91" t="str">
        <f ca="1">IF(VN34=$A$2,Stammdaten!$CC$3,VO34)</f>
        <v/>
      </c>
      <c r="VV34" s="91" t="str" cm="1">
        <f t="array" aca="1" ref="VV34" ca="1">IFERROR(INDIRECT(ADDRESS(ROW($TW$5),VH34)),VH34)</f>
        <v>Zweite Spielsportart nicht durchgeführt</v>
      </c>
      <c r="VW34" s="97" t="str">
        <f t="shared" ca="1" si="223"/>
        <v/>
      </c>
      <c r="VX34" s="97" t="str" cm="1">
        <f t="array" aca="1" ref="VX34" ca="1">IFERROR(IF(INDIRECT(INDEX(INDIRECT(VX$5),MATCH(VV34,INDIRECT(VX$4),0)))&lt;&gt;"",INDEX(INDIRECT(VX$5),MATCH(VV34,INDIRECT(VX$4),0)),INDEX(INDIRECT(VX$6),MATCH(VV34,INDIRECT(VX$4),0))),"")</f>
        <v/>
      </c>
      <c r="VY34" s="97" t="str">
        <f t="shared" ca="1" si="224"/>
        <v/>
      </c>
      <c r="VZ34" s="97" t="str" cm="1">
        <f t="array" aca="1" ref="VZ34" ca="1">IFERROR(INDIRECT(VX34),"")</f>
        <v/>
      </c>
      <c r="WA34" s="97" t="str">
        <f ca="1">IF(VZ34="","",IF(AND(VW34=Stammdaten!$BX$20,VY34="0",VZ34=1),SUBSTITUTE(TEXT(VZ34,VY34)&amp;" "&amp;LEFT(VW34,LEN(VW34)-1),".",","),SUBSTITUTE(TEXT(VZ34,VY34)&amp;" "&amp;VW34,".",",")))</f>
        <v/>
      </c>
      <c r="WB34" s="97" t="str">
        <f t="shared" ca="1" si="121"/>
        <v/>
      </c>
      <c r="WC34" s="97" t="str" cm="1">
        <f t="array" aca="1" ref="WC34" ca="1">IFERROR(LEFT(INDIRECT(WB34),1)&amp;"]","")</f>
        <v/>
      </c>
      <c r="WD34" s="97" t="str">
        <f t="shared" ca="1" si="122"/>
        <v/>
      </c>
      <c r="WE34" s="97" t="str">
        <f ca="1">IFERROR(LEFT(VV34,FIND(Stammdaten!$CA$4,VV34,1)-2),IFERROR(LEFT(VV34,FIND(Stammdaten!$CC$3,VV34,1)-2),VV34))</f>
        <v>Zweite Spielsportart</v>
      </c>
      <c r="WF34" s="97" t="str">
        <f ca="1">IF(NOT(ISERROR(FIND(Stammdaten!$CA$4,VV34,1))),Stammdaten!$CA$4,IF(WG34&lt;&gt;Stammdaten!$CC$3,WD34,""))</f>
        <v>nicht durchgeführt</v>
      </c>
      <c r="WG34" s="91" t="str">
        <f ca="1">IF(VZ34=$A$2,Stammdaten!$CC$3,WA34)</f>
        <v/>
      </c>
      <c r="WH34" s="91" t="str" cm="1">
        <f t="array" aca="1" ref="WH34" ca="1">IFERROR(INDIRECT(ADDRESS(ROW($TW$5),VI34)),VI34)</f>
        <v>Dritte Spielsportart nicht durchgeführt</v>
      </c>
      <c r="WI34" s="97" t="str">
        <f t="shared" ca="1" si="225"/>
        <v/>
      </c>
      <c r="WJ34" s="97" t="str" cm="1">
        <f t="array" aca="1" ref="WJ34" ca="1">IFERROR(IF(INDIRECT(INDEX(INDIRECT(WJ$5),MATCH(WH34,INDIRECT(WJ$4),0)))&lt;&gt;"",INDEX(INDIRECT(WJ$5),MATCH(WH34,INDIRECT(WJ$4),0)),INDEX(INDIRECT(WJ$6),MATCH(WH34,INDIRECT(WJ$4),0))),"")</f>
        <v/>
      </c>
      <c r="WK34" s="97" t="str">
        <f t="shared" ca="1" si="226"/>
        <v/>
      </c>
      <c r="WL34" s="97" t="str" cm="1">
        <f t="array" aca="1" ref="WL34" ca="1">IFERROR(INDIRECT(WJ34),"")</f>
        <v/>
      </c>
      <c r="WM34" s="97" t="str">
        <f ca="1">IF(WL34="","",IF(AND(WI34=Stammdaten!$BX$20,WK34="0",WL34=1),SUBSTITUTE(TEXT(WL34,WK34)&amp;" "&amp;LEFT(WI34,LEN(WI34)-1),".",","),SUBSTITUTE(TEXT(WL34,WK34)&amp;" "&amp;WI34,".",",")))</f>
        <v/>
      </c>
      <c r="WN34" s="97" t="str">
        <f t="shared" ca="1" si="123"/>
        <v/>
      </c>
      <c r="WO34" s="97" t="str" cm="1">
        <f t="array" aca="1" ref="WO34" ca="1">IFERROR(LEFT(INDIRECT(WN34),1)&amp;"]","")</f>
        <v/>
      </c>
      <c r="WP34" s="97" t="str">
        <f t="shared" ca="1" si="124"/>
        <v/>
      </c>
      <c r="WQ34" s="97" t="str">
        <f ca="1">IFERROR(LEFT(WH34,FIND(Stammdaten!$CA$4,WH34,1)-2),IFERROR(LEFT(WH34,FIND(Stammdaten!$CC$3,WH34,1)-2),WH34))</f>
        <v>Dritte Spielsportart</v>
      </c>
      <c r="WR34" s="97" t="str">
        <f ca="1">IF(NOT(ISERROR(FIND(Stammdaten!$CA$4,WH34,1))),Stammdaten!$CA$4,IF(WS34&lt;&gt;Stammdaten!$CC$3,WP34,""))</f>
        <v>nicht durchgeführt</v>
      </c>
      <c r="WS34" s="91" t="str">
        <f ca="1">IF(WL34=$A$2,Stammdaten!$CC$3,WM34)</f>
        <v/>
      </c>
      <c r="WT34" s="97" t="str" cm="1">
        <f t="array" aca="1" ref="WT34" ca="1">INDIRECT(WT$5)</f>
        <v/>
      </c>
      <c r="WU34" s="97" t="str" cm="1">
        <f t="array" aca="1" ref="WU34" ca="1">INDIRECT(WU$5)</f>
        <v/>
      </c>
      <c r="WV34" s="97" t="str" cm="1">
        <f t="array" aca="1" ref="WV34" ca="1">INDIRECT(WV$5)</f>
        <v/>
      </c>
      <c r="WW34" s="97" t="str" cm="1">
        <f t="array" aca="1" ref="WW34" ca="1">INDIRECT(WW$5)</f>
        <v/>
      </c>
      <c r="WX34" s="97" t="str" cm="1">
        <f t="array" aca="1" ref="WX34" ca="1">INDIRECT(WX$5)</f>
        <v/>
      </c>
      <c r="WY34" s="97" cm="1">
        <f t="array" aca="1" ref="WY34" ca="1">IF(INDIRECT(WY$5)&lt;&gt;"",INDIRECT(WY$5),0)</f>
        <v>0</v>
      </c>
      <c r="WZ34" s="97" cm="1">
        <f t="array" aca="1" ref="WZ34" ca="1">IF(INDIRECT(WZ$5)&lt;&gt;"",INDIRECT(WZ$5),0)</f>
        <v>0</v>
      </c>
      <c r="XA34" s="97" cm="1">
        <f t="array" aca="1" ref="XA34" ca="1">IF(INDIRECT(XA$5)&lt;&gt;"",INDIRECT(XA$5),0)</f>
        <v>0</v>
      </c>
      <c r="XB34" s="97" cm="1">
        <f t="array" aca="1" ref="XB34" ca="1">IF(INDIRECT(XB$5)&lt;&gt;"",INDIRECT(XB$5),0)</f>
        <v>0</v>
      </c>
      <c r="XC34" s="97" cm="1">
        <f t="array" aca="1" ref="XC34" ca="1">IF(INDIRECT(XC$5)&lt;&gt;"",INDIRECT(XC$5),0)</f>
        <v>0</v>
      </c>
      <c r="XD34" s="97">
        <f t="shared" ca="1" si="125"/>
        <v>0</v>
      </c>
      <c r="XE34" s="97">
        <f t="shared" ca="1" si="125"/>
        <v>0</v>
      </c>
      <c r="XF34" s="97">
        <f t="shared" ca="1" si="125"/>
        <v>0</v>
      </c>
      <c r="XG34" s="97">
        <f t="shared" ca="1" si="227"/>
        <v>0</v>
      </c>
      <c r="XH34" s="108">
        <f t="shared" ca="1" si="228"/>
        <v>0</v>
      </c>
      <c r="XI34" s="108">
        <f t="shared" ca="1" si="126"/>
        <v>0</v>
      </c>
      <c r="XJ34" s="108" t="str">
        <f t="shared" ca="1" si="229"/>
        <v/>
      </c>
      <c r="XK34" s="97" t="str">
        <f ca="1">IF(XJ34="",Stammdaten!$BZ$1,IF(AND(XH34=0,XI34&gt;=XJ$25),$A$3,ROUND(SUM(XG34/XJ34)/XK$25,0)*XK$25))</f>
        <v>Zu wenige Werte</v>
      </c>
      <c r="XL34" s="108">
        <f t="shared" ca="1" si="230"/>
        <v>6</v>
      </c>
      <c r="XM34" s="97" t="str">
        <f t="shared" ca="1" si="231"/>
        <v/>
      </c>
      <c r="XN34" s="97" t="str">
        <f t="shared" ca="1" si="232"/>
        <v/>
      </c>
      <c r="XO34" s="97" t="str">
        <f t="shared" ca="1" si="233"/>
        <v/>
      </c>
      <c r="XP34" s="97" t="str">
        <f t="shared" ca="1" si="234"/>
        <v/>
      </c>
      <c r="XQ34" s="97" t="str">
        <f t="shared" ca="1" si="235"/>
        <v>g</v>
      </c>
      <c r="XR34" s="97" t="str">
        <f t="shared" ca="1" si="236"/>
        <v/>
      </c>
      <c r="XS34" s="97">
        <f t="shared" ca="1" si="237"/>
        <v>1</v>
      </c>
      <c r="XT34" s="97" t="str">
        <f ca="1">IF(OR(Geschlecht[[#This Row],[Geschlecht (Skala)]]="",NOT(ISNUMBER(XJ34))),"",XS34)</f>
        <v/>
      </c>
      <c r="XU34" s="97" t="str">
        <f t="shared" ca="1" si="238"/>
        <v/>
      </c>
      <c r="XV34" s="97"/>
      <c r="XW34" s="308" t="str">
        <f t="shared" ca="1" si="127"/>
        <v>Zu wenige Werte</v>
      </c>
      <c r="XX34" s="97"/>
      <c r="XY34" s="97" t="str">
        <f t="shared" ca="1" si="128"/>
        <v>Zu wenige Werte</v>
      </c>
      <c r="XZ34" s="97" t="str">
        <f t="shared" ca="1" si="129"/>
        <v>Zu wenige Werte</v>
      </c>
      <c r="YA34" s="97" t="str">
        <f t="shared" ca="1" si="130"/>
        <v>Zu wenige Werte</v>
      </c>
      <c r="YB34" s="97" t="str">
        <f t="shared" ca="1" si="131"/>
        <v>Zu wenige Werte</v>
      </c>
      <c r="YC34" s="97">
        <f t="shared" ca="1" si="239"/>
        <v>0</v>
      </c>
      <c r="YD34" s="108">
        <f t="shared" ca="1" si="240"/>
        <v>0</v>
      </c>
      <c r="YE34" s="108">
        <f t="shared" ca="1" si="241"/>
        <v>0</v>
      </c>
      <c r="YF34" s="108" t="str">
        <f t="shared" ca="1" si="242"/>
        <v/>
      </c>
      <c r="YG34" s="97" t="str">
        <f ca="1">IF(YF34="",Stammdaten!$BZ$1,IF(YE34=YF$25,$A$3,ROUND(SUM(YC34/YF34)/YG$25,0)*YG$25))</f>
        <v>Zu wenige Werte</v>
      </c>
      <c r="YH34" s="97" t="str">
        <f ca="1">IF(NOT(ISNUMBER(XY34)),"",IF(YH$11&lt;&gt;"2+",TEXT(XY34,YH$11)&amp;" / ",IF(RIGHT(XY34*100,2)="00",TEXT(XY34,"0"&amp;Stammdaten!$AZ$3&amp;"0")&amp;" / ",XY34&amp;" / ")))</f>
        <v/>
      </c>
      <c r="YI34" s="97" t="str">
        <f ca="1">IF(NOT(ISNUMBER(XZ34)),"",IF(YI$11&lt;&gt;"2+",TEXT(XZ34,YI$11)&amp;" / ",IF(RIGHT(XZ34*100,2)="00",TEXT(XZ34,"0"&amp;Stammdaten!$AZ$3&amp;"0")&amp;" / ",XZ34&amp;" / ")))</f>
        <v/>
      </c>
      <c r="YJ34" s="97" t="str">
        <f ca="1">IF(NOT(ISNUMBER(YA34)),"",IF(YJ$11&lt;&gt;"2+",TEXT(YA34,YJ$11)&amp;" / ",IF(RIGHT(YA34*100,2)="00",TEXT(YA34,"0"&amp;Stammdaten!$AZ$3&amp;"0")&amp;" / ",YA34&amp;" / ")))</f>
        <v/>
      </c>
      <c r="YK34" s="97" t="str">
        <f ca="1">IF(NOT(ISNUMBER(YB34)),"",IF(YK$11&lt;&gt;"2+",TEXT(YB34,YK$11)&amp;" / ",IF(RIGHT(YB34*100,2)="00",TEXT(YB34,"0"&amp;Stammdaten!$AZ$3&amp;"0")&amp;" / ",YB34&amp;" / ")))</f>
        <v/>
      </c>
      <c r="YL34" s="97" t="str">
        <f t="shared" ca="1" si="243"/>
        <v/>
      </c>
      <c r="YM34" s="97" t="str">
        <f>IF(Geschlecht[[#This Row],[Geschlecht (Skala)]]="","",IF(ISNUMBER(XY34),1,IF(XY34=$A$3,$A$2,"R")))</f>
        <v/>
      </c>
      <c r="YN34" s="97" t="str">
        <f>IF(Geschlecht[[#This Row],[Geschlecht (Skala)]]="","",IF(ISNUMBER(XZ34),1,IF(XZ34=$A$3,$A$2,"R")))</f>
        <v/>
      </c>
      <c r="YO34" s="97" t="str">
        <f>IF(Geschlecht[[#This Row],[Geschlecht (Skala)]]="","",IF(ISNUMBER(YA34),1,IF(YA34=$A$3,$A$2,"R")))</f>
        <v/>
      </c>
      <c r="YP34" s="97" t="str">
        <f>IF(Geschlecht[[#This Row],[Geschlecht (Skala)]]="","",IF(ISNUMBER(YB34),1,IF(YB34=$A$3,$A$2,"R")))</f>
        <v/>
      </c>
      <c r="YQ34" s="97" t="str">
        <f t="shared" si="244"/>
        <v>g</v>
      </c>
      <c r="YR34" s="97" t="str">
        <f t="shared" ca="1" si="245"/>
        <v/>
      </c>
      <c r="YS34" s="97">
        <f t="shared" ca="1" si="246"/>
        <v>1</v>
      </c>
      <c r="YT34" s="97" t="str">
        <f ca="1">IF(OR(Geschlecht[[#This Row],[Geschlecht (Skala)]]="",NOT(ISNUMBER(YG34))),"",YS34)</f>
        <v/>
      </c>
      <c r="YU34" s="97"/>
      <c r="YV34" s="311" t="str">
        <f t="shared" si="247"/>
        <v>D</v>
      </c>
      <c r="YW34" s="302"/>
      <c r="YX34" s="311" t="str">
        <f t="shared" si="248"/>
        <v>D</v>
      </c>
      <c r="YY34" s="302"/>
      <c r="YZ34" s="311" t="str">
        <f t="shared" si="249"/>
        <v>D</v>
      </c>
      <c r="ZA34" s="302"/>
      <c r="ZB34" s="311" t="str">
        <f t="shared" si="250"/>
        <v>D</v>
      </c>
      <c r="ZC34" s="97"/>
      <c r="ZD34" s="97" t="str">
        <f t="shared" ca="1" si="132"/>
        <v/>
      </c>
      <c r="ZE34" s="97"/>
      <c r="ZF34" s="308" t="str">
        <f t="shared" ca="1" si="251"/>
        <v>Zu wenige Werte</v>
      </c>
      <c r="ZH34" s="317" t="s">
        <v>134</v>
      </c>
      <c r="ZJ34" s="91" t="str" cm="1">
        <f t="array" ref="ZJ34">IF(OR(Geschlecht[[#This Row],[Geschlecht (Skala)]]="",ZH34="",ZH34=Stammdaten!$BZ$5),"",REPLACE(INDEX(StdDisziplinen[TabÜberschriftNote],ZH$3),FIND("X",INDEX(StdDisziplinen[TabÜberschriftNote],ZH$3),1),1,Geschlecht[[#This Row],[Geschlecht (Skala)]]))</f>
        <v/>
      </c>
      <c r="ZK34" s="314"/>
      <c r="ZM34" s="315"/>
      <c r="ZN34" s="97" t="str">
        <f>IFERROR(IFERROR(SUBSTITUTE(SchwimmenResultatMin[[#This Row],[Min]],".",",")*1,SUBSTITUTE(SchwimmenResultatMin[[#This Row],[Min]],",",".")*1),"")</f>
        <v/>
      </c>
      <c r="ZO34" s="91" t="e">
        <f>INT(SchwimmenResultatMin[[#This Row],[Resultat]])=SchwimmenResultatMin[[#This Row],[Resultat]]</f>
        <v>#VALUE!</v>
      </c>
      <c r="ZP34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4" s="315"/>
      <c r="ZS34" s="97" t="str">
        <f>IFERROR(IFERROR(SUBSTITUTE(SchwimmenResultatSek[[#This Row],[Sek]],".",",")*1,SUBSTITUTE(SchwimmenResultatSek[[#This Row],[Sek]],",",".")*1),"")</f>
        <v/>
      </c>
      <c r="ZT34" s="108" t="e">
        <f>INT(SchwimmenResultatSek[[#This Row],[Resultat]])=SchwimmenResultatSek[[#This Row],[Resultat]]</f>
        <v>#VALUE!</v>
      </c>
      <c r="ZU34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4" s="97" t="str" cm="1">
        <f t="array" aca="1" ref="ZW34" ca="1">IF(AND(INDIRECT(ZW$2)="",INDIRECT(ZX$2)=""),"",IFERROR((INDIRECT(ZW$2)*$ZW$25)+INDIRECT(ZX$2),""))</f>
        <v/>
      </c>
      <c r="ZX34" s="91" t="str">
        <f ca="1">REPLACE(ZW$4,ZX$6,1,Geschlecht[[#This Row],[Geschlecht (Skala)]])</f>
        <v>Schwimmen_[Resultat]</v>
      </c>
      <c r="ZY34" s="91" t="str">
        <f ca="1">IFERROR(REPLACE($ZX34,FIND(Stammdaten!$V$2,$ZX34,1),LEN(Stammdaten!$V$2),Stammdaten!$BZ$9),"")</f>
        <v>Schwimmen_[Anzeige]</v>
      </c>
      <c r="ZZ34" s="97" t="str" cm="1">
        <f t="array" aca="1" ref="ZZ34" ca="1">IF(INDIRECT(ZW$3)="","",IF(INDIRECT(ZW$3)=0,0,IF(OR(INDIRECT(ZW$1)=$A$2,INDIRECT(ZW$1)=$A$3),$A$3,IFERROR(INDEX(INDIRECT(ZX34),MATCH(INDIRECT(ZW$3),INDIRECT(ZX34),ZY$25)),IFERROR(IF(ZY$25=-1,MAX(INDIRECT(ZX34)),IF(ZY$25=1,MIN(INDIRECT(ZX34)))),"")))))</f>
        <v/>
      </c>
      <c r="AAA34" s="97" t="str" cm="1">
        <f t="array" aca="1" ref="AAA34" ca="1">IF(INDIRECT(ZX$5)=0,0,IF(OR(INDIRECT(ZW$1)=$A$2,INDIRECT(ZW$1)=$A$3),$A$3,IFERROR(INDEX(INDIRECT($ZY34),MATCH(INDIRECT(ZX$5),INDIRECT($ZX34),0)),"")))</f>
        <v/>
      </c>
      <c r="AAC34" s="91" t="str">
        <f ca="1">REPLACE(ZW$6,ZX$6,1,Geschlecht[[#This Row],[Geschlecht (Skala)]])</f>
        <v>Schwimmen_[Note]</v>
      </c>
      <c r="AAD34" s="97" t="str" cm="1">
        <f t="array" aca="1" ref="AAD34" ca="1">IFERROR(INDEX(INDIRECT(AAC34),MATCH(INDIRECT(ZX$5),INDIRECT(ZX34),0)),IF(INDIRECT(ZX$5)=0,1,""))</f>
        <v/>
      </c>
      <c r="AAE34" s="97"/>
      <c r="AAF34" s="96" t="str">
        <f>ZwölfMinLaufHalleResultat[[#This Row],[Resultat]]</f>
        <v/>
      </c>
      <c r="AAG34" s="96"/>
      <c r="AAH34" s="97" t="str">
        <f ca="1">ZwölfMinLaufHalleSkalawert[[#This Row],[Skala-Wert]]</f>
        <v/>
      </c>
      <c r="AAJ34" s="97" t="str">
        <f ca="1">ZwölfMinLaufHalleNote[[#This Row],[Note]]</f>
        <v/>
      </c>
      <c r="AAK34" s="97"/>
      <c r="AAL34" s="96" t="str">
        <f>ZwölfMinLaufimFreienResultat[[#This Row],[Resultat]]</f>
        <v/>
      </c>
      <c r="AAM34" s="96"/>
      <c r="AAN34" s="97" t="str">
        <f ca="1">ZwölfMinLaufimFreienSkalawert[[#This Row],[Skala-Wert]]</f>
        <v/>
      </c>
      <c r="AAP34" s="97" t="str">
        <f ca="1">ZwölfMinLaufimFreienNote[[#This Row],[Note]]</f>
        <v/>
      </c>
      <c r="AAQ34" s="97"/>
      <c r="AAR34" s="307"/>
      <c r="AAS34" s="96" t="str">
        <f>IFERROR(IFERROR(SUBSTITUTE(BeweglichkeitResultat[[#This Row],[Eingabe]],".",",")*1,SUBSTITUTE(BeweglichkeitResultat[[#This Row],[Eingabe]],",",".")*1),"")</f>
        <v/>
      </c>
      <c r="AAT34" s="96" t="e">
        <f>INT(BeweglichkeitResultat[[#This Row],[Resultat]])=BeweglichkeitResultat[[#This Row],[Resultat]]</f>
        <v>#VALUE!</v>
      </c>
      <c r="AAU34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4" s="96"/>
      <c r="AAW34" s="91" t="str" cm="1">
        <f t="array" aca="1" ref="AAW34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4" s="96" t="str">
        <f ca="1">REPLACE(AAW$4,AAX$6,1,Geschlecht[[#This Row],[Geschlecht (Skala)]])</f>
        <v>Beweglichkeit_[Resultat]</v>
      </c>
      <c r="AAY34" s="96" t="str" cm="1">
        <f t="array" aca="1" ref="AAY34" ca="1">IF(OR(INDIRECT(AAW$1)=$A$2,INDIRECT(AAW$1)=$A$3),$A$3,IF(OR(INDIRECT(AAW$2)="",AND(Geschlecht[[#This Row],[Geschlecht (Skala)]]=Stammdaten!$D$7,INDIRECT(AAW$2)&lt;0)),"",IFERROR(INDEX(INDIRECT(AAX34),MATCH(INDIRECT(AAW$3),INDIRECT(AAX34),AAX$25)),IFERROR(IF(AAX$25=-1,MAX(INDIRECT(AAX34)),IF(AAX$25=1,MIN(INDIRECT(AAX34)))),""))))</f>
        <v/>
      </c>
      <c r="AAZ34" s="97" t="str" cm="1">
        <f t="array" aca="1" ref="AAZ34" ca="1">IF(INDIRECT(AAW$1)="","",IF(INDIRECT(AAW$1)=0,0,IF(OR(INDIRECT(AAW$1)=$A$2,INDIRECT(AAW$1)=$A$3),$A$3,IFERROR(INDEX(INDIRECT(AAY34),MATCH(INDIRECT(AAW$3),INDIRECT(AAY34),AAY$27)),IFERROR(IF(AAY$27=-1,MAX(INDIRECT(AAY34)),IF(AAY$27=1,MIN(INDIRECT(AAY34)))),"")))))</f>
        <v/>
      </c>
      <c r="ABA34" s="96" t="str">
        <f ca="1">REPLACE(AAW$6,AAX$6,1,Geschlecht[[#This Row],[Geschlecht (Skala)]])</f>
        <v>Beweglichkeit_[Note]</v>
      </c>
      <c r="ABB34" s="91" t="str" cm="1">
        <f t="array" aca="1" ref="ABB34" ca="1">IFERROR(INDEX(INDIRECT(ABA34),MATCH(INDIRECT(AAW$5),INDIRECT(AAX34),0)),"")</f>
        <v/>
      </c>
      <c r="ABC34" s="97" t="str" cm="1">
        <f t="array" aca="1" ref="ABC34" ca="1">IFERROR(INDEX(INDIRECT(ABB34),MATCH(INDIRECT(AAW$5),INDIRECT(AAY34),0)),"")</f>
        <v/>
      </c>
      <c r="ABD34" s="307"/>
      <c r="ABE34" s="96" t="str">
        <f>IFERROR(IFERROR(SUBSTITUTE(RumpfkraftResultat[[#This Row],[Eingabe]],".",",")*1,SUBSTITUTE(RumpfkraftResultat[[#This Row],[Eingabe]],",",".")*1),"")</f>
        <v/>
      </c>
      <c r="ABF34" s="96" t="e">
        <f>INT(RumpfkraftResultat[[#This Row],[Resultat]])=RumpfkraftResultat[[#This Row],[Resultat]]</f>
        <v>#VALUE!</v>
      </c>
      <c r="ABG34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4" s="96"/>
      <c r="ABI34" s="91" t="str" cm="1">
        <f t="array" aca="1" ref="ABI34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4" s="96" t="str">
        <f ca="1">REPLACE(ABI$4,ABJ$6,1,Geschlecht[[#This Row],[Geschlecht (Skala)]])</f>
        <v>Rumpfkraft_[Resultat]</v>
      </c>
      <c r="ABK34" s="97" t="str" cm="1">
        <f t="array" aca="1" ref="ABK34" ca="1">IF(INDIRECT(ABI$1)="","",IF(OR(INDIRECT(ABI$1)=$A$2,INDIRECT(ABI$1)=$A$3),$A$3,IFERROR(INDEX(INDIRECT(ABJ34),MATCH(INDIRECT(ABI$3),INDIRECT(ABJ34),ABJ$25)),IFERROR(IF(ABJ$25=-1,MAX(INDIRECT(ABJ34)),IF(ABJ$25=1,MIN(INDIRECT(ABJ34)))),""))))</f>
        <v/>
      </c>
      <c r="ABM34" s="91" t="str">
        <f ca="1">REPLACE(ABI$6,ABJ$6,1,Geschlecht[[#This Row],[Geschlecht (Skala)]])</f>
        <v>Rumpfkraft_[Note]</v>
      </c>
      <c r="ABN34" s="97" t="str" cm="1">
        <f t="array" aca="1" ref="ABN34" ca="1">IFERROR(INDEX(INDIRECT(ABM34),MATCH(INDIRECT(ABI$5),INDIRECT(ABJ34),0)),"")</f>
        <v/>
      </c>
      <c r="ABO34" s="97"/>
      <c r="ABP34" s="96" t="str">
        <f>SechzigmLaufResultat[[#This Row],[Resultat]]</f>
        <v/>
      </c>
      <c r="ABQ34" s="96"/>
      <c r="ABR34" s="97" t="str">
        <f ca="1">SechzigmLaufSkalawert[[#This Row],[Skala-Wert]]</f>
        <v/>
      </c>
      <c r="ABT34" s="97" t="str">
        <f ca="1">SechzigmLaufNote[[#This Row],[Note]]</f>
        <v/>
      </c>
      <c r="ABU34" s="97"/>
      <c r="ABV34" s="96" t="str">
        <f>AchtzigmLaufResultat[[#This Row],[Resultat]]</f>
        <v/>
      </c>
      <c r="ABW34" s="96"/>
      <c r="ABX34" s="97" t="str">
        <f ca="1">AchtzigmLaufSkalawert[[#This Row],[Skala-Wert]]</f>
        <v/>
      </c>
      <c r="ABZ34" s="97" t="str">
        <f ca="1">AchtzigmLaufNote[[#This Row],[Note]]</f>
        <v/>
      </c>
      <c r="ACA34" s="97"/>
      <c r="ACB34" s="307"/>
      <c r="ACC34" s="96" t="str">
        <f>IFERROR(IFERROR(SUBSTITUTE(KonditionsparcoursResultat[[#This Row],[Eingabe]],".",",")*1,SUBSTITUTE(KonditionsparcoursResultat[[#This Row],[Eingabe]],",",".")*1),"")</f>
        <v/>
      </c>
      <c r="ACD34" s="96" t="e">
        <f>INT(KonditionsparcoursResultat[[#This Row],[Resultat]])=KonditionsparcoursResultat[[#This Row],[Resultat]]</f>
        <v>#VALUE!</v>
      </c>
      <c r="ACE34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4" s="96"/>
      <c r="ACG34" s="91" t="str" cm="1">
        <f t="array" aca="1" ref="ACG34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4" s="96" t="str">
        <f ca="1">LEFT(Geschlecht[[#This Row],[Geschlecht (Skala)]],1)&amp;ACM$4</f>
        <v>2</v>
      </c>
      <c r="ACI34" s="96" t="str">
        <f t="shared" ca="1" si="133"/>
        <v>Konditionsparcours_2[Resultat]</v>
      </c>
      <c r="ACJ34" s="97" t="str" cm="1">
        <f t="array" aca="1" ref="ACJ34" ca="1">IF(INDIRECT(ACG$1)="","",IF(OR(INDIRECT(ACG$1)=$A$2,INDIRECT(ACG$1)=$A$3),$A$3,IFERROR(INDEX(INDIRECT(ACI34),MATCH(INDIRECT(ACG$3),INDIRECT(ACI34),ACI$25)),IFERROR(IF(ACI$25=-1,MAX(INDIRECT(ACI34)),IF(ACI$25=1,MIN(INDIRECT(ACI34)))),""))))</f>
        <v/>
      </c>
      <c r="ACL34" s="91" t="str">
        <f t="shared" ca="1" si="134"/>
        <v>Konditionsparcours_2[Note]</v>
      </c>
      <c r="ACM34" s="97" t="str" cm="1">
        <f t="array" aca="1" ref="ACM34" ca="1">IFERROR(INDEX(INDIRECT(ACL34),MATCH(INDIRECT(ACG$5),INDIRECT(ACI34),0)),"")</f>
        <v/>
      </c>
      <c r="ACN34" s="102"/>
    </row>
    <row r="35" spans="1:768">
      <c r="A35" s="305">
        <v>8</v>
      </c>
      <c r="B35" s="133"/>
      <c r="C35" s="133"/>
      <c r="E35" s="306"/>
      <c r="G35" s="307"/>
      <c r="H35" s="96" t="str">
        <f>IFERROR(IFERROR(SUBSTITUTE(SechzigmLaufResultat[[#This Row],[Eingabe]],".",",")*1,SUBSTITUTE(SechzigmLaufResultat[[#This Row],[Eingabe]],",",".")*1),"")</f>
        <v/>
      </c>
      <c r="I35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5" s="96"/>
      <c r="K35" s="91" t="str" cm="1">
        <f t="array" aca="1" ref="K35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5" s="96" t="str">
        <f ca="1">LEFT(Geschlecht[[#This Row],[Geschlecht (Skala)]],1)&amp;Q$4</f>
        <v>2</v>
      </c>
      <c r="M35" s="96" t="str">
        <f t="shared" ca="1" si="37"/>
        <v>SechzigmLauf_2[Resultat]</v>
      </c>
      <c r="N35" s="97" t="str" cm="1">
        <f t="array" aca="1" ref="N35" ca="1">IF(INDIRECT(K$1)="","",IF(INDIRECT(K$2)=0,0,IF(OR(INDIRECT(K$1)=$A$2,INDIRECT(K$1)=$A$3),$A$3,IFERROR(INDEX(INDIRECT(M35),MATCH(INDIRECT(K$3),INDIRECT(M35),M$25)),IFERROR(IF(M$25=-1,MAX(INDIRECT(M35)),IF(M$25=1,MIN(INDIRECT(M35)))),"")))))</f>
        <v/>
      </c>
      <c r="P35" s="91" t="str">
        <f t="shared" ca="1" si="38"/>
        <v>SechzigmLauf_2[Note]</v>
      </c>
      <c r="Q35" s="97" t="str" cm="1">
        <f t="array" aca="1" ref="Q35" ca="1">IFERROR(INDEX(INDIRECT(P35),MATCH(INDIRECT(K$5),INDIRECT(M35),0)),IF(INDIRECT(K$5)=0,1,""))</f>
        <v/>
      </c>
      <c r="R35" s="97"/>
      <c r="S35" s="307"/>
      <c r="T35" s="96" t="str">
        <f>IFERROR(IFERROR(SUBSTITUTE(AchtzigmLaufResultat[[#This Row],[Eingabe]],".",",")*1,SUBSTITUTE(AchtzigmLaufResultat[[#This Row],[Eingabe]],",",".")*1),"")</f>
        <v/>
      </c>
      <c r="U35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5" s="96"/>
      <c r="W35" s="91" t="str" cm="1">
        <f t="array" aca="1" ref="W35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5" s="96" t="str">
        <f ca="1">LEFT(Geschlecht[[#This Row],[Geschlecht (Skala)]],1)&amp;AC$4</f>
        <v>2</v>
      </c>
      <c r="Y35" s="96" t="str">
        <f t="shared" ca="1" si="39"/>
        <v>AchtzigmLauf_2[Resultat]</v>
      </c>
      <c r="Z35" s="97" t="str" cm="1">
        <f t="array" aca="1" ref="Z35" ca="1">IF(INDIRECT(W$1)="","",IF(INDIRECT(W$2)=0,0,IF(OR(INDIRECT(W$1)=$A$2,INDIRECT(W$1)=$A$3),$A$3,IFERROR(INDEX(INDIRECT(Y35),MATCH(INDIRECT(W$3),INDIRECT(Y35),Y$25)),IFERROR(IF(Y$25=-1,MAX(INDIRECT(Y35)),IF(Y$25=1,MIN(INDIRECT(Y35)))),"")))))</f>
        <v/>
      </c>
      <c r="AB35" s="91" t="str">
        <f t="shared" ca="1" si="40"/>
        <v>AchtzigmLauf_2[Note]</v>
      </c>
      <c r="AC35" s="97" t="str" cm="1">
        <f t="array" aca="1" ref="AC35" ca="1">IFERROR(INDEX(INDIRECT(AB35),MATCH(INDIRECT(W$5),INDIRECT(Y35),0)),IF(INDIRECT(W$5)=0,1,""))</f>
        <v/>
      </c>
      <c r="AD35" s="97"/>
      <c r="AE35" s="307"/>
      <c r="AF35" s="96" t="str">
        <f>IFERROR(IFERROR(SUBSTITUTE(ZwölfMinLaufHalleResultat[[#This Row],[Eingabe]],".",",")*1,SUBSTITUTE(ZwölfMinLaufHalleResultat[[#This Row],[Eingabe]],",",".")*1),"")</f>
        <v/>
      </c>
      <c r="AG35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5" s="96"/>
      <c r="AI35" s="91" t="str" cm="1">
        <f t="array" aca="1" ref="AI35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5" s="96" t="str">
        <f ca="1">LEFT(Geschlecht[[#This Row],[Geschlecht (Skala)]],1)&amp;AO$4</f>
        <v>2</v>
      </c>
      <c r="AK35" s="96" t="str">
        <f t="shared" ca="1" si="41"/>
        <v>ZwölfMinLaufHalle_2[Resultat]</v>
      </c>
      <c r="AL35" s="97" t="str" cm="1">
        <f t="array" aca="1" ref="AL35" ca="1">IF(INDIRECT(AI$1)="","",IF(INDIRECT(AI$2)=0,0,IF(OR(INDIRECT(AI$1)=$A$2,INDIRECT(AI$1)=$A$3),$A$3,IFERROR(INDEX(INDIRECT(AK35),MATCH(INDIRECT(AI$3),INDIRECT(AK35),AK$25)),IFERROR(IF(AK$25=-1,MAX(INDIRECT(AK35)),IF(AK$25=1,MIN(INDIRECT(AK35)))),"")))))</f>
        <v/>
      </c>
      <c r="AN35" s="91" t="str">
        <f t="shared" ca="1" si="42"/>
        <v>ZwölfMinLaufHalle_2[Note]</v>
      </c>
      <c r="AO35" s="97" t="str" cm="1">
        <f t="array" aca="1" ref="AO35" ca="1">IFERROR(INDEX(INDIRECT(AN35),MATCH(INDIRECT(AI$5),INDIRECT(AK35),0)),IF(INDIRECT(AI$5)=0,1,""))</f>
        <v/>
      </c>
      <c r="AP35" s="97"/>
      <c r="AQ35" s="307"/>
      <c r="AR35" s="96" t="str">
        <f>IFERROR(IFERROR(SUBSTITUTE(ZwölfMinLaufimFreienResultat[[#This Row],[Eingabe]],".",",")*1,SUBSTITUTE(ZwölfMinLaufimFreienResultat[[#This Row],[Eingabe]],",",".")*1),"")</f>
        <v/>
      </c>
      <c r="AS35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5" s="96"/>
      <c r="AU35" s="91" t="str" cm="1">
        <f t="array" aca="1" ref="AU35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5" s="96" t="str">
        <f ca="1">LEFT(Geschlecht[[#This Row],[Geschlecht (Skala)]],1)&amp;BA$4</f>
        <v>2</v>
      </c>
      <c r="AW35" s="96" t="str">
        <f t="shared" ca="1" si="43"/>
        <v>ZwölfMinLaufimFreien_2[Resultat]</v>
      </c>
      <c r="AX35" s="97" t="str" cm="1">
        <f t="array" aca="1" ref="AX35" ca="1">IF(INDIRECT(AU$1)="","",IF(INDIRECT(AU$2)=0,0,IF(OR(INDIRECT(AU$1)=$A$2,INDIRECT(AU$1)=$A$3),$A$3,IFERROR(INDEX(INDIRECT(AW35),MATCH(INDIRECT(AU$3),INDIRECT(AW35),AW$25)),IFERROR(IF(AW$25=-1,MAX(INDIRECT(AW35)),IF(AW$25=1,MIN(INDIRECT(AW35)))),"")))))</f>
        <v/>
      </c>
      <c r="AZ35" s="91" t="str">
        <f t="shared" ca="1" si="44"/>
        <v>ZwölfMinLaufimFreien_2[Note]</v>
      </c>
      <c r="BA35" s="97" t="str" cm="1">
        <f t="array" aca="1" ref="BA35" ca="1">IFERROR(INDEX(INDIRECT(AZ35),MATCH(INDIRECT(AU$5),INDIRECT(AW35),0)),IF(INDIRECT(AU$5)=0,1,""))</f>
        <v/>
      </c>
      <c r="BB35" s="97"/>
      <c r="BC35" s="307"/>
      <c r="BD35" s="96" t="str">
        <f>IFERROR(IFERROR(SUBSTITUTE(HochsprungResultat[[#This Row],[Eingabe]],".",",")*1,SUBSTITUTE(HochsprungResultat[[#This Row],[Eingabe]],",",".")*1),"")</f>
        <v/>
      </c>
      <c r="BE35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5" s="96"/>
      <c r="BG35" s="91" t="str" cm="1">
        <f t="array" aca="1" ref="BG35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5" s="96" t="str">
        <f ca="1">LEFT(Geschlecht[[#This Row],[Geschlecht (Skala)]],1)&amp;BM$4</f>
        <v>2</v>
      </c>
      <c r="BI35" s="96" t="str">
        <f t="shared" ca="1" si="45"/>
        <v>Hochsprung_2[Resultat]</v>
      </c>
      <c r="BJ35" s="97" t="str" cm="1">
        <f t="array" aca="1" ref="BJ35" ca="1">IF(INDIRECT(BG$1)="","",IF(INDIRECT(BG$2)=0,0,IF(OR(INDIRECT(BG$1)=$A$2,INDIRECT(BG$1)=$A$3),$A$3,IFERROR(INDEX(INDIRECT(BI35),MATCH(INDIRECT(BG$3),INDIRECT(BI35),BI$25)),IFERROR(IF(BI$25=-1,MAX(INDIRECT(BI35)),IF(BI$25=1,MIN(INDIRECT(BI35)))),"")))))</f>
        <v/>
      </c>
      <c r="BL35" s="91" t="str">
        <f t="shared" ca="1" si="46"/>
        <v>Hochsprung_2[Note]</v>
      </c>
      <c r="BM35" s="97" t="str" cm="1">
        <f t="array" aca="1" ref="BM35" ca="1">IFERROR(INDEX(INDIRECT(BL35),MATCH(INDIRECT(BG$5),INDIRECT(BI35),0)),IF(INDIRECT(BG$5)=0,1,""))</f>
        <v/>
      </c>
      <c r="BN35" s="97"/>
      <c r="BO35" s="307"/>
      <c r="BP35" s="96" t="str">
        <f>IFERROR(IFERROR(SUBSTITUTE(WeitsprungResultat[[#This Row],[Eingabe]],".",",")*1,SUBSTITUTE(WeitsprungResultat[[#This Row],[Eingabe]],",",".")*1),"")</f>
        <v/>
      </c>
      <c r="BQ35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5" s="96"/>
      <c r="BS35" s="91" t="str" cm="1">
        <f t="array" aca="1" ref="BS35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5" s="96" t="str">
        <f ca="1">LEFT(Geschlecht[[#This Row],[Geschlecht (Skala)]],1)&amp;BY$4</f>
        <v>2</v>
      </c>
      <c r="BU35" s="96" t="str">
        <f t="shared" ca="1" si="47"/>
        <v>Weitsprung_2[Resultat]</v>
      </c>
      <c r="BV35" s="97" t="str" cm="1">
        <f t="array" aca="1" ref="BV35" ca="1">IF(INDIRECT(BS$1)="","",IF(INDIRECT(BS$2)=0,0,IF(OR(INDIRECT(BS$1)=$A$2,INDIRECT(BS$1)=$A$3),$A$3,IFERROR(INDEX(INDIRECT(BU35),MATCH(INDIRECT(BS$3),INDIRECT(BU35),BU$25)),IFERROR(IF(BU$25=-1,MAX(INDIRECT(BU35)),IF(BU$25=1,MIN(INDIRECT(BU35)))),"")))))</f>
        <v/>
      </c>
      <c r="BX35" s="91" t="str">
        <f t="shared" ca="1" si="48"/>
        <v>Weitsprung_2[Note]</v>
      </c>
      <c r="BY35" s="97" t="str" cm="1">
        <f t="array" aca="1" ref="BY35" ca="1">IFERROR(INDEX(INDIRECT(BX35),MATCH(INDIRECT(BS$5),INDIRECT(BU35),0)),IF(INDIRECT(BS$5)=0,1,""))</f>
        <v/>
      </c>
      <c r="BZ35" s="97"/>
      <c r="CA35" s="307"/>
      <c r="CB35" s="96" t="str">
        <f>IFERROR(IFERROR(SUBSTITUTE(BallwurfResultat[[#This Row],[Eingabe]],".",",")*1,SUBSTITUTE(BallwurfResultat[[#This Row],[Eingabe]],",",".")*1),"")</f>
        <v/>
      </c>
      <c r="CC35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5" s="96"/>
      <c r="CE35" s="91" t="str" cm="1">
        <f t="array" aca="1" ref="CE35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5" s="96" t="str">
        <f ca="1">LEFT(Geschlecht[[#This Row],[Geschlecht (Skala)]],1)&amp;CK$4</f>
        <v>2</v>
      </c>
      <c r="CG35" s="96" t="str">
        <f t="shared" ca="1" si="49"/>
        <v>Ballwurf_2[Resultat]</v>
      </c>
      <c r="CH35" s="97" t="str" cm="1">
        <f t="array" aca="1" ref="CH35" ca="1">IF(INDIRECT(CE$1)="","",IF(INDIRECT(CE$2)=0,0,IF(OR(INDIRECT(CE$1)=$A$2,INDIRECT(CE$1)=$A$3),$A$3,IFERROR(INDEX(INDIRECT(CG35),MATCH(INDIRECT(CE$3),INDIRECT(CG35),CG$25)),IFERROR(IF(CG$25=-1,MAX(INDIRECT(CG35)),IF(CG$25=1,MIN(INDIRECT(CG35)))),"")))))</f>
        <v/>
      </c>
      <c r="CJ35" s="91" t="str">
        <f t="shared" ca="1" si="50"/>
        <v>Ballwurf_2[Note]</v>
      </c>
      <c r="CK35" s="97" t="str" cm="1">
        <f t="array" aca="1" ref="CK35" ca="1">IFERROR(INDEX(INDIRECT(CJ35),MATCH(INDIRECT(CE$5),INDIRECT(CG35),0)),IF(INDIRECT(CE$5)=0,1,""))</f>
        <v/>
      </c>
      <c r="CL35" s="97"/>
      <c r="CM35" s="307"/>
      <c r="CN35" s="96" t="str">
        <f>IFERROR(IFERROR(SUBSTITUTE(KugelstossenResultat[[#This Row],[Eingabe]],".",",")*1,SUBSTITUTE(KugelstossenResultat[[#This Row],[Eingabe]],",",".")*1),"")</f>
        <v/>
      </c>
      <c r="CO35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5" s="96"/>
      <c r="CQ35" s="91" t="str" cm="1">
        <f t="array" aca="1" ref="CQ35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5" s="96" t="str">
        <f ca="1">LEFT(Geschlecht[[#This Row],[Geschlecht (Skala)]],1)&amp;CW$4</f>
        <v>2</v>
      </c>
      <c r="CS35" s="96" t="str">
        <f t="shared" ca="1" si="51"/>
        <v>Kugelstossen_2[Resultat]</v>
      </c>
      <c r="CT35" s="97" t="str" cm="1">
        <f t="array" aca="1" ref="CT35" ca="1">IF(INDIRECT(CQ$1)="","",IF(INDIRECT(CQ$2)=0,0,IF(OR(INDIRECT(CQ$1)=$A$2,INDIRECT(CQ$1)=$A$3),$A$3,IFERROR(INDEX(INDIRECT(CS35),MATCH(INDIRECT(CQ$3),INDIRECT(CS35),CS$25)),IFERROR(IF(CS$25=-1,MAX(INDIRECT(CS35)),IF(CS$25=1,MIN(INDIRECT(CS35)))),"")))))</f>
        <v/>
      </c>
      <c r="CV35" s="91" t="str">
        <f t="shared" ca="1" si="52"/>
        <v>Kugelstossen_2[Note]</v>
      </c>
      <c r="CW35" s="97" t="str" cm="1">
        <f t="array" aca="1" ref="CW35" ca="1">IFERROR(INDEX(INDIRECT(CV35),MATCH(INDIRECT(CQ$5),INDIRECT(CS35),0)),IF(INDIRECT(CQ$5)=0,1,""))</f>
        <v/>
      </c>
      <c r="CX35" s="97"/>
      <c r="CY35" s="307"/>
      <c r="CZ35" s="96" t="str">
        <f>IFERROR(IFERROR(SUBSTITUTE(SpeerwurfResultat[[#This Row],[Eingabe]],".",",")*1,SUBSTITUTE(SpeerwurfResultat[[#This Row],[Eingabe]],",",".")*1),"")</f>
        <v/>
      </c>
      <c r="DA35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5" s="96"/>
      <c r="DC35" s="91" t="str" cm="1">
        <f t="array" aca="1" ref="DC35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5" s="96" t="str">
        <f ca="1">LEFT(Geschlecht[[#This Row],[Geschlecht (Skala)]],1)&amp;DI$4</f>
        <v>2</v>
      </c>
      <c r="DE35" s="96" t="str">
        <f t="shared" ca="1" si="53"/>
        <v>Speerwurf_2[Resultat]</v>
      </c>
      <c r="DF35" s="97" t="str" cm="1">
        <f t="array" aca="1" ref="DF35" ca="1">IF(INDIRECT(DC$1)="","",IF(INDIRECT(DC$2)=0,0,IF(OR(INDIRECT(DC$1)=$A$2,INDIRECT(DC$1)=$A$3),$A$3,IFERROR(INDEX(INDIRECT(DE35),MATCH(INDIRECT(DC$3),INDIRECT(DE35),DE$25)),IFERROR(IF(DE$25=-1,MAX(INDIRECT(DE35)),IF(DE$25=1,MIN(INDIRECT(DE35)))),"")))))</f>
        <v/>
      </c>
      <c r="DH35" s="91" t="str">
        <f t="shared" ca="1" si="54"/>
        <v>Speerwurf_2[Note]</v>
      </c>
      <c r="DI35" s="97" t="str" cm="1">
        <f t="array" aca="1" ref="DI35" ca="1">IFERROR(INDEX(INDIRECT(DH35),MATCH(INDIRECT(DC$5),INDIRECT(DE35),0)),IF(INDIRECT(DC$5)=0,1,""))</f>
        <v/>
      </c>
      <c r="DJ35" s="97"/>
      <c r="DK35" s="97" t="str" cm="1">
        <f t="array" aca="1" ref="DK35" ca="1">INDIRECT(DK$5)</f>
        <v/>
      </c>
      <c r="DL35" s="97" t="str" cm="1">
        <f t="array" aca="1" ref="DL35" ca="1">INDIRECT(DL$5)</f>
        <v/>
      </c>
      <c r="DM35" s="97" t="str" cm="1">
        <f t="array" aca="1" ref="DM35" ca="1">INDIRECT(DM$5)</f>
        <v/>
      </c>
      <c r="DN35" s="97" t="str" cm="1">
        <f t="array" aca="1" ref="DN35" ca="1">INDIRECT(DN$5)</f>
        <v/>
      </c>
      <c r="DO35" s="97" t="str">
        <f t="shared" ca="1" si="135"/>
        <v>Sprintdisziplinen nicht durchgeführt</v>
      </c>
      <c r="DP35" s="97" t="str">
        <f t="shared" ca="1" si="136"/>
        <v/>
      </c>
      <c r="DQ35" s="108">
        <f t="shared" ca="1" si="137"/>
        <v>0</v>
      </c>
      <c r="DR35" s="108">
        <f t="shared" ca="1" si="138"/>
        <v>0</v>
      </c>
      <c r="DS35" s="108" t="str">
        <f t="shared" ca="1" si="139"/>
        <v/>
      </c>
      <c r="DT35" s="97" t="str">
        <f t="shared" ca="1" si="140"/>
        <v>Sprintdisziplinen nicht durchgeführt</v>
      </c>
      <c r="DU35" s="97" t="str">
        <f t="shared" ca="1" si="141"/>
        <v/>
      </c>
      <c r="DV35" s="97" t="str" cm="1">
        <f t="array" aca="1" ref="DV35" ca="1">IFERROR(IF(INDIRECT(INDEX(INDIRECT(DV$5),MATCH(DT35,INDIRECT(DV$4),0)))&lt;&gt;"",INDEX(INDIRECT(DV$5),MATCH(DT35,INDIRECT(DV$4),0)),INDEX(INDIRECT(DV$6),MATCH(DT35,INDIRECT(DV$4),0))),"")</f>
        <v/>
      </c>
      <c r="DW35" s="97" t="str">
        <f t="shared" ca="1" si="142"/>
        <v/>
      </c>
      <c r="DX35" s="97" t="str" cm="1">
        <f t="array" aca="1" ref="DX35" ca="1">IFERROR(INDIRECT(DV35),IF(NOT(ISERROR(FIND(Stammdaten!$CC$3,DT35,1))),$A$2,""))</f>
        <v/>
      </c>
      <c r="DY35" s="97" t="str">
        <f ca="1">IF(DX35="","",IF(AND(DU35=Stammdaten!$BX$20,DW35="0",DX35=1),SUBSTITUTE(TEXT(DX35,DW35)&amp;" "&amp;LEFT(DU35,LEN(DU35)-1),".",","),SUBSTITUTE(TEXT(DX35,DW35)&amp;" "&amp;DU35,".",",")))</f>
        <v/>
      </c>
      <c r="DZ35" s="97" t="str">
        <f t="shared" ca="1" si="55"/>
        <v/>
      </c>
      <c r="EA35" s="97" t="str" cm="1">
        <f t="array" aca="1" ref="EA35" ca="1">IFERROR(LEFT(INDIRECT(DZ35),1)&amp;"]","")</f>
        <v/>
      </c>
      <c r="EB35" s="97" t="str">
        <f t="shared" ca="1" si="56"/>
        <v/>
      </c>
      <c r="EC35" s="97" t="str">
        <f ca="1">IFERROR(LEFT(DT35,FIND(Stammdaten!$CA$4,DT35,1)-2),IFERROR(LEFT(DT35,FIND(Stammdaten!$CC$3,DT35,1)-2),DT35))</f>
        <v>Sprintdisziplinen</v>
      </c>
      <c r="ED35" s="97" t="str">
        <f ca="1">IF(NOT(ISERROR(FIND(Stammdaten!$CA$4,DT35,1))),Stammdaten!$CA$4,IF(EE35&lt;&gt;Stammdaten!$CC$3,EB35,""))</f>
        <v>nicht durchgeführt</v>
      </c>
      <c r="EE35" s="91" t="str">
        <f ca="1">IF(DX35=$A$2,Stammdaten!$CC$3,DY35)</f>
        <v/>
      </c>
      <c r="EF35" s="97" t="str" cm="1">
        <f t="array" aca="1" ref="EF35" ca="1">INDIRECT(EF$5)</f>
        <v/>
      </c>
      <c r="EG35" s="97" t="str" cm="1">
        <f t="array" aca="1" ref="EG35" ca="1">INDIRECT(EG$5)</f>
        <v/>
      </c>
      <c r="EH35" s="97" t="str" cm="1">
        <f t="array" aca="1" ref="EH35" ca="1">INDIRECT(EH$5)</f>
        <v/>
      </c>
      <c r="EI35" s="97" t="str" cm="1">
        <f t="array" aca="1" ref="EI35" ca="1">INDIRECT(EI$5)</f>
        <v/>
      </c>
      <c r="EJ35" s="97" t="str">
        <f t="shared" ca="1" si="143"/>
        <v>Ausdauerdisziplinen nicht durchgeführt</v>
      </c>
      <c r="EK35" s="97" t="str">
        <f t="shared" ca="1" si="144"/>
        <v/>
      </c>
      <c r="EL35" s="108">
        <f t="shared" ca="1" si="145"/>
        <v>0</v>
      </c>
      <c r="EM35" s="108">
        <f t="shared" ca="1" si="146"/>
        <v>0</v>
      </c>
      <c r="EN35" s="108" t="str">
        <f t="shared" ca="1" si="147"/>
        <v/>
      </c>
      <c r="EO35" s="97" t="str">
        <f t="shared" ca="1" si="148"/>
        <v>Ausdauerdisziplinen nicht durchgeführt</v>
      </c>
      <c r="EP35" s="97" t="str">
        <f t="shared" ca="1" si="149"/>
        <v/>
      </c>
      <c r="EQ35" s="97" t="str" cm="1">
        <f t="array" aca="1" ref="EQ35" ca="1">IFERROR(IF(INDIRECT(INDEX(INDIRECT(EQ$5),MATCH(EO35,INDIRECT(EQ$4),0)))&lt;&gt;"",INDEX(INDIRECT(EQ$5),MATCH(EO35,INDIRECT(EQ$4),0)),INDEX(INDIRECT(EQ$6),MATCH(EO35,INDIRECT(EQ$4),0))),"")</f>
        <v/>
      </c>
      <c r="ER35" s="97" t="str">
        <f t="shared" ca="1" si="150"/>
        <v/>
      </c>
      <c r="ES35" s="97" t="str" cm="1">
        <f t="array" aca="1" ref="ES35" ca="1">IFERROR(INDIRECT(EQ35),IF(NOT(ISERROR(FIND(Stammdaten!$CC$3,EO35,1))),$A$2,""))</f>
        <v/>
      </c>
      <c r="ET35" s="97" t="str">
        <f ca="1">IF(ES35="","",IF(AND(EP35=Stammdaten!$BX$20,ER35="0",ES35=1),SUBSTITUTE(TEXT(ES35,ER35)&amp;" "&amp;LEFT(EP35,LEN(EP35)-1),".",","),SUBSTITUTE(TEXT(ES35,ER35)&amp;" "&amp;EP35,".",",")))</f>
        <v/>
      </c>
      <c r="EU35" s="97" t="str">
        <f t="shared" ca="1" si="57"/>
        <v/>
      </c>
      <c r="EV35" s="97" t="str" cm="1">
        <f t="array" aca="1" ref="EV35" ca="1">IFERROR(LEFT(INDIRECT(EU35),1)&amp;"]","")</f>
        <v/>
      </c>
      <c r="EW35" s="97" t="str">
        <f t="shared" ca="1" si="58"/>
        <v/>
      </c>
      <c r="EX35" s="97" t="str">
        <f ca="1">IFERROR(LEFT(EO35,FIND(Stammdaten!$CA$4,EO35,1)-2),IFERROR(LEFT(EO35,FIND(Stammdaten!$CC$3,EO35,1)-2),EO35))</f>
        <v>Ausdauerdisziplinen</v>
      </c>
      <c r="EY35" s="97" t="str">
        <f ca="1">IF(NOT(ISERROR(FIND(Stammdaten!$CA$4,EO35,1))),Stammdaten!$CA$4,IF(EZ35&lt;&gt;Stammdaten!$CC$3,EW35,""))</f>
        <v>nicht durchgeführt</v>
      </c>
      <c r="EZ35" s="91" t="str">
        <f ca="1">IF(ES35=$A$2,Stammdaten!$CC$3,ET35)</f>
        <v/>
      </c>
      <c r="FA35" s="97" t="str" cm="1">
        <f t="array" aca="1" ref="FA35" ca="1">INDIRECT(FA$5)</f>
        <v/>
      </c>
      <c r="FB35" s="97" t="str" cm="1">
        <f t="array" aca="1" ref="FB35" ca="1">INDIRECT(FB$5)</f>
        <v/>
      </c>
      <c r="FC35" s="97" t="str" cm="1">
        <f t="array" aca="1" ref="FC35" ca="1">INDIRECT(FC$5)</f>
        <v/>
      </c>
      <c r="FD35" s="97" t="str" cm="1">
        <f t="array" aca="1" ref="FD35" ca="1">INDIRECT(FD$5)</f>
        <v/>
      </c>
      <c r="FE35" s="97" t="str">
        <f t="shared" ca="1" si="151"/>
        <v>Sprungdisziplinen nicht durchgeführt</v>
      </c>
      <c r="FF35" s="97" t="str">
        <f t="shared" ca="1" si="152"/>
        <v/>
      </c>
      <c r="FG35" s="108">
        <f t="shared" ca="1" si="153"/>
        <v>0</v>
      </c>
      <c r="FH35" s="108">
        <f t="shared" ca="1" si="154"/>
        <v>0</v>
      </c>
      <c r="FI35" s="108" t="str">
        <f t="shared" ca="1" si="155"/>
        <v/>
      </c>
      <c r="FJ35" s="97" t="str">
        <f t="shared" ca="1" si="156"/>
        <v>Sprungdisziplinen nicht durchgeführt</v>
      </c>
      <c r="FK35" s="97" t="str">
        <f t="shared" ca="1" si="157"/>
        <v/>
      </c>
      <c r="FL35" s="97" t="str" cm="1">
        <f t="array" aca="1" ref="FL35" ca="1">IFERROR(IF(INDIRECT(INDEX(INDIRECT(FL$5),MATCH(FJ35,INDIRECT(FL$4),0)))&lt;&gt;"",INDEX(INDIRECT(FL$5),MATCH(FJ35,INDIRECT(FL$4),0)),INDEX(INDIRECT(FL$6),MATCH(FJ35,INDIRECT(FL$4),0))),"")</f>
        <v/>
      </c>
      <c r="FM35" s="97" t="str">
        <f t="shared" ca="1" si="158"/>
        <v/>
      </c>
      <c r="FN35" s="97" t="str" cm="1">
        <f t="array" aca="1" ref="FN35" ca="1">IFERROR(INDIRECT(FL35),IF(NOT(ISERROR(FIND(Stammdaten!$CC$3,FJ35,1))),$A$2,""))</f>
        <v/>
      </c>
      <c r="FO35" s="97" t="str">
        <f ca="1">IF(FN35="","",IF(AND(FK35=Stammdaten!$BX$20,FM35="0",FN35=1),SUBSTITUTE(TEXT(FN35,FM35)&amp;" "&amp;LEFT(FK35,LEN(FK35)-1),".",","),SUBSTITUTE(TEXT(FN35,FM35)&amp;" "&amp;FK35,".",",")))</f>
        <v/>
      </c>
      <c r="FP35" s="97" t="str">
        <f t="shared" ca="1" si="59"/>
        <v/>
      </c>
      <c r="FQ35" s="97" t="str" cm="1">
        <f t="array" aca="1" ref="FQ35" ca="1">IFERROR(LEFT(INDIRECT(FP35),1)&amp;"]","")</f>
        <v/>
      </c>
      <c r="FR35" s="97" t="str">
        <f t="shared" ca="1" si="60"/>
        <v/>
      </c>
      <c r="FS35" s="97" t="str">
        <f ca="1">IFERROR(LEFT(FJ35,FIND(Stammdaten!$CA$4,FJ35,1)-2),IFERROR(LEFT(FJ35,FIND(Stammdaten!$CC$3,FJ35,1)-2),FJ35))</f>
        <v>Sprungdisziplinen</v>
      </c>
      <c r="FT35" s="97" t="str">
        <f ca="1">IF(NOT(ISERROR(FIND(Stammdaten!$CA$4,FJ35,1))),Stammdaten!$CA$4,IF(FU35&lt;&gt;Stammdaten!$CC$3,FR35,""))</f>
        <v>nicht durchgeführt</v>
      </c>
      <c r="FU35" s="91" t="str">
        <f ca="1">IF(FN35=$A$2,Stammdaten!$CC$3,FO35)</f>
        <v/>
      </c>
      <c r="FV35" s="97" t="str" cm="1">
        <f t="array" aca="1" ref="FV35" ca="1">INDIRECT(FV$5)</f>
        <v/>
      </c>
      <c r="FW35" s="97" t="str" cm="1">
        <f t="array" aca="1" ref="FW35" ca="1">INDIRECT(FW$5)</f>
        <v/>
      </c>
      <c r="FX35" s="97" t="str" cm="1">
        <f t="array" aca="1" ref="FX35" ca="1">INDIRECT(FX$5)</f>
        <v/>
      </c>
      <c r="FY35" s="97" t="str" cm="1">
        <f t="array" aca="1" ref="FY35" ca="1">INDIRECT(FY$5)</f>
        <v/>
      </c>
      <c r="FZ35" s="97" t="str" cm="1">
        <f t="array" aca="1" ref="FZ35" ca="1">INDIRECT(FZ$5)</f>
        <v/>
      </c>
      <c r="GA35" s="97" t="str" cm="1">
        <f t="array" aca="1" ref="GA35" ca="1">INDIRECT(GA$5)</f>
        <v/>
      </c>
      <c r="GB35" s="97" t="str">
        <f t="shared" ca="1" si="159"/>
        <v>Wurfdisziplinen nicht durchgeführt</v>
      </c>
      <c r="GC35" s="97" t="str">
        <f t="shared" ca="1" si="160"/>
        <v/>
      </c>
      <c r="GD35" s="108">
        <f t="shared" ca="1" si="161"/>
        <v>0</v>
      </c>
      <c r="GE35" s="108">
        <f t="shared" ca="1" si="162"/>
        <v>0</v>
      </c>
      <c r="GF35" s="108" t="str">
        <f t="shared" ca="1" si="163"/>
        <v/>
      </c>
      <c r="GG35" s="97" t="str">
        <f t="shared" ca="1" si="164"/>
        <v>Wurfdisziplinen nicht durchgeführt</v>
      </c>
      <c r="GH35" s="97" t="str">
        <f t="shared" ca="1" si="165"/>
        <v/>
      </c>
      <c r="GI35" s="97" t="str" cm="1">
        <f t="array" aca="1" ref="GI35" ca="1">IFERROR(IF(INDIRECT(INDEX(INDIRECT(GI$5),MATCH(GG35,INDIRECT(GI$4),0)))&lt;&gt;"",INDEX(INDIRECT(GI$5),MATCH(GG35,INDIRECT(GI$4),0)),INDEX(INDIRECT(GI$6),MATCH(GG35,INDIRECT(GI$4),0))),"")</f>
        <v/>
      </c>
      <c r="GJ35" s="97" t="str">
        <f t="shared" ca="1" si="166"/>
        <v/>
      </c>
      <c r="GK35" s="97" t="str" cm="1">
        <f t="array" aca="1" ref="GK35" ca="1">IFERROR(INDIRECT(GI35),IF(NOT(ISERROR(FIND(Stammdaten!$CC$3,GG35,1))),$A$2,""))</f>
        <v/>
      </c>
      <c r="GL35" s="97" t="str">
        <f ca="1">IF(GK35="","",IF(AND(GH35=Stammdaten!$BX$20,GJ35="0",GK35=1),SUBSTITUTE(TEXT(GK35,GJ35)&amp;" "&amp;LEFT(GH35,LEN(GH35)-1),".",","),SUBSTITUTE(TEXT(GK35,GJ35)&amp;" "&amp;GH35,".",",")))</f>
        <v/>
      </c>
      <c r="GM35" s="97" t="str">
        <f t="shared" ca="1" si="61"/>
        <v/>
      </c>
      <c r="GN35" s="97" t="str" cm="1">
        <f t="array" aca="1" ref="GN35" ca="1">IFERROR(LEFT(INDIRECT(GM35),1)&amp;"]","")</f>
        <v/>
      </c>
      <c r="GO35" s="97" t="str">
        <f t="shared" ca="1" si="62"/>
        <v/>
      </c>
      <c r="GP35" s="97" t="str">
        <f ca="1">IFERROR(LEFT(GG35,FIND(Stammdaten!$CA$4,GG35,1)-2),IFERROR(LEFT(GG35,FIND(Stammdaten!$CC$3,GG35,1)-2),GG35))</f>
        <v>Wurfdisziplinen</v>
      </c>
      <c r="GQ35" s="97" t="str">
        <f ca="1">IF(NOT(ISERROR(FIND(Stammdaten!$CA$4,GG35,1))),Stammdaten!$CA$4,IF(GR35&lt;&gt;Stammdaten!$CC$3,GO35,""))</f>
        <v>nicht durchgeführt</v>
      </c>
      <c r="GR35" s="91" t="str">
        <f ca="1">IF(GK35=$A$2,Stammdaten!$CC$3,GL35)</f>
        <v/>
      </c>
      <c r="GS35" s="97" t="str">
        <f t="shared" ca="1" si="63"/>
        <v/>
      </c>
      <c r="GT35" s="97" t="str">
        <f t="shared" ca="1" si="64"/>
        <v/>
      </c>
      <c r="GU35" s="97" t="str">
        <f t="shared" ca="1" si="65"/>
        <v/>
      </c>
      <c r="GV35" s="97" t="str">
        <f t="shared" ca="1" si="66"/>
        <v/>
      </c>
      <c r="GW35" s="97">
        <f t="shared" ca="1" si="167"/>
        <v>0</v>
      </c>
      <c r="GX35" s="108">
        <f t="shared" ca="1" si="168"/>
        <v>0</v>
      </c>
      <c r="GY35" s="108">
        <f t="shared" ca="1" si="169"/>
        <v>0</v>
      </c>
      <c r="GZ35" s="108" t="str">
        <f t="shared" ca="1" si="170"/>
        <v/>
      </c>
      <c r="HA35" s="97" t="str">
        <f ca="1">IF(GZ35="",Stammdaten!$BZ$1,IF(AND(GX35=0,GY35&gt;=GZ$25),$A$3,ROUND(SUM(GW35/GZ35)/HA$25,0)*HA$25))</f>
        <v>Zu wenige Werte</v>
      </c>
      <c r="HB35" s="108">
        <f t="shared" ca="1" si="171"/>
        <v>6</v>
      </c>
      <c r="HC35" s="97" t="str">
        <f t="shared" ca="1" si="172"/>
        <v/>
      </c>
      <c r="HD35" s="97" t="str">
        <f t="shared" ca="1" si="173"/>
        <v/>
      </c>
      <c r="HE35" s="97" t="str">
        <f t="shared" ca="1" si="174"/>
        <v/>
      </c>
      <c r="HF35" s="97" t="str">
        <f t="shared" ca="1" si="175"/>
        <v/>
      </c>
      <c r="HG35" s="97" t="str">
        <f t="shared" ca="1" si="176"/>
        <v/>
      </c>
      <c r="HH35" s="97" t="str">
        <f t="shared" ca="1" si="177"/>
        <v>g</v>
      </c>
      <c r="HI35" s="97" t="str">
        <f t="shared" ca="1" si="178"/>
        <v/>
      </c>
      <c r="HJ35" s="97">
        <f t="shared" ca="1" si="179"/>
        <v>1</v>
      </c>
      <c r="HK35" s="97" t="str">
        <f ca="1">IF(OR(Geschlecht[[#This Row],[Geschlecht (Skala)]]="",NOT(ISNUMBER(GZ35))),"",HJ35)</f>
        <v/>
      </c>
      <c r="HL35" s="97" t="str">
        <f t="shared" ca="1" si="180"/>
        <v/>
      </c>
      <c r="HM35" s="97"/>
      <c r="HN35" s="308" t="str">
        <f t="shared" ca="1" si="68"/>
        <v>Zu wenige Werte</v>
      </c>
      <c r="HO35" s="97"/>
      <c r="HP35" s="307"/>
      <c r="HQ35" s="96" t="str">
        <f>IFERROR(IFERROR(SUBSTITUTE(ReckResultat[[#This Row],[Eingabe]],".",",")*1,SUBSTITUTE(ReckResultat[[#This Row],[Eingabe]],",",".")*1),"")</f>
        <v/>
      </c>
      <c r="HR35" s="96" t="e">
        <f>INT(ReckResultat[[#This Row],[Resultat]])=ReckResultat[[#This Row],[Resultat]]</f>
        <v>#VALUE!</v>
      </c>
      <c r="HS35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5" s="96"/>
      <c r="HX35" s="97"/>
      <c r="HY35" s="307"/>
      <c r="HZ35" s="96" t="str">
        <f>IFERROR(IFERROR(SUBSTITUTE(BodenResultat[[#This Row],[Eingabe]],".",",")*1,SUBSTITUTE(BodenResultat[[#This Row],[Eingabe]],",",".")*1),"")</f>
        <v/>
      </c>
      <c r="IA35" s="96" t="e">
        <f>INT(BodenResultat[[#This Row],[Resultat]])=BodenResultat[[#This Row],[Resultat]]</f>
        <v>#VALUE!</v>
      </c>
      <c r="IB35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5" s="96"/>
      <c r="IG35" s="97"/>
      <c r="IH35" s="307"/>
      <c r="II35" s="96" t="str">
        <f>IFERROR(IFERROR(SUBSTITUTE(StufenbarrenResultat[[#This Row],[Eingabe]],".",",")*1,SUBSTITUTE(StufenbarrenResultat[[#This Row],[Eingabe]],",",".")*1),"")</f>
        <v/>
      </c>
      <c r="IJ35" s="96" t="e">
        <f>INT(StufenbarrenResultat[[#This Row],[Resultat]])=StufenbarrenResultat[[#This Row],[Resultat]]</f>
        <v>#VALUE!</v>
      </c>
      <c r="IK35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5" s="96"/>
      <c r="IP35" s="97"/>
      <c r="IQ35" s="307"/>
      <c r="IR35" s="96" t="str">
        <f>IFERROR(IFERROR(SUBSTITUTE(ParallelbarrenResultat[[#This Row],[Eingabe]],".",",")*1,SUBSTITUTE(ParallelbarrenResultat[[#This Row],[Eingabe]],",",".")*1),"")</f>
        <v/>
      </c>
      <c r="IS35" s="96" t="e">
        <f>INT(ParallelbarrenResultat[[#This Row],[Resultat]])=ParallelbarrenResultat[[#This Row],[Resultat]]</f>
        <v>#VALUE!</v>
      </c>
      <c r="IT35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5" s="96"/>
      <c r="IY35" s="97"/>
      <c r="IZ35" s="307"/>
      <c r="JA35" s="96" t="str">
        <f>IFERROR(IFERROR(SUBSTITUTE(SchaukelringeResultat[[#This Row],[Eingabe]],".",",")*1,SUBSTITUTE(SchaukelringeResultat[[#This Row],[Eingabe]],",",".")*1),"")</f>
        <v/>
      </c>
      <c r="JB35" s="96" t="e">
        <f>INT(SchaukelringeResultat[[#This Row],[Resultat]])=SchaukelringeResultat[[#This Row],[Resultat]]</f>
        <v>#VALUE!</v>
      </c>
      <c r="JC35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5" s="96"/>
      <c r="JH35" s="97"/>
      <c r="JI35" s="307"/>
      <c r="JJ35" s="96" t="str">
        <f>IFERROR(IFERROR(SUBSTITUTE(SprungResultat[[#This Row],[Eingabe]],".",",")*1,SUBSTITUTE(SprungResultat[[#This Row],[Eingabe]],",",".")*1),"")</f>
        <v/>
      </c>
      <c r="JK35" s="96" t="e">
        <f>INT(SprungResultat[[#This Row],[Resultat]])=SprungResultat[[#This Row],[Resultat]]</f>
        <v>#VALUE!</v>
      </c>
      <c r="JL35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5" s="96"/>
      <c r="JQ35" s="97"/>
      <c r="JR35" s="309" t="str" cm="1">
        <f t="array" aca="1" ref="JR35" ca="1">IF(AND(ISNUMBER(INDIRECT(JR$3)),INDIRECT(JR$3)&gt;0),INDIRECT(JR$3),"")</f>
        <v/>
      </c>
      <c r="JS35" s="309" t="str" cm="1">
        <f t="array" aca="1" ref="JS35" ca="1">IF(AND(ISNUMBER(INDIRECT(JS$3)),INDIRECT(JS$3)&gt;0),INDIRECT(JS$3),"")</f>
        <v/>
      </c>
      <c r="JT35" s="309" t="str" cm="1">
        <f t="array" aca="1" ref="JT35" ca="1">IF(AND(ISNUMBER(INDIRECT(JT$3)),INDIRECT(JT$3)&gt;0),INDIRECT(JT$3),"")</f>
        <v/>
      </c>
      <c r="JU35" s="309" t="str" cm="1">
        <f t="array" aca="1" ref="JU35" ca="1">IF(AND(ISNUMBER(INDIRECT(JU$3)),INDIRECT(JU$3)&gt;0),INDIRECT(JU$3),"")</f>
        <v/>
      </c>
      <c r="JV35" s="309" t="str" cm="1">
        <f t="array" aca="1" ref="JV35" ca="1">IF(AND(ISNUMBER(INDIRECT(JV$3)),INDIRECT(JV$3)&gt;0),INDIRECT(JV$3),"")</f>
        <v/>
      </c>
      <c r="JW35" s="309" t="str" cm="1">
        <f t="array" aca="1" ref="JW35" ca="1">IF(AND(ISNUMBER(INDIRECT(JW$3)),INDIRECT(JW$3)&gt;0),INDIRECT(JW$3),"")</f>
        <v/>
      </c>
      <c r="JX35" s="309" t="str">
        <f t="shared" ca="1" si="69"/>
        <v>x</v>
      </c>
      <c r="JY35" s="309" t="str">
        <f t="shared" ca="1" si="70"/>
        <v>y</v>
      </c>
      <c r="JZ35" s="309" t="str">
        <f t="shared" ca="1" si="71"/>
        <v>z</v>
      </c>
      <c r="KA35" s="309" t="str">
        <f t="shared" ca="1" si="181"/>
        <v>a</v>
      </c>
      <c r="KB35" s="309" t="str" cm="1">
        <f t="array" aca="1" ref="KB35" ca="1">IF(KA35="a","",INDEX($JR$23:$JW$23,,MATCH(KA35,$JR35:$JW35,0)))</f>
        <v/>
      </c>
      <c r="KC35" s="309" t="str" cm="1">
        <f t="array" aca="1" ref="KC35" ca="1">IF(OR(KB35="",KB35&gt;=$JW$23),"",INDEX(INDIRECT(ADDRESS(ROW($JR$23),KB35+1)):$JW$23,,MATCH(KA35,INDIRECT(ADDRESS(ROW(),KB35+1)):$JW35,0)))</f>
        <v/>
      </c>
      <c r="KD35" s="309" t="str" cm="1">
        <f t="array" aca="1" ref="KD35" ca="1">IF(OR(KC35="",KC35&gt;=$JW$23),"",INDEX(INDIRECT(ADDRESS(ROW($JR$23),KC35+1)):$JW$23,,MATCH(KA35,INDIRECT(ADDRESS(ROW(),KC35+1)):$JW35,0)))</f>
        <v/>
      </c>
      <c r="KE35" s="309" t="str">
        <f t="shared" ca="1" si="182"/>
        <v>c</v>
      </c>
      <c r="KF35" s="309" t="str" cm="1">
        <f t="array" aca="1" ref="KF35" ca="1">IF(OR(KE35="b",KE35="c"),"",INDEX($JR$23:$JW$23,,MATCH(KE35,$JR35:$JW35,0)))</f>
        <v/>
      </c>
      <c r="KG35" s="309" t="str" cm="1">
        <f t="array" aca="1" ref="KG35" ca="1">IF(OR(KF35="",KF35&gt;=$JW$23),"",INDEX(INDIRECT(ADDRESS(ROW($JR$23),KF35+1)):$JW$23,,MATCH(KE35,INDIRECT(ADDRESS(ROW(),KF35+1)):$JW35,0)))</f>
        <v/>
      </c>
      <c r="KH35" s="309" t="str">
        <f t="shared" ca="1" si="72"/>
        <v/>
      </c>
      <c r="KI35" s="309" t="str">
        <f t="shared" ca="1" si="183"/>
        <v>e</v>
      </c>
      <c r="KJ35" s="309" t="str">
        <f t="shared" ca="1" si="73"/>
        <v/>
      </c>
      <c r="KK35" s="309" t="str" cm="1">
        <f t="array" aca="1" ref="KK35" ca="1">IF(OR(KI35="d",KI35="e"),"",INDEX($JR$23:$JW$23,,MATCH(KI35,$JR35:$JW35,0)))</f>
        <v/>
      </c>
      <c r="KL35" s="309" t="str" cm="1">
        <f t="array" aca="1" ref="KL35" ca="1">IF(OR(KK35="",KK35&gt;=$JW$23),"",INDEX(INDIRECT(ADDRESS(ROW($JR$23),KK35+1)):$JW$23,,MATCH(KI35,INDIRECT(ADDRESS(ROW(),KK35+1)):$JW35,0)))</f>
        <v/>
      </c>
      <c r="KM35" s="309" t="str" cm="1">
        <f t="array" aca="1" ref="KM35" ca="1">IFERROR(IF(ISNUMBER(KB35),KB35,IF(ISNUMBER(KF35),KF35,IF(ISNUMBER(KJ35),KJ35,INDEX($JR$23:$JW$23,,MATCH(JX35,$JR35:$JW35,0))))),"x1")</f>
        <v>x1</v>
      </c>
      <c r="KN35" s="309" t="str" cm="1">
        <f t="array" aca="1" ref="KN35" ca="1">IFERROR(IF(ISNUMBER(KC35),KC35,IF(ISNUMBER(KG35),KG35,IF(ISNUMBER(KK35),KK35,INDEX($JR$23:$JW$23,,MATCH(JY35,$JR35:$JW35,0))))),IF(KM35="x1","x2","x1"))</f>
        <v>x2</v>
      </c>
      <c r="KO35" s="309" t="str" cm="1">
        <f t="array" aca="1" ref="KO35" ca="1">IFERROR(IF(ISNUMBER(KD35),KD35,IF(ISNUMBER(KH35),KH35,IF(ISNUMBER(KL35),KL35,INDEX($JR$23:$JW$23,,MATCH(JZ35,$JR35:$JW35,0))))),IF(KN35="x1","x2",IF(KN35="x2","x3","x1")))</f>
        <v>x3</v>
      </c>
      <c r="KP35" s="97" t="str" cm="1">
        <f t="array" aca="1" ref="KP35" ca="1">IF(OR(INDIRECT(KP$3)=$A$2,INDIRECT(KP$3)=$A$3),COLUMN(),"")</f>
        <v/>
      </c>
      <c r="KQ35" s="97" t="str" cm="1">
        <f t="array" aca="1" ref="KQ35" ca="1">IF(OR(INDIRECT(KQ$3)=$A$2,INDIRECT(KQ$3)=$A$3),COLUMN(),"")</f>
        <v/>
      </c>
      <c r="KR35" s="97" t="str" cm="1">
        <f t="array" aca="1" ref="KR35" ca="1">IF(OR(INDIRECT(KR$3)=$A$2,INDIRECT(KR$3)=$A$3),COLUMN(),"")</f>
        <v/>
      </c>
      <c r="KS35" s="97" t="str" cm="1">
        <f t="array" aca="1" ref="KS35" ca="1">IF(OR(INDIRECT(KS$3)=$A$2,INDIRECT(KS$3)=$A$3),COLUMN(),"")</f>
        <v/>
      </c>
      <c r="KT35" s="97" t="str" cm="1">
        <f t="array" aca="1" ref="KT35" ca="1">IF(OR(INDIRECT(KT$3)=$A$2,INDIRECT(KT$3)=$A$3),COLUMN(),"")</f>
        <v/>
      </c>
      <c r="KU35" s="97" t="str" cm="1">
        <f t="array" aca="1" ref="KU35" ca="1">IF(OR(INDIRECT(KU$3)=$A$2,INDIRECT(KU$3)=$A$3),COLUMN(),"")</f>
        <v/>
      </c>
      <c r="KV35" s="97" t="str" cm="1">
        <f t="array" aca="1" ref="KV35" ca="1">IF(AND(ISNUMBER(INDIRECT(KV$3)),INDIRECT(KV$3)=0),COLUMN(),"")</f>
        <v/>
      </c>
      <c r="KW35" s="97" t="str" cm="1">
        <f t="array" aca="1" ref="KW35" ca="1">IF(AND(ISNUMBER(INDIRECT(KW$3)),INDIRECT(KW$3)=0),COLUMN(),"")</f>
        <v/>
      </c>
      <c r="KX35" s="97" t="str" cm="1">
        <f t="array" aca="1" ref="KX35" ca="1">IF(AND(ISNUMBER(INDIRECT(KX$3)),INDIRECT(KX$3)=0),COLUMN(),"")</f>
        <v/>
      </c>
      <c r="KY35" s="97" t="str" cm="1">
        <f t="array" aca="1" ref="KY35" ca="1">IF(AND(ISNUMBER(INDIRECT(KY$3)),INDIRECT(KY$3)=0),COLUMN(),"")</f>
        <v/>
      </c>
      <c r="KZ35" s="97" t="str" cm="1">
        <f t="array" aca="1" ref="KZ35" ca="1">IF(AND(ISNUMBER(INDIRECT(KZ$3)),INDIRECT(KZ$3)=0),COLUMN(),"")</f>
        <v/>
      </c>
      <c r="LA35" s="97" t="str" cm="1">
        <f t="array" aca="1" ref="LA35" ca="1">IF(AND(ISNUMBER(INDIRECT(LA$3)),INDIRECT(LA$3)=0),COLUMN(),"")</f>
        <v/>
      </c>
      <c r="LB35" s="97" t="str">
        <f t="shared" ca="1" si="184"/>
        <v>x1</v>
      </c>
      <c r="LC35" s="97" t="str">
        <f t="shared" ca="1" si="185"/>
        <v>x2</v>
      </c>
      <c r="LD35" s="97" t="str">
        <f t="shared" ca="1" si="186"/>
        <v>x3</v>
      </c>
      <c r="LE35" s="97" t="str">
        <f ca="1">IFERROR(IF(ISNUMBER(LB35),LB35,SMALL($KV35:$LA35,VALUE(RIGHT(LB35,1)))),Stammdaten!$CA$17)</f>
        <v>Erstes Gerät nicht durchgeführt</v>
      </c>
      <c r="LF35" s="97" t="str">
        <f ca="1">IFERROR(IF(ISNUMBER(LC35),LC35,SMALL($KV35:$LA35,VALUE(RIGHT(LC35,1)))),Stammdaten!$CA$18)</f>
        <v>Zweites Gerät nicht durchgeführt</v>
      </c>
      <c r="LG35" s="97" t="str">
        <f ca="1">IFERROR(IF(ISNUMBER(LD35),LD35,SMALL($KV35:$LA35,VALUE(RIGHT(LD35,1)))),Stammdaten!$CA$19)</f>
        <v>Drittes Gerät nicht durchgeführt</v>
      </c>
      <c r="LH35" s="91" t="str" cm="1">
        <f t="array" aca="1" ref="LH35" ca="1">IFERROR(INDIRECT(ADDRESS(ROW($JR$5),LE35)),LE35)</f>
        <v>Erstes Gerät nicht durchgeführt</v>
      </c>
      <c r="LI35" s="97" t="str">
        <f t="shared" ca="1" si="187"/>
        <v/>
      </c>
      <c r="LJ35" s="97" t="str" cm="1">
        <f t="array" aca="1" ref="LJ35" ca="1">IFERROR(IF(INDIRECT(INDEX(INDIRECT(LJ$5),MATCH(LH35,INDIRECT(LJ$4),0)))&lt;&gt;"",INDEX(INDIRECT(LJ$5),MATCH(LH35,INDIRECT(LJ$4),0)),INDEX(INDIRECT(LJ$6),MATCH(LH35,INDIRECT(LJ$4),0))),"")</f>
        <v/>
      </c>
      <c r="LK35" s="97" t="str">
        <f t="shared" ca="1" si="188"/>
        <v/>
      </c>
      <c r="LL35" s="97" t="str" cm="1">
        <f t="array" aca="1" ref="LL35" ca="1">IFERROR(INDIRECT(LJ35),"")</f>
        <v/>
      </c>
      <c r="LM35" s="97" t="str">
        <f ca="1">IF(LL35="","",IF(AND(LI35=Stammdaten!$BX$20,LK35="0",LL35=1),SUBSTITUTE(TEXT(LL35,LK35)&amp;" "&amp;LEFT(LI35,LEN(LI35)-1),".",","),SUBSTITUTE(TEXT(LL35,LK35)&amp;" "&amp;LI35,".",",")))</f>
        <v/>
      </c>
      <c r="LN35" s="97" t="str">
        <f t="shared" ca="1" si="74"/>
        <v/>
      </c>
      <c r="LO35" s="97" t="str" cm="1">
        <f t="array" aca="1" ref="LO35" ca="1">IFERROR(LEFT(INDIRECT(LN35),1)&amp;"]","")</f>
        <v/>
      </c>
      <c r="LP35" s="97" t="str">
        <f t="shared" ca="1" si="75"/>
        <v/>
      </c>
      <c r="LQ35" s="97" t="str">
        <f ca="1">IFERROR(LEFT(LH35,FIND(Stammdaten!$CA$4,LH35,1)-2),IFERROR(LEFT(LH35,FIND(Stammdaten!$CC$3,LH35,1)-2),LH35))</f>
        <v>Erstes Gerät</v>
      </c>
      <c r="LR35" s="97" t="str">
        <f ca="1">IF(NOT(ISERROR(FIND(Stammdaten!$CA$4,LH35,1))),Stammdaten!$CA$4,IF(LS35&lt;&gt;Stammdaten!$CC$3,LP35,""))</f>
        <v>nicht durchgeführt</v>
      </c>
      <c r="LS35" s="91" t="str">
        <f ca="1">IF(LL35=$A$2,Stammdaten!$CC$3,LM35)</f>
        <v/>
      </c>
      <c r="LT35" s="91" t="str" cm="1">
        <f t="array" aca="1" ref="LT35" ca="1">IFERROR(INDIRECT(ADDRESS(ROW($JR$5),LF35)),LF35)</f>
        <v>Zweites Gerät nicht durchgeführt</v>
      </c>
      <c r="LU35" s="97" t="str">
        <f t="shared" ca="1" si="189"/>
        <v/>
      </c>
      <c r="LV35" s="97" t="str" cm="1">
        <f t="array" aca="1" ref="LV35" ca="1">IFERROR(IF(INDIRECT(INDEX(INDIRECT(LV$5),MATCH(LT35,INDIRECT(LV$4),0)))&lt;&gt;"",INDEX(INDIRECT(LV$5),MATCH(LT35,INDIRECT(LV$4),0)),INDEX(INDIRECT(LV$6),MATCH(LT35,INDIRECT(LV$4),0))),"")</f>
        <v/>
      </c>
      <c r="LW35" s="97" t="str">
        <f t="shared" ca="1" si="190"/>
        <v/>
      </c>
      <c r="LX35" s="97" t="str" cm="1">
        <f t="array" aca="1" ref="LX35" ca="1">IFERROR(INDIRECT(LV35),"")</f>
        <v/>
      </c>
      <c r="LY35" s="97" t="str">
        <f ca="1">IF(LX35="","",IF(AND(LU35=Stammdaten!$BX$20,LW35="0",LX35=1),SUBSTITUTE(TEXT(LX35,LW35)&amp;" "&amp;LEFT(LU35,LEN(LU35)-1),".",","),SUBSTITUTE(TEXT(LX35,LW35)&amp;" "&amp;LU35,".",",")))</f>
        <v/>
      </c>
      <c r="LZ35" s="97" t="str">
        <f t="shared" ca="1" si="76"/>
        <v/>
      </c>
      <c r="MA35" s="97" t="str" cm="1">
        <f t="array" aca="1" ref="MA35" ca="1">IFERROR(LEFT(INDIRECT(LZ35),1)&amp;"]","")</f>
        <v/>
      </c>
      <c r="MB35" s="97" t="str">
        <f t="shared" ca="1" si="77"/>
        <v/>
      </c>
      <c r="MC35" s="97" t="str">
        <f ca="1">IFERROR(LEFT(LT35,FIND(Stammdaten!$CA$4,LT35,1)-2),IFERROR(LEFT(LT35,FIND(Stammdaten!$CC$3,LT35,1)-2),LT35))</f>
        <v>Zweites Gerät</v>
      </c>
      <c r="MD35" s="97" t="str">
        <f ca="1">IF(NOT(ISERROR(FIND(Stammdaten!$CA$4,LT35,1))),Stammdaten!$CA$4,IF(ME35&lt;&gt;Stammdaten!$CC$3,MB35,""))</f>
        <v>nicht durchgeführt</v>
      </c>
      <c r="ME35" s="91" t="str">
        <f ca="1">IF(LX35=$A$2,Stammdaten!$CC$3,LY35)</f>
        <v/>
      </c>
      <c r="MF35" s="91" t="str" cm="1">
        <f t="array" aca="1" ref="MF35" ca="1">IFERROR(INDIRECT(ADDRESS(ROW($JR$5),LG35)),LG35)</f>
        <v>Drittes Gerät nicht durchgeführt</v>
      </c>
      <c r="MG35" s="97" t="str">
        <f t="shared" ca="1" si="191"/>
        <v/>
      </c>
      <c r="MH35" s="97" t="str" cm="1">
        <f t="array" aca="1" ref="MH35" ca="1">IFERROR(IF(INDIRECT(INDEX(INDIRECT(MH$5),MATCH(MF35,INDIRECT(MH$4),0)))&lt;&gt;"",INDEX(INDIRECT(MH$5),MATCH(MF35,INDIRECT(MH$4),0)),INDEX(INDIRECT(MH$6),MATCH(MF35,INDIRECT(MH$4),0))),"")</f>
        <v/>
      </c>
      <c r="MI35" s="97" t="str">
        <f t="shared" ca="1" si="192"/>
        <v/>
      </c>
      <c r="MJ35" s="97" t="str" cm="1">
        <f t="array" aca="1" ref="MJ35" ca="1">IFERROR(INDIRECT(MH35),"")</f>
        <v/>
      </c>
      <c r="MK35" s="97" t="str">
        <f ca="1">IF(MJ35="","",IF(AND(MG35=Stammdaten!$BX$20,MI35="0",MJ35=1),SUBSTITUTE(TEXT(MJ35,MI35)&amp;" "&amp;LEFT(MG35,LEN(MG35)-1),".",","),SUBSTITUTE(TEXT(MJ35,MI35)&amp;" "&amp;MG35,".",",")))</f>
        <v/>
      </c>
      <c r="ML35" s="97" t="str">
        <f t="shared" ca="1" si="78"/>
        <v/>
      </c>
      <c r="MM35" s="97" t="str" cm="1">
        <f t="array" aca="1" ref="MM35" ca="1">IFERROR(LEFT(INDIRECT(ML35),1)&amp;"]","")</f>
        <v/>
      </c>
      <c r="MN35" s="97" t="str">
        <f t="shared" ca="1" si="79"/>
        <v/>
      </c>
      <c r="MO35" s="97" t="str">
        <f ca="1">IFERROR(LEFT(MF35,FIND(Stammdaten!$CA$4,MF35,1)-2),IFERROR(LEFT(MF35,FIND(Stammdaten!$CC$3,MF35,1)-2),MF35))</f>
        <v>Drittes Gerät</v>
      </c>
      <c r="MP35" s="97" t="str">
        <f ca="1">IF(NOT(ISERROR(FIND(Stammdaten!$CA$4,MF35,1))),Stammdaten!$CA$4,IF(MQ35&lt;&gt;Stammdaten!$CC$3,MN35,""))</f>
        <v>nicht durchgeführt</v>
      </c>
      <c r="MQ35" s="91" t="str">
        <f ca="1">IF(MJ35=$A$2,Stammdaten!$CC$3,MK35)</f>
        <v/>
      </c>
      <c r="MR35" s="97">
        <f t="shared" ca="1" si="80"/>
        <v>0</v>
      </c>
      <c r="MS35" s="108">
        <f t="shared" ca="1" si="193"/>
        <v>0</v>
      </c>
      <c r="MT35" s="108">
        <f t="shared" ca="1" si="194"/>
        <v>0</v>
      </c>
      <c r="MU35" s="108">
        <f t="shared" ca="1" si="195"/>
        <v>0</v>
      </c>
      <c r="MV35" s="108" t="str">
        <f t="shared" ca="1" si="196"/>
        <v/>
      </c>
      <c r="MW35" s="97" t="str">
        <f ca="1">IF(MV35="",Stammdaten!$BZ$1,IF(AND(MS35+MT35=0,MU35&gt;=MV$25),$A$3,MR35))</f>
        <v>Zu wenige Werte</v>
      </c>
      <c r="MX35" s="97"/>
      <c r="MY35" s="91" t="str">
        <f t="shared" ca="1" si="81"/>
        <v/>
      </c>
      <c r="MZ35" s="96" t="str">
        <f>LEFT(Geschlecht[[#This Row],[Geschlecht (Skala)]],1)&amp;$MZ$27</f>
        <v>2</v>
      </c>
      <c r="NA35" s="96" t="str">
        <f t="shared" ca="1" si="82"/>
        <v>Geräteturnen_2[Resultat]</v>
      </c>
      <c r="NB35" s="97" t="str" cm="1">
        <f t="array" aca="1" ref="NB35" ca="1">IF(OR($MW35="",$MW35=Stammdaten!$BZ$1),"",IF($MW35=0,0,IF(OR($MW35=$A$2,$MW35=$A$3),$A$3,IFERROR(INDEX(INDIRECT(NA35),MATCH(INDIRECT(MY$3),INDIRECT(NA35),NA$25)),IFERROR(IF(NA$25=-1,MAX(INDIRECT(NA35)),IF(NA$25=1,MIN(INDIRECT(NA35)))),"")))))</f>
        <v/>
      </c>
      <c r="ND35" s="91" t="str">
        <f t="shared" ca="1" si="83"/>
        <v>Geräteturnen_2[Note]</v>
      </c>
      <c r="NE35" s="97" t="str" cm="1">
        <f t="array" aca="1" ref="NE35" ca="1">IFERROR(INDEX(INDIRECT(ND35),MATCH(INDIRECT(MY$5),INDIRECT(NA35),0)),IF(INDIRECT(MY$5)=0,1,""))</f>
        <v/>
      </c>
      <c r="NF35" s="97"/>
      <c r="NG35" s="307"/>
      <c r="NH35" s="96" t="str">
        <f>IFERROR(IFERROR(SUBSTITUTE(ParkourResultat[[#This Row],[Eingabe]],".",",")*1,SUBSTITUTE(ParkourResultat[[#This Row],[Eingabe]],",",".")*1),"")</f>
        <v/>
      </c>
      <c r="NI35" s="96" t="e">
        <f>INT(ParkourResultat[[#This Row],[Resultat]])=ParkourResultat[[#This Row],[Resultat]]</f>
        <v>#VALUE!</v>
      </c>
      <c r="NJ35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5" s="96"/>
      <c r="NL35" s="91" t="str" cm="1">
        <f t="array" aca="1" ref="NL35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5" s="96" t="str">
        <f ca="1">LEFT(Geschlecht[[#This Row],[Geschlecht (Skala)]],1)&amp;NR$4</f>
        <v>2</v>
      </c>
      <c r="NN35" s="96" t="str">
        <f t="shared" ca="1" si="84"/>
        <v>Parkour_2[Resultat]</v>
      </c>
      <c r="NO35" s="97" t="str" cm="1">
        <f t="array" aca="1" ref="NO35" ca="1">IF(INDIRECT(NL$1)="","",IF(INDIRECT(NL$2)=0,0,IF(OR(INDIRECT(NL$1)=$A$2,INDIRECT(NL$1)=$A$3),$A$3,IFERROR(INDEX(INDIRECT(NN35),MATCH(INDIRECT(NL$3),INDIRECT(NN35),NN$25)),IFERROR(IF(NN$25=-1,MAX(INDIRECT(NN35)),IF(NN$25=1,MIN(INDIRECT(NN35)))),"")))))</f>
        <v/>
      </c>
      <c r="NQ35" s="91" t="str">
        <f t="shared" ca="1" si="85"/>
        <v>Parkour_2[Note]</v>
      </c>
      <c r="NR35" s="97" t="str" cm="1">
        <f t="array" aca="1" ref="NR35" ca="1">IFERROR(INDEX(INDIRECT(NQ35),MATCH(INDIRECT(NL$5),INDIRECT(NN35),0)),IF(INDIRECT(NL$5)=0,1,""))</f>
        <v/>
      </c>
      <c r="NS35" s="97"/>
      <c r="NT35" s="97" t="str" cm="1">
        <f t="array" aca="1" ref="NT35" ca="1">INDIRECT(NT$5)</f>
        <v/>
      </c>
      <c r="NU35" s="97" t="str" cm="1">
        <f t="array" aca="1" ref="NU35" ca="1">INDIRECT(NU$5)</f>
        <v/>
      </c>
      <c r="NV35" s="97" t="str" cm="1">
        <f t="array" aca="1" ref="NV35" ca="1">INDIRECT(NV$5)</f>
        <v/>
      </c>
      <c r="NW35" s="97" t="str" cm="1">
        <f t="array" aca="1" ref="NW35" ca="1">INDIRECT(NW$5)</f>
        <v/>
      </c>
      <c r="NX35" s="97" t="str">
        <f t="shared" ca="1" si="86"/>
        <v>Parkour nicht durchgeführt</v>
      </c>
      <c r="NY35" s="97" t="str">
        <f t="shared" ca="1" si="197"/>
        <v/>
      </c>
      <c r="NZ35" s="97" t="str" cm="1">
        <f t="array" aca="1" ref="NZ35" ca="1">IFERROR(IF(INDIRECT(INDEX(INDIRECT(NZ$5),MATCH(NX35,INDIRECT(NZ$4),0)))&lt;&gt;"",INDEX(INDIRECT(NZ$5),MATCH(NX35,INDIRECT(NZ$4),0)),INDEX(INDIRECT(NZ$6),MATCH(NX35,INDIRECT(NZ$4),0))),"")</f>
        <v/>
      </c>
      <c r="OA35" s="97" t="str">
        <f t="shared" ca="1" si="198"/>
        <v/>
      </c>
      <c r="OB35" s="97" t="str" cm="1">
        <f t="array" aca="1" ref="OB35" ca="1">IFERROR(INDIRECT(NZ35),IF(NOT(ISERROR(FIND(Stammdaten!$CC$3,NX35,1))),$A$2,""))</f>
        <v/>
      </c>
      <c r="OC35" s="97" t="str">
        <f ca="1">IF(OB35="","",IF(AND(NY35=Stammdaten!$BX$20,OA35="0",OB35=1),SUBSTITUTE(TEXT(OB35,OA35)&amp;" "&amp;LEFT(NY35,LEN(NY35)-1),".",","),SUBSTITUTE(TEXT(OB35,OA35)&amp;" "&amp;NY35,".",",")))</f>
        <v/>
      </c>
      <c r="OD35" s="97" t="str">
        <f t="shared" ca="1" si="87"/>
        <v/>
      </c>
      <c r="OE35" s="97" t="str" cm="1">
        <f t="array" aca="1" ref="OE35" ca="1">IFERROR(LEFT(INDIRECT(OD35),1)&amp;"]","")</f>
        <v/>
      </c>
      <c r="OF35" s="97" t="str">
        <f t="shared" ca="1" si="88"/>
        <v/>
      </c>
      <c r="OG35" s="97" t="str">
        <f ca="1">IFERROR(LEFT(NX35,FIND(Stammdaten!$CA$4,NX35,1)-2),IFERROR(LEFT(NX35,FIND(Stammdaten!$CC$3,NX35,1)-2),NX35))</f>
        <v>Parkour</v>
      </c>
      <c r="OH35" s="97" t="str">
        <f ca="1">IF(NOT(ISERROR(FIND(Stammdaten!$CA$4,NX35,1))),Stammdaten!$CA$4,IF(OI35&lt;&gt;Stammdaten!$CC$3,OF35,""))</f>
        <v>nicht durchgeführt</v>
      </c>
      <c r="OI35" s="91" t="str">
        <f ca="1">IF(OB35=$A$2,Stammdaten!$CC$3,OC35)</f>
        <v/>
      </c>
      <c r="OJ35" s="97" t="str">
        <f t="shared" ca="1" si="89"/>
        <v/>
      </c>
      <c r="OK35" s="97" t="str">
        <f t="shared" ca="1" si="90"/>
        <v/>
      </c>
      <c r="OL35" s="97">
        <f t="shared" ca="1" si="199"/>
        <v>0</v>
      </c>
      <c r="OM35" s="108">
        <f t="shared" ca="1" si="91"/>
        <v>0</v>
      </c>
      <c r="ON35" s="108">
        <f t="shared" ca="1" si="92"/>
        <v>0</v>
      </c>
      <c r="OO35" s="108" t="str">
        <f t="shared" ca="1" si="200"/>
        <v/>
      </c>
      <c r="OP35" s="97" t="str">
        <f ca="1">IF(OO35="",Stammdaten!$BZ$1,IF(AND(OM35=0,ON35&gt;=OO$25),$A$3,ROUND(SUM(OL35/OO35)/OP$25,0)*OP$25))</f>
        <v>Zu wenige Werte</v>
      </c>
      <c r="OQ35" s="108">
        <f t="shared" ca="1" si="201"/>
        <v>6</v>
      </c>
      <c r="OR35" s="97" t="str">
        <f t="shared" ca="1" si="202"/>
        <v/>
      </c>
      <c r="OS35" s="97" t="str">
        <f t="shared" ca="1" si="203"/>
        <v/>
      </c>
      <c r="OT35" s="97" t="str">
        <f t="shared" ca="1" si="204"/>
        <v/>
      </c>
      <c r="OU35" s="97" t="str">
        <f t="shared" ca="1" si="205"/>
        <v>g</v>
      </c>
      <c r="OV35" s="97" t="str">
        <f t="shared" ca="1" si="206"/>
        <v/>
      </c>
      <c r="OW35" s="97">
        <f t="shared" ca="1" si="207"/>
        <v>1</v>
      </c>
      <c r="OX35" s="97" t="str">
        <f ca="1">IF(OR(Geschlecht[[#This Row],[Geschlecht (Skala)]]="",NOT(ISNUMBER(OO35))),"",OW35)</f>
        <v/>
      </c>
      <c r="OY35" s="97" t="str">
        <f t="shared" ca="1" si="208"/>
        <v/>
      </c>
      <c r="OZ35" s="97"/>
      <c r="PA35" s="308" t="str">
        <f t="shared" ca="1" si="209"/>
        <v>Zu wenige Werte</v>
      </c>
      <c r="PB35" s="97"/>
      <c r="PC35" s="307"/>
      <c r="PD35" s="96" t="str">
        <f>IFERROR(IFERROR(SUBSTITUTE(TanzenResultat[[#This Row],[Eingabe]],".",",")*1,SUBSTITUTE(TanzenResultat[[#This Row],[Eingabe]],",",".")*1),"")</f>
        <v/>
      </c>
      <c r="PE35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5" s="96"/>
      <c r="PG35" s="91" t="str" cm="1">
        <f t="array" aca="1" ref="PG35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5" s="96" t="str">
        <f ca="1">LEFT(Geschlecht[[#This Row],[Geschlecht (Skala)]],1)&amp;PM$4</f>
        <v>2</v>
      </c>
      <c r="PI35" s="96" t="str">
        <f t="shared" ca="1" si="93"/>
        <v>Tanzen_2[Resultat]</v>
      </c>
      <c r="PJ35" s="97" t="str" cm="1">
        <f t="array" aca="1" ref="PJ35" ca="1">IF(INDIRECT(PG$1)="","",IF(INDIRECT(PG$2)=0,0,IF(OR(INDIRECT(PG$1)=$A$2,INDIRECT(PG$1)=$A$3),$A$3,IFERROR(INDEX(INDIRECT(PI35),MATCH(INDIRECT(PG$3),INDIRECT(PI35),PI$25)),IFERROR(IF(PI$25=-1,MAX(INDIRECT(PI35)),IF(PI$25=1,MIN(INDIRECT(PI35)))),"")))))</f>
        <v/>
      </c>
      <c r="PL35" s="91" t="str">
        <f t="shared" ca="1" si="94"/>
        <v>Tanzen_2[Note]</v>
      </c>
      <c r="PM35" s="97" t="str" cm="1">
        <f t="array" aca="1" ref="PM35" ca="1">IFERROR(INDEX(INDIRECT(PL35),MATCH(INDIRECT(PG$5),INDIRECT(PI35),0)),IF(INDIRECT(PG$5)=0,1,""))</f>
        <v/>
      </c>
      <c r="PN35" s="97"/>
      <c r="PO35" s="307"/>
      <c r="PP35" s="96" t="str">
        <f>IFERROR(IFERROR(SUBSTITUTE(RopeSkippingResultat[[#This Row],[Eingabe]],".",",")*1,SUBSTITUTE(RopeSkippingResultat[[#This Row],[Eingabe]],",",".")*1),"")</f>
        <v/>
      </c>
      <c r="PQ35" s="96" t="e">
        <f>INT(RopeSkippingResultat[[#This Row],[Resultat]])=RopeSkippingResultat[[#This Row],[Resultat]]</f>
        <v>#VALUE!</v>
      </c>
      <c r="PR35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5" s="96"/>
      <c r="PT35" s="91" t="str" cm="1">
        <f t="array" aca="1" ref="PT35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5" s="96" t="str">
        <f ca="1">LEFT(Geschlecht[[#This Row],[Geschlecht (Skala)]],1)&amp;PZ$4</f>
        <v>2</v>
      </c>
      <c r="PV35" s="96" t="str">
        <f t="shared" ca="1" si="95"/>
        <v>RopeSkipping_2[Resultat]</v>
      </c>
      <c r="PW35" s="97" t="str" cm="1">
        <f t="array" aca="1" ref="PW35" ca="1">IF(INDIRECT(PT$1)="","",IF(INDIRECT(PT$2)=0,0,IF(OR(INDIRECT(PT$1)=$A$2,INDIRECT(PT$1)=$A$3),$A$3,IFERROR(INDEX(INDIRECT(PV35),MATCH(INDIRECT(PT$3),INDIRECT(PV35),PV$25)),IFERROR(IF(PV$25=-1,MAX(INDIRECT(PV35)),IF(PV$25=1,MIN(INDIRECT(PV35)))),"")))))</f>
        <v/>
      </c>
      <c r="PY35" s="91" t="str">
        <f t="shared" ca="1" si="96"/>
        <v>RopeSkipping_2[Note]</v>
      </c>
      <c r="PZ35" s="97" t="str" cm="1">
        <f t="array" aca="1" ref="PZ35" ca="1">IFERROR(INDEX(INDIRECT(PY35),MATCH(INDIRECT(PT$5),INDIRECT(PV35),0)),IF(INDIRECT(PT$5)=0,1,""))</f>
        <v/>
      </c>
      <c r="QA35" s="97"/>
      <c r="QB35" s="307"/>
      <c r="QC35" s="96" t="str">
        <f>IFERROR(IFERROR(SUBSTITUTE(AerobicResultat[[#This Row],[Eingabe]],".",",")*1,SUBSTITUTE(AerobicResultat[[#This Row],[Eingabe]],",",".")*1),"")</f>
        <v/>
      </c>
      <c r="QD35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5" s="96"/>
      <c r="QF35" s="91" t="str" cm="1">
        <f t="array" aca="1" ref="QF35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5" s="96" t="str">
        <f ca="1">LEFT(Geschlecht[[#This Row],[Geschlecht (Skala)]],1)&amp;QL$4</f>
        <v>2</v>
      </c>
      <c r="QH35" s="96" t="str">
        <f t="shared" ca="1" si="97"/>
        <v>Aerobic_2[Resultat]</v>
      </c>
      <c r="QI35" s="97" t="str" cm="1">
        <f t="array" aca="1" ref="QI35" ca="1">IF(INDIRECT(QF$1)="","",IF(INDIRECT(QF$2)=0,0,IF(OR(INDIRECT(QF$1)=$A$2,INDIRECT(QF$1)=$A$3),$A$3,IFERROR(INDEX(INDIRECT(QH35),MATCH(INDIRECT(QF$3),INDIRECT(QH35),QH$25)),IFERROR(IF(QH$25=-1,MAX(INDIRECT(QH35)),IF(QH$25=1,MIN(INDIRECT(QH35)))),"")))))</f>
        <v/>
      </c>
      <c r="QK35" s="91" t="str">
        <f t="shared" ca="1" si="98"/>
        <v>Aerobic_2[Note]</v>
      </c>
      <c r="QL35" s="97" t="str" cm="1">
        <f t="array" aca="1" ref="QL35" ca="1">IFERROR(INDEX(INDIRECT(QK35),MATCH(INDIRECT(QF$5),INDIRECT(QH35),0)),IF(INDIRECT(QF$5)=0,1,""))</f>
        <v/>
      </c>
      <c r="QM35" s="97"/>
      <c r="QN35" s="97" t="str" cm="1">
        <f t="array" aca="1" ref="QN35" ca="1">INDIRECT(QN$5)</f>
        <v/>
      </c>
      <c r="QO35" s="97" t="str" cm="1">
        <f t="array" aca="1" ref="QO35" ca="1">INDIRECT(QO$5)</f>
        <v/>
      </c>
      <c r="QP35" s="97" t="str" cm="1">
        <f t="array" aca="1" ref="QP35" ca="1">INDIRECT(QP$5)</f>
        <v/>
      </c>
      <c r="QQ35" s="97" t="str" cm="1">
        <f t="array" aca="1" ref="QQ35" ca="1">INDIRECT(QQ$5)</f>
        <v/>
      </c>
      <c r="QR35" s="97" t="str" cm="1">
        <f t="array" aca="1" ref="QR35" ca="1">INDIRECT(QR$5)</f>
        <v/>
      </c>
      <c r="QS35" s="97" t="str" cm="1">
        <f t="array" aca="1" ref="QS35" ca="1">INDIRECT(QS$5)</f>
        <v/>
      </c>
      <c r="QT35" s="97" t="str">
        <f t="shared" ca="1" si="99"/>
        <v>Darstellen und Tanzen nicht durchgeführt</v>
      </c>
      <c r="QU35" s="108">
        <f t="shared" ca="1" si="100"/>
        <v>0</v>
      </c>
      <c r="QV35" s="108">
        <f t="shared" ca="1" si="101"/>
        <v>0</v>
      </c>
      <c r="QW35" s="108" t="str">
        <f t="shared" ca="1" si="210"/>
        <v/>
      </c>
      <c r="QX35" s="97" t="str">
        <f t="shared" ca="1" si="211"/>
        <v>Darstellen und Tanzen nicht durchgeführt</v>
      </c>
      <c r="QY35" s="97" t="str">
        <f t="shared" ca="1" si="212"/>
        <v/>
      </c>
      <c r="QZ35" s="97" t="str" cm="1">
        <f t="array" aca="1" ref="QZ35" ca="1">IFERROR(IF(INDIRECT(INDEX(INDIRECT(QZ$5),MATCH(QX35,INDIRECT(QZ$4),0)))&lt;&gt;"",INDEX(INDIRECT(QZ$5),MATCH(QX35,INDIRECT(QZ$4),0)),INDEX(INDIRECT(QZ$6),MATCH(QX35,INDIRECT(QZ$4),0))),"")</f>
        <v/>
      </c>
      <c r="RA35" s="97" t="str">
        <f t="shared" ca="1" si="213"/>
        <v/>
      </c>
      <c r="RB35" s="97" t="str" cm="1">
        <f t="array" aca="1" ref="RB35" ca="1">IFERROR(INDIRECT(QZ35),IF(NOT(ISERROR(FIND(Stammdaten!$CC$3,QX35,1))),$A$2,""))</f>
        <v/>
      </c>
      <c r="RC35" s="97" t="str">
        <f ca="1">IF(RB35="","",IF(AND(QY35=Stammdaten!$BX$20,RA35="0",RB35=1),SUBSTITUTE(TEXT(RB35,RA35)&amp;" "&amp;LEFT(QY35,LEN(QY35)-1),".",","),SUBSTITUTE(TEXT(RB35,RA35)&amp;" "&amp;QY35,".",",")))</f>
        <v/>
      </c>
      <c r="RD35" s="97" t="str">
        <f t="shared" ca="1" si="102"/>
        <v/>
      </c>
      <c r="RE35" s="97" t="str" cm="1">
        <f t="array" aca="1" ref="RE35" ca="1">IFERROR(LEFT(INDIRECT(RD35),1)&amp;"]","")</f>
        <v/>
      </c>
      <c r="RF35" s="97" t="str">
        <f t="shared" ca="1" si="103"/>
        <v/>
      </c>
      <c r="RG35" s="97" t="str">
        <f ca="1">IFERROR(LEFT(QX35,FIND(Stammdaten!$CA$4,QX35,1)-2),IFERROR(LEFT(QX35,FIND(Stammdaten!$CC$3,QX35,1)-2),QX35))</f>
        <v>Darstellen und Tanzen</v>
      </c>
      <c r="RH35" s="97" t="str">
        <f ca="1">IF(NOT(ISERROR(FIND(Stammdaten!$CA$4,QX35,1))),Stammdaten!$CA$4,IF(RI35&lt;&gt;Stammdaten!$CC$3,RF35,""))</f>
        <v>nicht durchgeführt</v>
      </c>
      <c r="RI35" s="91" t="str">
        <f ca="1">IF(RB35=$A$2,Stammdaten!$CC$3,RC35)</f>
        <v/>
      </c>
      <c r="RJ35" s="108">
        <f t="shared" ca="1" si="214"/>
        <v>6</v>
      </c>
      <c r="RK35" s="97"/>
      <c r="RL35" s="308" t="str">
        <f ca="1">IF(QT35=$QT$4,Stammdaten!$BZ$1,IF(QT35=$QT$5,$A$3,QT35))</f>
        <v>Zu wenige Werte</v>
      </c>
      <c r="RM35" s="97"/>
      <c r="RN35" s="307"/>
      <c r="RO35" s="96" t="str">
        <f>IFERROR(IFERROR(SUBSTITUTE(BasketballResultat[[#This Row],[Eingabe]],".",",")*1,SUBSTITUTE(BasketballResultat[[#This Row],[Eingabe]],",",".")*1),"")</f>
        <v/>
      </c>
      <c r="RP35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5" s="96"/>
      <c r="RR35" s="91" t="str" cm="1">
        <f t="array" aca="1" ref="RR35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5" s="96" t="str">
        <f ca="1">LEFT(Geschlecht[[#This Row],[Geschlecht (Skala)]],1)&amp;RX$4</f>
        <v>2</v>
      </c>
      <c r="RT35" s="96" t="str">
        <f t="shared" ca="1" si="104"/>
        <v>Basketball_2[Resultat]</v>
      </c>
      <c r="RU35" s="97" t="str" cm="1">
        <f t="array" aca="1" ref="RU35" ca="1">IF(INDIRECT(RR$1)="","",IF(INDIRECT(RR$2)=0,0,IF(OR(INDIRECT(RR$1)=$A$2,INDIRECT(RR$1)=$A$3),$A$3,IFERROR(INDEX(INDIRECT(RT35),MATCH(INDIRECT(RR$3),INDIRECT(RT35),RT$25)),IFERROR(IF(RT$25=-1,MAX(INDIRECT(RT35)),IF(RT$25=1,MIN(INDIRECT(RT35)))),"")))))</f>
        <v/>
      </c>
      <c r="RW35" s="91" t="str">
        <f t="shared" ca="1" si="105"/>
        <v>Basketball_2[Note]</v>
      </c>
      <c r="RX35" s="97" t="str" cm="1">
        <f t="array" aca="1" ref="RX35" ca="1">IFERROR(INDEX(INDIRECT(RW35),MATCH(INDIRECT(RR$5),INDIRECT(RT35),0)),IF(INDIRECT(RR$5)=0,1,""))</f>
        <v/>
      </c>
      <c r="RY35" s="97"/>
      <c r="RZ35" s="307"/>
      <c r="SA35" s="96" t="str">
        <f>IFERROR(IFERROR(SUBSTITUTE(FussballResultat[[#This Row],[Eingabe]],".",",")*1,SUBSTITUTE(FussballResultat[[#This Row],[Eingabe]],",",".")*1),"")</f>
        <v/>
      </c>
      <c r="SB35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5" s="96"/>
      <c r="SD35" s="316" t="str" cm="1">
        <f t="array" aca="1" ref="SD35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5" s="96" t="str">
        <f ca="1">LEFT(Geschlecht[[#This Row],[Geschlecht (Skala)]],1)&amp;SJ$4</f>
        <v>2</v>
      </c>
      <c r="SF35" s="96" t="str">
        <f t="shared" ca="1" si="106"/>
        <v>Fussball_2[Resultat]</v>
      </c>
      <c r="SG35" s="97" t="str" cm="1">
        <f t="array" aca="1" ref="SG35" ca="1">IF(INDIRECT(SD$1)="","",IF(INDIRECT(SD$2)=0,0,IF(OR(INDIRECT(SD$1)=$A$2,INDIRECT(SD$1)=$A$3),$A$3,IFERROR(INDEX(INDIRECT(SF35),MATCH(INDIRECT(SD$3),INDIRECT(SF35),SF$25)),IFERROR(IF(SF$25=-1,MAX(INDIRECT(SF35)),IF(SF$25=1,MIN(INDIRECT(SF35)))),"")))))</f>
        <v/>
      </c>
      <c r="SI35" s="91" t="str">
        <f t="shared" ca="1" si="107"/>
        <v>Fussball_2[Note]</v>
      </c>
      <c r="SJ35" s="97" t="str" cm="1">
        <f t="array" aca="1" ref="SJ35" ca="1">IFERROR(INDEX(INDIRECT(SI35),MATCH(INDIRECT(SD$5),INDIRECT(SF35),0)),IF(INDIRECT(SD$5)=0,1,""))</f>
        <v/>
      </c>
      <c r="SK35" s="97"/>
      <c r="SL35" s="307"/>
      <c r="SM35" s="96" t="str">
        <f>IFERROR(IFERROR(SUBSTITUTE(HandballResultat[[#This Row],[Eingabe]],".",",")*1,SUBSTITUTE(HandballResultat[[#This Row],[Eingabe]],",",".")*1),"")</f>
        <v/>
      </c>
      <c r="SN35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5" s="96"/>
      <c r="SP35" s="91" t="str" cm="1">
        <f t="array" aca="1" ref="SP35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5" s="96" t="str">
        <f ca="1">LEFT(Geschlecht[[#This Row],[Geschlecht (Skala)]],1)&amp;SV$4</f>
        <v>2</v>
      </c>
      <c r="SR35" s="96" t="str">
        <f t="shared" ca="1" si="108"/>
        <v>Handball_2[Resultat]</v>
      </c>
      <c r="SS35" s="97" t="str" cm="1">
        <f t="array" aca="1" ref="SS35" ca="1">IF(INDIRECT(SP$1)="","",IF(INDIRECT(SP$2)=0,0,IF(OR(INDIRECT(SP$1)=$A$2,INDIRECT(SP$1)=$A$3),$A$3,IFERROR(INDEX(INDIRECT(SR35),MATCH(INDIRECT(SP$3),INDIRECT(SR35),SR$25)),IFERROR(IF(SR$25=-1,MAX(INDIRECT(SR35)),IF(SR$25=1,MIN(INDIRECT(SR35)))),"")))))</f>
        <v/>
      </c>
      <c r="SU35" s="91" t="str">
        <f t="shared" ca="1" si="109"/>
        <v>Handball_2[Note]</v>
      </c>
      <c r="SV35" s="97" t="str" cm="1">
        <f t="array" aca="1" ref="SV35" ca="1">IFERROR(INDEX(INDIRECT(SU35),MATCH(INDIRECT(SP$5),INDIRECT(SR35),0)),IF(INDIRECT(SP$5)=0,1,""))</f>
        <v/>
      </c>
      <c r="SW35" s="97"/>
      <c r="SX35" s="307"/>
      <c r="SY35" s="96" t="str">
        <f>IFERROR(IFERROR(SUBSTITUTE(UnihockeyResultat[[#This Row],[Eingabe]],".",",")*1,SUBSTITUTE(UnihockeyResultat[[#This Row],[Eingabe]],",",".")*1),"")</f>
        <v/>
      </c>
      <c r="SZ35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5" s="96"/>
      <c r="TB35" s="91" t="str" cm="1">
        <f t="array" aca="1" ref="TB35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5" s="96" t="str">
        <f ca="1">LEFT(Geschlecht[[#This Row],[Geschlecht (Skala)]],1)&amp;TH$4</f>
        <v>2</v>
      </c>
      <c r="TD35" s="96" t="str">
        <f t="shared" ca="1" si="110"/>
        <v>Unihockey_2[Resultat]</v>
      </c>
      <c r="TE35" s="97" t="str" cm="1">
        <f t="array" aca="1" ref="TE35" ca="1">IF(INDIRECT(TB$1)="","",IF(INDIRECT(TB$2)=0,0,IF(OR(INDIRECT(TB$1)=$A$2,INDIRECT(TB$1)=$A$3),$A$3,IFERROR(INDEX(INDIRECT(TD35),MATCH(INDIRECT(TB$3),INDIRECT(TD35),TD$25)),IFERROR(IF(TD$25=-1,MAX(INDIRECT(TD35)),IF(TD$25=1,MIN(INDIRECT(TD35)))),"")))))</f>
        <v/>
      </c>
      <c r="TG35" s="91" t="str">
        <f t="shared" ca="1" si="111"/>
        <v>Unihockey_2[Note]</v>
      </c>
      <c r="TH35" s="97" t="str" cm="1">
        <f t="array" aca="1" ref="TH35" ca="1">IFERROR(INDEX(INDIRECT(TG35),MATCH(INDIRECT(TB$5),INDIRECT(TD35),0)),IF(INDIRECT(TB$5)=0,1,""))</f>
        <v/>
      </c>
      <c r="TI35" s="97"/>
      <c r="TJ35" s="307"/>
      <c r="TK35" s="96" t="str">
        <f>IFERROR(IFERROR(SUBSTITUTE(VolleyballResultat[[#This Row],[Eingabe]],".",",")*1,SUBSTITUTE(VolleyballResultat[[#This Row],[Eingabe]],",",".")*1),"")</f>
        <v/>
      </c>
      <c r="TL35" s="96" t="e">
        <f>INT(VolleyballResultat[[#This Row],[Resultat]])=VolleyballResultat[[#This Row],[Resultat]]</f>
        <v>#VALUE!</v>
      </c>
      <c r="TM35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5" s="96"/>
      <c r="TO35" s="91" t="str" cm="1">
        <f t="array" aca="1" ref="TO35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5" s="96" t="str">
        <f ca="1">LEFT(Geschlecht[[#This Row],[Geschlecht (Skala)]],1)&amp;TU$4</f>
        <v>2</v>
      </c>
      <c r="TQ35" s="96" t="str">
        <f t="shared" ca="1" si="112"/>
        <v>Volleyball_2[Resultat]</v>
      </c>
      <c r="TR35" s="97" t="str" cm="1">
        <f t="array" aca="1" ref="TR35" ca="1">IF(INDIRECT(TO$1)="","",IF(INDIRECT(TO$2)=0,0,IF(OR(INDIRECT(TO$1)=$A$2,INDIRECT(TO$1)=$A$3),$A$3,IFERROR(INDEX(INDIRECT(TQ35),MATCH(INDIRECT(TO$3),INDIRECT(TQ35),TQ$25)),IFERROR(IF(TQ$25=-1,MAX(INDIRECT(TQ35)),IF(TQ$25=1,MIN(INDIRECT(TQ35)))),"")))))</f>
        <v/>
      </c>
      <c r="TT35" s="91" t="str">
        <f t="shared" ca="1" si="113"/>
        <v>Volleyball_2[Note]</v>
      </c>
      <c r="TU35" s="97" t="str" cm="1">
        <f t="array" aca="1" ref="TU35" ca="1">IFERROR(INDEX(INDIRECT(TT35),MATCH(INDIRECT(TO$5),INDIRECT(TQ35),0)),IF(INDIRECT(TO$5)=0,1,""))</f>
        <v/>
      </c>
      <c r="TV35" s="97"/>
      <c r="TW35" s="309" t="str" cm="1">
        <f t="array" aca="1" ref="TW35" ca="1">IF(AND(ISNUMBER(INDIRECT(TW$3)),INDIRECT(TW$3)&gt;1),INDIRECT(TW$3),"")</f>
        <v/>
      </c>
      <c r="TX35" s="309" t="str" cm="1">
        <f t="array" aca="1" ref="TX35" ca="1">IF(AND(ISNUMBER(INDIRECT(TX$3)),INDIRECT(TX$3)&gt;1),INDIRECT(TX$3),"")</f>
        <v/>
      </c>
      <c r="TY35" s="309" t="str" cm="1">
        <f t="array" aca="1" ref="TY35" ca="1">IF(AND(ISNUMBER(INDIRECT(TY$3)),INDIRECT(TY$3)&gt;1),INDIRECT(TY$3),"")</f>
        <v/>
      </c>
      <c r="TZ35" s="309" t="str" cm="1">
        <f t="array" aca="1" ref="TZ35" ca="1">IF(AND(ISNUMBER(INDIRECT(TZ$3)),INDIRECT(TZ$3)&gt;1),INDIRECT(TZ$3),"")</f>
        <v/>
      </c>
      <c r="UA35" s="309" t="str" cm="1">
        <f t="array" aca="1" ref="UA35" ca="1">IF(AND(ISNUMBER(INDIRECT(UA$3)),INDIRECT(UA$3)&gt;1),INDIRECT(UA$3),"")</f>
        <v/>
      </c>
      <c r="UB35" s="309" t="str">
        <f t="shared" ca="1" si="114"/>
        <v>x</v>
      </c>
      <c r="UC35" s="309" t="str">
        <f t="shared" ca="1" si="115"/>
        <v>y</v>
      </c>
      <c r="UD35" s="309" t="str">
        <f t="shared" ca="1" si="116"/>
        <v>z</v>
      </c>
      <c r="UE35" s="309" t="str">
        <f t="shared" ca="1" si="215"/>
        <v>a</v>
      </c>
      <c r="UF35" s="309" t="str" cm="1">
        <f t="array" aca="1" ref="UF35" ca="1">IF(UE35="a","",INDEX($TW$23:$UA$23,,MATCH(UE35,$TW35:$UA35,0)))</f>
        <v/>
      </c>
      <c r="UG35" s="309" t="str" cm="1">
        <f t="array" aca="1" ref="UG35" ca="1">IF(OR(UF35="",UF35&gt;=$UA$23),"",INDEX(INDIRECT(ADDRESS(ROW($TW$23),UF35+1)):$UA$23,,MATCH(UE35,INDIRECT(ADDRESS(ROW(),UF35+1)):$UA35,0)))</f>
        <v/>
      </c>
      <c r="UH35" s="309" t="str" cm="1">
        <f t="array" aca="1" ref="UH35" ca="1">IF(OR(UG35="",UG35&gt;=$UA$23),"",INDEX(INDIRECT(ADDRESS(ROW($TW$23),UG35+1)):$UA$23,,MATCH(UE35,INDIRECT(ADDRESS(ROW(),UG35+1)):$UA35,0)))</f>
        <v/>
      </c>
      <c r="UI35" s="309" t="str">
        <f t="shared" ca="1" si="216"/>
        <v>c</v>
      </c>
      <c r="UJ35" s="309" t="str" cm="1">
        <f t="array" aca="1" ref="UJ35" ca="1">IF(OR(UI35="b",UI35="c"),"",INDEX($TW$23:$UA$23,,MATCH(UI35,$TW35:$UA35,0)))</f>
        <v/>
      </c>
      <c r="UK35" s="309" t="str" cm="1">
        <f t="array" aca="1" ref="UK35" ca="1">IF(OR(UJ35="",UJ35&gt;=$UA$23),"",INDEX(INDIRECT(ADDRESS(ROW($TW$23),UJ35+1)):$UA$23,,MATCH(UI35,INDIRECT(ADDRESS(ROW(),UJ35+1)):$UA35,0)))</f>
        <v/>
      </c>
      <c r="UL35" s="309" t="str">
        <f t="shared" ca="1" si="117"/>
        <v/>
      </c>
      <c r="UM35" s="309" t="str">
        <f t="shared" ca="1" si="217"/>
        <v>e</v>
      </c>
      <c r="UN35" s="309" t="str">
        <f t="shared" ca="1" si="118"/>
        <v/>
      </c>
      <c r="UO35" s="309" t="str" cm="1">
        <f t="array" aca="1" ref="UO35" ca="1">IF(OR(UM35="d",UM35="e"),"",INDEX($TW$23:$UA$23,,MATCH(UM35,$TW35:$UA35,0)))</f>
        <v/>
      </c>
      <c r="UP35" s="309" t="str" cm="1">
        <f t="array" aca="1" ref="UP35" ca="1">IF(OR(UO35="",UO35&gt;=$UA$23),"",INDEX(INDIRECT(ADDRESS(ROW($TW$23),UO35+1)):$UA$23,,MATCH(UM35,INDIRECT(ADDRESS(ROW(),UO35+1)):$UA35,0)))</f>
        <v/>
      </c>
      <c r="UQ35" s="309" t="str" cm="1">
        <f t="array" aca="1" ref="UQ35" ca="1">IFERROR(IF(ISNUMBER(UF35),UF35,IF(ISNUMBER(UJ35),UJ35,IF(ISNUMBER(UN35),UN35,INDEX($TW$23:$UA$23,,MATCH(UB35,$TW35:$UA35,0))))),"x1")</f>
        <v>x1</v>
      </c>
      <c r="UR35" s="309" t="str" cm="1">
        <f t="array" aca="1" ref="UR35" ca="1">IFERROR(IF(ISNUMBER(UG35),UG35,IF(ISNUMBER(UK35),UK35,IF(ISNUMBER(UO35),UO35,INDEX($TW$23:$UA$23,,MATCH(UC35,$TW35:$UA35,0))))),IF(UQ35="x1","x2","x1"))</f>
        <v>x2</v>
      </c>
      <c r="US35" s="309" t="str" cm="1">
        <f t="array" aca="1" ref="US35" ca="1">IFERROR(IF(ISNUMBER(UH35),UH35,IF(ISNUMBER(UL35),UL35,IF(ISNUMBER(UP35),UP35,INDEX($TW$23:$UA$23,,MATCH(UD35,$TW35:$UA35,0))))),IF(UR35="x1","x2",IF(UR35="x2","x3","x1")))</f>
        <v>x3</v>
      </c>
      <c r="UT35" s="97" t="str" cm="1">
        <f t="array" aca="1" ref="UT35" ca="1">IF(OR(INDIRECT(UT$3)=$A$2,INDIRECT(UT$3)=$A$3),COLUMN(),"")</f>
        <v/>
      </c>
      <c r="UU35" s="97" t="str" cm="1">
        <f t="array" aca="1" ref="UU35" ca="1">IF(OR(INDIRECT(UU$3)=$A$2,INDIRECT(UU$3)=$A$3),COLUMN(),"")</f>
        <v/>
      </c>
      <c r="UV35" s="97" t="str" cm="1">
        <f t="array" aca="1" ref="UV35" ca="1">IF(OR(INDIRECT(UV$3)=$A$2,INDIRECT(UV$3)=$A$3),COLUMN(),"")</f>
        <v/>
      </c>
      <c r="UW35" s="97" t="str" cm="1">
        <f t="array" aca="1" ref="UW35" ca="1">IF(OR(INDIRECT(UW$3)=$A$2,INDIRECT(UW$3)=$A$3),COLUMN(),"")</f>
        <v/>
      </c>
      <c r="UX35" s="97" t="str" cm="1">
        <f t="array" aca="1" ref="UX35" ca="1">IF(OR(INDIRECT(UX$3)=$A$2,INDIRECT(UX$3)=$A$3),COLUMN(),"")</f>
        <v/>
      </c>
      <c r="UY35" s="97" t="str" cm="1">
        <f t="array" aca="1" ref="UY35" ca="1">IF(AND(ISNUMBER(INDIRECT(UY$3)),INDIRECT(UY$3)=0),COLUMN(),"")</f>
        <v/>
      </c>
      <c r="UZ35" s="97" t="str" cm="1">
        <f t="array" aca="1" ref="UZ35" ca="1">IF(AND(ISNUMBER(INDIRECT(UZ$3)),INDIRECT(UZ$3)=0),COLUMN(),"")</f>
        <v/>
      </c>
      <c r="VA35" s="97" t="str" cm="1">
        <f t="array" aca="1" ref="VA35" ca="1">IF(AND(ISNUMBER(INDIRECT(VA$3)),INDIRECT(VA$3)=0),COLUMN(),"")</f>
        <v/>
      </c>
      <c r="VB35" s="97" t="str" cm="1">
        <f t="array" aca="1" ref="VB35" ca="1">IF(AND(ISNUMBER(INDIRECT(VB$3)),INDIRECT(VB$3)=0),COLUMN(),"")</f>
        <v/>
      </c>
      <c r="VC35" s="97" t="str" cm="1">
        <f t="array" aca="1" ref="VC35" ca="1">IF(AND(ISNUMBER(INDIRECT(VC$3)),INDIRECT(VC$3)=0),COLUMN(),"")</f>
        <v/>
      </c>
      <c r="VD35" s="97" t="str">
        <f t="shared" ca="1" si="218"/>
        <v>x1</v>
      </c>
      <c r="VE35" s="97" t="str">
        <f t="shared" ca="1" si="219"/>
        <v>x2</v>
      </c>
      <c r="VF35" s="97" t="str">
        <f t="shared" ca="1" si="220"/>
        <v>x3</v>
      </c>
      <c r="VG35" s="97" t="str">
        <f ca="1">IFERROR(IF(ISNUMBER(VD35),VD35,SMALL($UY35:$VC35,VALUE(RIGHT(VD35,1)))),Stammdaten!$CB$17)</f>
        <v>Erste Spielsportart nicht durchgeführt</v>
      </c>
      <c r="VH35" s="97" t="str">
        <f ca="1">IFERROR(IF(ISNUMBER(VE35),VE35,SMALL($UY35:$VC35,VALUE(RIGHT(VE35,1)))),Stammdaten!$CB$18)</f>
        <v>Zweite Spielsportart nicht durchgeführt</v>
      </c>
      <c r="VI35" s="97" t="str">
        <f ca="1">IFERROR(IF(ISNUMBER(VF35),VF35,SMALL($UY35:$VC35,VALUE(RIGHT(VF35,1)))),Stammdaten!$CB$19)</f>
        <v>Dritte Spielsportart nicht durchgeführt</v>
      </c>
      <c r="VJ35" s="91" t="str" cm="1">
        <f t="array" aca="1" ref="VJ35" ca="1">IFERROR(INDIRECT(ADDRESS(ROW($TW$5),VG35)),VG35)</f>
        <v>Erste Spielsportart nicht durchgeführt</v>
      </c>
      <c r="VK35" s="97" t="str">
        <f t="shared" ca="1" si="221"/>
        <v/>
      </c>
      <c r="VL35" s="97" t="str" cm="1">
        <f t="array" aca="1" ref="VL35" ca="1">IFERROR(IF(INDIRECT(INDEX(INDIRECT(VL$5),MATCH(VJ35,INDIRECT(VL$4),0)))&lt;&gt;"",INDEX(INDIRECT(VL$5),MATCH(VJ35,INDIRECT(VL$4),0)),INDEX(INDIRECT(VL$6),MATCH(VJ35,INDIRECT(VL$4),0))),"")</f>
        <v/>
      </c>
      <c r="VM35" s="97" t="str">
        <f t="shared" ca="1" si="222"/>
        <v/>
      </c>
      <c r="VN35" s="97" t="str" cm="1">
        <f t="array" aca="1" ref="VN35" ca="1">IFERROR(INDIRECT(VL35),"")</f>
        <v/>
      </c>
      <c r="VO35" s="97" t="str">
        <f ca="1">IF(VN35="","",IF(AND(VK35=Stammdaten!$BX$20,VM35="0",VN35=1),SUBSTITUTE(TEXT(VN35,VM35)&amp;" "&amp;LEFT(VK35,LEN(VK35)-1),".",","),SUBSTITUTE(TEXT(VN35,VM35)&amp;" "&amp;VK35,".",",")))</f>
        <v/>
      </c>
      <c r="VP35" s="97" t="str">
        <f t="shared" ca="1" si="119"/>
        <v/>
      </c>
      <c r="VQ35" s="97" t="str" cm="1">
        <f t="array" aca="1" ref="VQ35" ca="1">IFERROR(LEFT(INDIRECT(VP35),1)&amp;"]","")</f>
        <v/>
      </c>
      <c r="VR35" s="97" t="str">
        <f t="shared" ca="1" si="120"/>
        <v/>
      </c>
      <c r="VS35" s="97" t="str">
        <f ca="1">IFERROR(LEFT(VJ35,FIND(Stammdaten!$CA$4,VJ35,1)-2),IFERROR(LEFT(VJ35,FIND(Stammdaten!$CC$3,VJ35,1)-2),VJ35))</f>
        <v>Erste Spielsportart</v>
      </c>
      <c r="VT35" s="97" t="str">
        <f ca="1">IF(NOT(ISERROR(FIND(Stammdaten!$CA$4,VJ35,1))),Stammdaten!$CA$4,IF(VU35&lt;&gt;Stammdaten!$CC$3,VR35,""))</f>
        <v>nicht durchgeführt</v>
      </c>
      <c r="VU35" s="91" t="str">
        <f ca="1">IF(VN35=$A$2,Stammdaten!$CC$3,VO35)</f>
        <v/>
      </c>
      <c r="VV35" s="91" t="str" cm="1">
        <f t="array" aca="1" ref="VV35" ca="1">IFERROR(INDIRECT(ADDRESS(ROW($TW$5),VH35)),VH35)</f>
        <v>Zweite Spielsportart nicht durchgeführt</v>
      </c>
      <c r="VW35" s="97" t="str">
        <f t="shared" ca="1" si="223"/>
        <v/>
      </c>
      <c r="VX35" s="97" t="str" cm="1">
        <f t="array" aca="1" ref="VX35" ca="1">IFERROR(IF(INDIRECT(INDEX(INDIRECT(VX$5),MATCH(VV35,INDIRECT(VX$4),0)))&lt;&gt;"",INDEX(INDIRECT(VX$5),MATCH(VV35,INDIRECT(VX$4),0)),INDEX(INDIRECT(VX$6),MATCH(VV35,INDIRECT(VX$4),0))),"")</f>
        <v/>
      </c>
      <c r="VY35" s="97" t="str">
        <f t="shared" ca="1" si="224"/>
        <v/>
      </c>
      <c r="VZ35" s="97" t="str" cm="1">
        <f t="array" aca="1" ref="VZ35" ca="1">IFERROR(INDIRECT(VX35),"")</f>
        <v/>
      </c>
      <c r="WA35" s="97" t="str">
        <f ca="1">IF(VZ35="","",IF(AND(VW35=Stammdaten!$BX$20,VY35="0",VZ35=1),SUBSTITUTE(TEXT(VZ35,VY35)&amp;" "&amp;LEFT(VW35,LEN(VW35)-1),".",","),SUBSTITUTE(TEXT(VZ35,VY35)&amp;" "&amp;VW35,".",",")))</f>
        <v/>
      </c>
      <c r="WB35" s="97" t="str">
        <f t="shared" ca="1" si="121"/>
        <v/>
      </c>
      <c r="WC35" s="97" t="str" cm="1">
        <f t="array" aca="1" ref="WC35" ca="1">IFERROR(LEFT(INDIRECT(WB35),1)&amp;"]","")</f>
        <v/>
      </c>
      <c r="WD35" s="97" t="str">
        <f t="shared" ca="1" si="122"/>
        <v/>
      </c>
      <c r="WE35" s="97" t="str">
        <f ca="1">IFERROR(LEFT(VV35,FIND(Stammdaten!$CA$4,VV35,1)-2),IFERROR(LEFT(VV35,FIND(Stammdaten!$CC$3,VV35,1)-2),VV35))</f>
        <v>Zweite Spielsportart</v>
      </c>
      <c r="WF35" s="97" t="str">
        <f ca="1">IF(NOT(ISERROR(FIND(Stammdaten!$CA$4,VV35,1))),Stammdaten!$CA$4,IF(WG35&lt;&gt;Stammdaten!$CC$3,WD35,""))</f>
        <v>nicht durchgeführt</v>
      </c>
      <c r="WG35" s="91" t="str">
        <f ca="1">IF(VZ35=$A$2,Stammdaten!$CC$3,WA35)</f>
        <v/>
      </c>
      <c r="WH35" s="91" t="str" cm="1">
        <f t="array" aca="1" ref="WH35" ca="1">IFERROR(INDIRECT(ADDRESS(ROW($TW$5),VI35)),VI35)</f>
        <v>Dritte Spielsportart nicht durchgeführt</v>
      </c>
      <c r="WI35" s="97" t="str">
        <f t="shared" ca="1" si="225"/>
        <v/>
      </c>
      <c r="WJ35" s="97" t="str" cm="1">
        <f t="array" aca="1" ref="WJ35" ca="1">IFERROR(IF(INDIRECT(INDEX(INDIRECT(WJ$5),MATCH(WH35,INDIRECT(WJ$4),0)))&lt;&gt;"",INDEX(INDIRECT(WJ$5),MATCH(WH35,INDIRECT(WJ$4),0)),INDEX(INDIRECT(WJ$6),MATCH(WH35,INDIRECT(WJ$4),0))),"")</f>
        <v/>
      </c>
      <c r="WK35" s="97" t="str">
        <f t="shared" ca="1" si="226"/>
        <v/>
      </c>
      <c r="WL35" s="97" t="str" cm="1">
        <f t="array" aca="1" ref="WL35" ca="1">IFERROR(INDIRECT(WJ35),"")</f>
        <v/>
      </c>
      <c r="WM35" s="97" t="str">
        <f ca="1">IF(WL35="","",IF(AND(WI35=Stammdaten!$BX$20,WK35="0",WL35=1),SUBSTITUTE(TEXT(WL35,WK35)&amp;" "&amp;LEFT(WI35,LEN(WI35)-1),".",","),SUBSTITUTE(TEXT(WL35,WK35)&amp;" "&amp;WI35,".",",")))</f>
        <v/>
      </c>
      <c r="WN35" s="97" t="str">
        <f t="shared" ca="1" si="123"/>
        <v/>
      </c>
      <c r="WO35" s="97" t="str" cm="1">
        <f t="array" aca="1" ref="WO35" ca="1">IFERROR(LEFT(INDIRECT(WN35),1)&amp;"]","")</f>
        <v/>
      </c>
      <c r="WP35" s="97" t="str">
        <f t="shared" ca="1" si="124"/>
        <v/>
      </c>
      <c r="WQ35" s="97" t="str">
        <f ca="1">IFERROR(LEFT(WH35,FIND(Stammdaten!$CA$4,WH35,1)-2),IFERROR(LEFT(WH35,FIND(Stammdaten!$CC$3,WH35,1)-2),WH35))</f>
        <v>Dritte Spielsportart</v>
      </c>
      <c r="WR35" s="97" t="str">
        <f ca="1">IF(NOT(ISERROR(FIND(Stammdaten!$CA$4,WH35,1))),Stammdaten!$CA$4,IF(WS35&lt;&gt;Stammdaten!$CC$3,WP35,""))</f>
        <v>nicht durchgeführt</v>
      </c>
      <c r="WS35" s="91" t="str">
        <f ca="1">IF(WL35=$A$2,Stammdaten!$CC$3,WM35)</f>
        <v/>
      </c>
      <c r="WT35" s="97" t="str" cm="1">
        <f t="array" aca="1" ref="WT35" ca="1">INDIRECT(WT$5)</f>
        <v/>
      </c>
      <c r="WU35" s="97" t="str" cm="1">
        <f t="array" aca="1" ref="WU35" ca="1">INDIRECT(WU$5)</f>
        <v/>
      </c>
      <c r="WV35" s="97" t="str" cm="1">
        <f t="array" aca="1" ref="WV35" ca="1">INDIRECT(WV$5)</f>
        <v/>
      </c>
      <c r="WW35" s="97" t="str" cm="1">
        <f t="array" aca="1" ref="WW35" ca="1">INDIRECT(WW$5)</f>
        <v/>
      </c>
      <c r="WX35" s="97" t="str" cm="1">
        <f t="array" aca="1" ref="WX35" ca="1">INDIRECT(WX$5)</f>
        <v/>
      </c>
      <c r="WY35" s="97" cm="1">
        <f t="array" aca="1" ref="WY35" ca="1">IF(INDIRECT(WY$5)&lt;&gt;"",INDIRECT(WY$5),0)</f>
        <v>0</v>
      </c>
      <c r="WZ35" s="97" cm="1">
        <f t="array" aca="1" ref="WZ35" ca="1">IF(INDIRECT(WZ$5)&lt;&gt;"",INDIRECT(WZ$5),0)</f>
        <v>0</v>
      </c>
      <c r="XA35" s="97" cm="1">
        <f t="array" aca="1" ref="XA35" ca="1">IF(INDIRECT(XA$5)&lt;&gt;"",INDIRECT(XA$5),0)</f>
        <v>0</v>
      </c>
      <c r="XB35" s="97" cm="1">
        <f t="array" aca="1" ref="XB35" ca="1">IF(INDIRECT(XB$5)&lt;&gt;"",INDIRECT(XB$5),0)</f>
        <v>0</v>
      </c>
      <c r="XC35" s="97" cm="1">
        <f t="array" aca="1" ref="XC35" ca="1">IF(INDIRECT(XC$5)&lt;&gt;"",INDIRECT(XC$5),0)</f>
        <v>0</v>
      </c>
      <c r="XD35" s="97">
        <f t="shared" ca="1" si="125"/>
        <v>0</v>
      </c>
      <c r="XE35" s="97">
        <f t="shared" ca="1" si="125"/>
        <v>0</v>
      </c>
      <c r="XF35" s="97">
        <f t="shared" ca="1" si="125"/>
        <v>0</v>
      </c>
      <c r="XG35" s="97">
        <f t="shared" ca="1" si="227"/>
        <v>0</v>
      </c>
      <c r="XH35" s="108">
        <f t="shared" ca="1" si="228"/>
        <v>0</v>
      </c>
      <c r="XI35" s="108">
        <f t="shared" ca="1" si="126"/>
        <v>0</v>
      </c>
      <c r="XJ35" s="108" t="str">
        <f t="shared" ca="1" si="229"/>
        <v/>
      </c>
      <c r="XK35" s="97" t="str">
        <f ca="1">IF(XJ35="",Stammdaten!$BZ$1,IF(AND(XH35=0,XI35&gt;=XJ$25),$A$3,ROUND(SUM(XG35/XJ35)/XK$25,0)*XK$25))</f>
        <v>Zu wenige Werte</v>
      </c>
      <c r="XL35" s="108">
        <f t="shared" ca="1" si="230"/>
        <v>6</v>
      </c>
      <c r="XM35" s="97" t="str">
        <f t="shared" ca="1" si="231"/>
        <v/>
      </c>
      <c r="XN35" s="97" t="str">
        <f t="shared" ca="1" si="232"/>
        <v/>
      </c>
      <c r="XO35" s="97" t="str">
        <f t="shared" ca="1" si="233"/>
        <v/>
      </c>
      <c r="XP35" s="97" t="str">
        <f t="shared" ca="1" si="234"/>
        <v/>
      </c>
      <c r="XQ35" s="97" t="str">
        <f t="shared" ca="1" si="235"/>
        <v>g</v>
      </c>
      <c r="XR35" s="97" t="str">
        <f t="shared" ca="1" si="236"/>
        <v/>
      </c>
      <c r="XS35" s="97">
        <f t="shared" ca="1" si="237"/>
        <v>1</v>
      </c>
      <c r="XT35" s="97" t="str">
        <f ca="1">IF(OR(Geschlecht[[#This Row],[Geschlecht (Skala)]]="",NOT(ISNUMBER(XJ35))),"",XS35)</f>
        <v/>
      </c>
      <c r="XU35" s="97" t="str">
        <f t="shared" ca="1" si="238"/>
        <v/>
      </c>
      <c r="XV35" s="97"/>
      <c r="XW35" s="308" t="str">
        <f t="shared" ca="1" si="127"/>
        <v>Zu wenige Werte</v>
      </c>
      <c r="XX35" s="97"/>
      <c r="XY35" s="97" t="str">
        <f t="shared" ca="1" si="128"/>
        <v>Zu wenige Werte</v>
      </c>
      <c r="XZ35" s="97" t="str">
        <f t="shared" ca="1" si="129"/>
        <v>Zu wenige Werte</v>
      </c>
      <c r="YA35" s="97" t="str">
        <f t="shared" ca="1" si="130"/>
        <v>Zu wenige Werte</v>
      </c>
      <c r="YB35" s="97" t="str">
        <f t="shared" ca="1" si="131"/>
        <v>Zu wenige Werte</v>
      </c>
      <c r="YC35" s="97">
        <f t="shared" ca="1" si="239"/>
        <v>0</v>
      </c>
      <c r="YD35" s="108">
        <f t="shared" ca="1" si="240"/>
        <v>0</v>
      </c>
      <c r="YE35" s="108">
        <f t="shared" ca="1" si="241"/>
        <v>0</v>
      </c>
      <c r="YF35" s="108" t="str">
        <f t="shared" ca="1" si="242"/>
        <v/>
      </c>
      <c r="YG35" s="97" t="str">
        <f ca="1">IF(YF35="",Stammdaten!$BZ$1,IF(YE35=YF$25,$A$3,ROUND(SUM(YC35/YF35)/YG$25,0)*YG$25))</f>
        <v>Zu wenige Werte</v>
      </c>
      <c r="YH35" s="97" t="str">
        <f ca="1">IF(NOT(ISNUMBER(XY35)),"",IF(YH$11&lt;&gt;"2+",TEXT(XY35,YH$11)&amp;" / ",IF(RIGHT(XY35*100,2)="00",TEXT(XY35,"0"&amp;Stammdaten!$AZ$3&amp;"0")&amp;" / ",XY35&amp;" / ")))</f>
        <v/>
      </c>
      <c r="YI35" s="97" t="str">
        <f ca="1">IF(NOT(ISNUMBER(XZ35)),"",IF(YI$11&lt;&gt;"2+",TEXT(XZ35,YI$11)&amp;" / ",IF(RIGHT(XZ35*100,2)="00",TEXT(XZ35,"0"&amp;Stammdaten!$AZ$3&amp;"0")&amp;" / ",XZ35&amp;" / ")))</f>
        <v/>
      </c>
      <c r="YJ35" s="97" t="str">
        <f ca="1">IF(NOT(ISNUMBER(YA35)),"",IF(YJ$11&lt;&gt;"2+",TEXT(YA35,YJ$11)&amp;" / ",IF(RIGHT(YA35*100,2)="00",TEXT(YA35,"0"&amp;Stammdaten!$AZ$3&amp;"0")&amp;" / ",YA35&amp;" / ")))</f>
        <v/>
      </c>
      <c r="YK35" s="97" t="str">
        <f ca="1">IF(NOT(ISNUMBER(YB35)),"",IF(YK$11&lt;&gt;"2+",TEXT(YB35,YK$11)&amp;" / ",IF(RIGHT(YB35*100,2)="00",TEXT(YB35,"0"&amp;Stammdaten!$AZ$3&amp;"0")&amp;" / ",YB35&amp;" / ")))</f>
        <v/>
      </c>
      <c r="YL35" s="97" t="str">
        <f t="shared" ca="1" si="243"/>
        <v/>
      </c>
      <c r="YM35" s="97" t="str">
        <f>IF(Geschlecht[[#This Row],[Geschlecht (Skala)]]="","",IF(ISNUMBER(XY35),1,IF(XY35=$A$3,$A$2,"R")))</f>
        <v/>
      </c>
      <c r="YN35" s="97" t="str">
        <f>IF(Geschlecht[[#This Row],[Geschlecht (Skala)]]="","",IF(ISNUMBER(XZ35),1,IF(XZ35=$A$3,$A$2,"R")))</f>
        <v/>
      </c>
      <c r="YO35" s="97" t="str">
        <f>IF(Geschlecht[[#This Row],[Geschlecht (Skala)]]="","",IF(ISNUMBER(YA35),1,IF(YA35=$A$3,$A$2,"R")))</f>
        <v/>
      </c>
      <c r="YP35" s="97" t="str">
        <f>IF(Geschlecht[[#This Row],[Geschlecht (Skala)]]="","",IF(ISNUMBER(YB35),1,IF(YB35=$A$3,$A$2,"R")))</f>
        <v/>
      </c>
      <c r="YQ35" s="97" t="str">
        <f t="shared" si="244"/>
        <v>g</v>
      </c>
      <c r="YR35" s="97" t="str">
        <f t="shared" ca="1" si="245"/>
        <v/>
      </c>
      <c r="YS35" s="97">
        <f t="shared" ca="1" si="246"/>
        <v>1</v>
      </c>
      <c r="YT35" s="97" t="str">
        <f ca="1">IF(OR(Geschlecht[[#This Row],[Geschlecht (Skala)]]="",NOT(ISNUMBER(YG35))),"",YS35)</f>
        <v/>
      </c>
      <c r="YU35" s="97"/>
      <c r="YV35" s="311" t="str">
        <f t="shared" si="247"/>
        <v>D</v>
      </c>
      <c r="YW35" s="302"/>
      <c r="YX35" s="311" t="str">
        <f t="shared" si="248"/>
        <v>D</v>
      </c>
      <c r="YY35" s="302"/>
      <c r="YZ35" s="311" t="str">
        <f t="shared" si="249"/>
        <v>D</v>
      </c>
      <c r="ZA35" s="302"/>
      <c r="ZB35" s="311" t="str">
        <f t="shared" si="250"/>
        <v>D</v>
      </c>
      <c r="ZC35" s="97"/>
      <c r="ZD35" s="97" t="str">
        <f t="shared" ca="1" si="132"/>
        <v/>
      </c>
      <c r="ZE35" s="97"/>
      <c r="ZF35" s="308" t="str">
        <f t="shared" ca="1" si="251"/>
        <v>Zu wenige Werte</v>
      </c>
      <c r="ZH35" s="317" t="s">
        <v>134</v>
      </c>
      <c r="ZJ35" s="91" t="str" cm="1">
        <f t="array" ref="ZJ35">IF(OR(Geschlecht[[#This Row],[Geschlecht (Skala)]]="",ZH35="",ZH35=Stammdaten!$BZ$5),"",REPLACE(INDEX(StdDisziplinen[TabÜberschriftNote],ZH$3),FIND("X",INDEX(StdDisziplinen[TabÜberschriftNote],ZH$3),1),1,Geschlecht[[#This Row],[Geschlecht (Skala)]]))</f>
        <v/>
      </c>
      <c r="ZK35" s="314"/>
      <c r="ZM35" s="315"/>
      <c r="ZN35" s="97" t="str">
        <f>IFERROR(IFERROR(SUBSTITUTE(SchwimmenResultatMin[[#This Row],[Min]],".",",")*1,SUBSTITUTE(SchwimmenResultatMin[[#This Row],[Min]],",",".")*1),"")</f>
        <v/>
      </c>
      <c r="ZO35" s="91" t="e">
        <f>INT(SchwimmenResultatMin[[#This Row],[Resultat]])=SchwimmenResultatMin[[#This Row],[Resultat]]</f>
        <v>#VALUE!</v>
      </c>
      <c r="ZP35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5" s="315"/>
      <c r="ZS35" s="97" t="str">
        <f>IFERROR(IFERROR(SUBSTITUTE(SchwimmenResultatSek[[#This Row],[Sek]],".",",")*1,SUBSTITUTE(SchwimmenResultatSek[[#This Row],[Sek]],",",".")*1),"")</f>
        <v/>
      </c>
      <c r="ZT35" s="108" t="e">
        <f>INT(SchwimmenResultatSek[[#This Row],[Resultat]])=SchwimmenResultatSek[[#This Row],[Resultat]]</f>
        <v>#VALUE!</v>
      </c>
      <c r="ZU35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5" s="97" t="str" cm="1">
        <f t="array" aca="1" ref="ZW35" ca="1">IF(AND(INDIRECT(ZW$2)="",INDIRECT(ZX$2)=""),"",IFERROR((INDIRECT(ZW$2)*$ZW$25)+INDIRECT(ZX$2),""))</f>
        <v/>
      </c>
      <c r="ZX35" s="91" t="str">
        <f ca="1">REPLACE(ZW$4,ZX$6,1,Geschlecht[[#This Row],[Geschlecht (Skala)]])</f>
        <v>Schwimmen_[Resultat]</v>
      </c>
      <c r="ZY35" s="91" t="str">
        <f ca="1">IFERROR(REPLACE($ZX35,FIND(Stammdaten!$V$2,$ZX35,1),LEN(Stammdaten!$V$2),Stammdaten!$BZ$9),"")</f>
        <v>Schwimmen_[Anzeige]</v>
      </c>
      <c r="ZZ35" s="97" t="str" cm="1">
        <f t="array" aca="1" ref="ZZ35" ca="1">IF(INDIRECT(ZW$3)="","",IF(INDIRECT(ZW$3)=0,0,IF(OR(INDIRECT(ZW$1)=$A$2,INDIRECT(ZW$1)=$A$3),$A$3,IFERROR(INDEX(INDIRECT(ZX35),MATCH(INDIRECT(ZW$3),INDIRECT(ZX35),ZY$25)),IFERROR(IF(ZY$25=-1,MAX(INDIRECT(ZX35)),IF(ZY$25=1,MIN(INDIRECT(ZX35)))),"")))))</f>
        <v/>
      </c>
      <c r="AAA35" s="97" t="str" cm="1">
        <f t="array" aca="1" ref="AAA35" ca="1">IF(INDIRECT(ZX$5)=0,0,IF(OR(INDIRECT(ZW$1)=$A$2,INDIRECT(ZW$1)=$A$3),$A$3,IFERROR(INDEX(INDIRECT($ZY35),MATCH(INDIRECT(ZX$5),INDIRECT($ZX35),0)),"")))</f>
        <v/>
      </c>
      <c r="AAC35" s="91" t="str">
        <f ca="1">REPLACE(ZW$6,ZX$6,1,Geschlecht[[#This Row],[Geschlecht (Skala)]])</f>
        <v>Schwimmen_[Note]</v>
      </c>
      <c r="AAD35" s="97" t="str" cm="1">
        <f t="array" aca="1" ref="AAD35" ca="1">IFERROR(INDEX(INDIRECT(AAC35),MATCH(INDIRECT(ZX$5),INDIRECT(ZX35),0)),IF(INDIRECT(ZX$5)=0,1,""))</f>
        <v/>
      </c>
      <c r="AAE35" s="97"/>
      <c r="AAF35" s="96" t="str">
        <f>ZwölfMinLaufHalleResultat[[#This Row],[Resultat]]</f>
        <v/>
      </c>
      <c r="AAG35" s="96"/>
      <c r="AAH35" s="97" t="str">
        <f ca="1">ZwölfMinLaufHalleSkalawert[[#This Row],[Skala-Wert]]</f>
        <v/>
      </c>
      <c r="AAJ35" s="97" t="str">
        <f ca="1">ZwölfMinLaufHalleNote[[#This Row],[Note]]</f>
        <v/>
      </c>
      <c r="AAK35" s="97"/>
      <c r="AAL35" s="96" t="str">
        <f>ZwölfMinLaufimFreienResultat[[#This Row],[Resultat]]</f>
        <v/>
      </c>
      <c r="AAM35" s="96"/>
      <c r="AAN35" s="97" t="str">
        <f ca="1">ZwölfMinLaufimFreienSkalawert[[#This Row],[Skala-Wert]]</f>
        <v/>
      </c>
      <c r="AAP35" s="97" t="str">
        <f ca="1">ZwölfMinLaufimFreienNote[[#This Row],[Note]]</f>
        <v/>
      </c>
      <c r="AAQ35" s="97"/>
      <c r="AAR35" s="307"/>
      <c r="AAS35" s="96" t="str">
        <f>IFERROR(IFERROR(SUBSTITUTE(BeweglichkeitResultat[[#This Row],[Eingabe]],".",",")*1,SUBSTITUTE(BeweglichkeitResultat[[#This Row],[Eingabe]],",",".")*1),"")</f>
        <v/>
      </c>
      <c r="AAT35" s="96" t="e">
        <f>INT(BeweglichkeitResultat[[#This Row],[Resultat]])=BeweglichkeitResultat[[#This Row],[Resultat]]</f>
        <v>#VALUE!</v>
      </c>
      <c r="AAU35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5" s="96"/>
      <c r="AAW35" s="91" t="str" cm="1">
        <f t="array" aca="1" ref="AAW35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5" s="96" t="str">
        <f ca="1">REPLACE(AAW$4,AAX$6,1,Geschlecht[[#This Row],[Geschlecht (Skala)]])</f>
        <v>Beweglichkeit_[Resultat]</v>
      </c>
      <c r="AAY35" s="96" t="str" cm="1">
        <f t="array" aca="1" ref="AAY35" ca="1">IF(OR(INDIRECT(AAW$1)=$A$2,INDIRECT(AAW$1)=$A$3),$A$3,IF(OR(INDIRECT(AAW$2)="",AND(Geschlecht[[#This Row],[Geschlecht (Skala)]]=Stammdaten!$D$7,INDIRECT(AAW$2)&lt;0)),"",IFERROR(INDEX(INDIRECT(AAX35),MATCH(INDIRECT(AAW$3),INDIRECT(AAX35),AAX$25)),IFERROR(IF(AAX$25=-1,MAX(INDIRECT(AAX35)),IF(AAX$25=1,MIN(INDIRECT(AAX35)))),""))))</f>
        <v/>
      </c>
      <c r="AAZ35" s="97" t="str" cm="1">
        <f t="array" aca="1" ref="AAZ35" ca="1">IF(INDIRECT(AAW$1)="","",IF(INDIRECT(AAW$1)=0,0,IF(OR(INDIRECT(AAW$1)=$A$2,INDIRECT(AAW$1)=$A$3),$A$3,IFERROR(INDEX(INDIRECT(AAY35),MATCH(INDIRECT(AAW$3),INDIRECT(AAY35),AAY$27)),IFERROR(IF(AAY$27=-1,MAX(INDIRECT(AAY35)),IF(AAY$27=1,MIN(INDIRECT(AAY35)))),"")))))</f>
        <v/>
      </c>
      <c r="ABA35" s="96" t="str">
        <f ca="1">REPLACE(AAW$6,AAX$6,1,Geschlecht[[#This Row],[Geschlecht (Skala)]])</f>
        <v>Beweglichkeit_[Note]</v>
      </c>
      <c r="ABB35" s="91" t="str" cm="1">
        <f t="array" aca="1" ref="ABB35" ca="1">IFERROR(INDEX(INDIRECT(ABA35),MATCH(INDIRECT(AAW$5),INDIRECT(AAX35),0)),"")</f>
        <v/>
      </c>
      <c r="ABC35" s="97" t="str" cm="1">
        <f t="array" aca="1" ref="ABC35" ca="1">IFERROR(INDEX(INDIRECT(ABB35),MATCH(INDIRECT(AAW$5),INDIRECT(AAY35),0)),"")</f>
        <v/>
      </c>
      <c r="ABD35" s="307"/>
      <c r="ABE35" s="96" t="str">
        <f>IFERROR(IFERROR(SUBSTITUTE(RumpfkraftResultat[[#This Row],[Eingabe]],".",",")*1,SUBSTITUTE(RumpfkraftResultat[[#This Row],[Eingabe]],",",".")*1),"")</f>
        <v/>
      </c>
      <c r="ABF35" s="96" t="e">
        <f>INT(RumpfkraftResultat[[#This Row],[Resultat]])=RumpfkraftResultat[[#This Row],[Resultat]]</f>
        <v>#VALUE!</v>
      </c>
      <c r="ABG35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5" s="96"/>
      <c r="ABI35" s="91" t="str" cm="1">
        <f t="array" aca="1" ref="ABI35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5" s="96" t="str">
        <f ca="1">REPLACE(ABI$4,ABJ$6,1,Geschlecht[[#This Row],[Geschlecht (Skala)]])</f>
        <v>Rumpfkraft_[Resultat]</v>
      </c>
      <c r="ABK35" s="97" t="str" cm="1">
        <f t="array" aca="1" ref="ABK35" ca="1">IF(INDIRECT(ABI$1)="","",IF(OR(INDIRECT(ABI$1)=$A$2,INDIRECT(ABI$1)=$A$3),$A$3,IFERROR(INDEX(INDIRECT(ABJ35),MATCH(INDIRECT(ABI$3),INDIRECT(ABJ35),ABJ$25)),IFERROR(IF(ABJ$25=-1,MAX(INDIRECT(ABJ35)),IF(ABJ$25=1,MIN(INDIRECT(ABJ35)))),""))))</f>
        <v/>
      </c>
      <c r="ABM35" s="91" t="str">
        <f ca="1">REPLACE(ABI$6,ABJ$6,1,Geschlecht[[#This Row],[Geschlecht (Skala)]])</f>
        <v>Rumpfkraft_[Note]</v>
      </c>
      <c r="ABN35" s="97" t="str" cm="1">
        <f t="array" aca="1" ref="ABN35" ca="1">IFERROR(INDEX(INDIRECT(ABM35),MATCH(INDIRECT(ABI$5),INDIRECT(ABJ35),0)),"")</f>
        <v/>
      </c>
      <c r="ABO35" s="97"/>
      <c r="ABP35" s="96" t="str">
        <f>SechzigmLaufResultat[[#This Row],[Resultat]]</f>
        <v/>
      </c>
      <c r="ABQ35" s="96"/>
      <c r="ABR35" s="97" t="str">
        <f ca="1">SechzigmLaufSkalawert[[#This Row],[Skala-Wert]]</f>
        <v/>
      </c>
      <c r="ABT35" s="97" t="str">
        <f ca="1">SechzigmLaufNote[[#This Row],[Note]]</f>
        <v/>
      </c>
      <c r="ABU35" s="97"/>
      <c r="ABV35" s="96" t="str">
        <f>AchtzigmLaufResultat[[#This Row],[Resultat]]</f>
        <v/>
      </c>
      <c r="ABW35" s="96"/>
      <c r="ABX35" s="97" t="str">
        <f ca="1">AchtzigmLaufSkalawert[[#This Row],[Skala-Wert]]</f>
        <v/>
      </c>
      <c r="ABZ35" s="97" t="str">
        <f ca="1">AchtzigmLaufNote[[#This Row],[Note]]</f>
        <v/>
      </c>
      <c r="ACA35" s="97"/>
      <c r="ACB35" s="307"/>
      <c r="ACC35" s="96" t="str">
        <f>IFERROR(IFERROR(SUBSTITUTE(KonditionsparcoursResultat[[#This Row],[Eingabe]],".",",")*1,SUBSTITUTE(KonditionsparcoursResultat[[#This Row],[Eingabe]],",",".")*1),"")</f>
        <v/>
      </c>
      <c r="ACD35" s="96" t="e">
        <f>INT(KonditionsparcoursResultat[[#This Row],[Resultat]])=KonditionsparcoursResultat[[#This Row],[Resultat]]</f>
        <v>#VALUE!</v>
      </c>
      <c r="ACE35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5" s="96"/>
      <c r="ACG35" s="91" t="str" cm="1">
        <f t="array" aca="1" ref="ACG35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5" s="96" t="str">
        <f ca="1">LEFT(Geschlecht[[#This Row],[Geschlecht (Skala)]],1)&amp;ACM$4</f>
        <v>2</v>
      </c>
      <c r="ACI35" s="96" t="str">
        <f t="shared" ca="1" si="133"/>
        <v>Konditionsparcours_2[Resultat]</v>
      </c>
      <c r="ACJ35" s="97" t="str" cm="1">
        <f t="array" aca="1" ref="ACJ35" ca="1">IF(INDIRECT(ACG$1)="","",IF(OR(INDIRECT(ACG$1)=$A$2,INDIRECT(ACG$1)=$A$3),$A$3,IFERROR(INDEX(INDIRECT(ACI35),MATCH(INDIRECT(ACG$3),INDIRECT(ACI35),ACI$25)),IFERROR(IF(ACI$25=-1,MAX(INDIRECT(ACI35)),IF(ACI$25=1,MIN(INDIRECT(ACI35)))),""))))</f>
        <v/>
      </c>
      <c r="ACL35" s="91" t="str">
        <f t="shared" ca="1" si="134"/>
        <v>Konditionsparcours_2[Note]</v>
      </c>
      <c r="ACM35" s="97" t="str" cm="1">
        <f t="array" aca="1" ref="ACM35" ca="1">IFERROR(INDEX(INDIRECT(ACL35),MATCH(INDIRECT(ACG$5),INDIRECT(ACI35),0)),"")</f>
        <v/>
      </c>
      <c r="ACN35" s="102"/>
    </row>
    <row r="36" spans="1:768">
      <c r="A36" s="305">
        <v>9</v>
      </c>
      <c r="B36" s="133"/>
      <c r="C36" s="133"/>
      <c r="E36" s="306"/>
      <c r="G36" s="307"/>
      <c r="H36" s="96" t="str">
        <f>IFERROR(IFERROR(SUBSTITUTE(SechzigmLaufResultat[[#This Row],[Eingabe]],".",",")*1,SUBSTITUTE(SechzigmLaufResultat[[#This Row],[Eingabe]],",",".")*1),"")</f>
        <v/>
      </c>
      <c r="I36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6" s="96"/>
      <c r="K36" s="91" t="str" cm="1">
        <f t="array" aca="1" ref="K36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6" s="96" t="str">
        <f ca="1">LEFT(Geschlecht[[#This Row],[Geschlecht (Skala)]],1)&amp;Q$4</f>
        <v>2</v>
      </c>
      <c r="M36" s="96" t="str">
        <f t="shared" ca="1" si="37"/>
        <v>SechzigmLauf_2[Resultat]</v>
      </c>
      <c r="N36" s="97" t="str" cm="1">
        <f t="array" aca="1" ref="N36" ca="1">IF(INDIRECT(K$1)="","",IF(INDIRECT(K$2)=0,0,IF(OR(INDIRECT(K$1)=$A$2,INDIRECT(K$1)=$A$3),$A$3,IFERROR(INDEX(INDIRECT(M36),MATCH(INDIRECT(K$3),INDIRECT(M36),M$25)),IFERROR(IF(M$25=-1,MAX(INDIRECT(M36)),IF(M$25=1,MIN(INDIRECT(M36)))),"")))))</f>
        <v/>
      </c>
      <c r="P36" s="91" t="str">
        <f t="shared" ca="1" si="38"/>
        <v>SechzigmLauf_2[Note]</v>
      </c>
      <c r="Q36" s="97" t="str" cm="1">
        <f t="array" aca="1" ref="Q36" ca="1">IFERROR(INDEX(INDIRECT(P36),MATCH(INDIRECT(K$5),INDIRECT(M36),0)),IF(INDIRECT(K$5)=0,1,""))</f>
        <v/>
      </c>
      <c r="R36" s="97"/>
      <c r="S36" s="307"/>
      <c r="T36" s="96" t="str">
        <f>IFERROR(IFERROR(SUBSTITUTE(AchtzigmLaufResultat[[#This Row],[Eingabe]],".",",")*1,SUBSTITUTE(AchtzigmLaufResultat[[#This Row],[Eingabe]],",",".")*1),"")</f>
        <v/>
      </c>
      <c r="U36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6" s="96"/>
      <c r="W36" s="91" t="str" cm="1">
        <f t="array" aca="1" ref="W36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6" s="96" t="str">
        <f ca="1">LEFT(Geschlecht[[#This Row],[Geschlecht (Skala)]],1)&amp;AC$4</f>
        <v>2</v>
      </c>
      <c r="Y36" s="96" t="str">
        <f t="shared" ca="1" si="39"/>
        <v>AchtzigmLauf_2[Resultat]</v>
      </c>
      <c r="Z36" s="97" t="str" cm="1">
        <f t="array" aca="1" ref="Z36" ca="1">IF(INDIRECT(W$1)="","",IF(INDIRECT(W$2)=0,0,IF(OR(INDIRECT(W$1)=$A$2,INDIRECT(W$1)=$A$3),$A$3,IFERROR(INDEX(INDIRECT(Y36),MATCH(INDIRECT(W$3),INDIRECT(Y36),Y$25)),IFERROR(IF(Y$25=-1,MAX(INDIRECT(Y36)),IF(Y$25=1,MIN(INDIRECT(Y36)))),"")))))</f>
        <v/>
      </c>
      <c r="AB36" s="91" t="str">
        <f t="shared" ca="1" si="40"/>
        <v>AchtzigmLauf_2[Note]</v>
      </c>
      <c r="AC36" s="97" t="str" cm="1">
        <f t="array" aca="1" ref="AC36" ca="1">IFERROR(INDEX(INDIRECT(AB36),MATCH(INDIRECT(W$5),INDIRECT(Y36),0)),IF(INDIRECT(W$5)=0,1,""))</f>
        <v/>
      </c>
      <c r="AD36" s="97"/>
      <c r="AE36" s="307"/>
      <c r="AF36" s="96" t="str">
        <f>IFERROR(IFERROR(SUBSTITUTE(ZwölfMinLaufHalleResultat[[#This Row],[Eingabe]],".",",")*1,SUBSTITUTE(ZwölfMinLaufHalleResultat[[#This Row],[Eingabe]],",",".")*1),"")</f>
        <v/>
      </c>
      <c r="AG36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6" s="96"/>
      <c r="AI36" s="91" t="str" cm="1">
        <f t="array" aca="1" ref="AI36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6" s="96" t="str">
        <f ca="1">LEFT(Geschlecht[[#This Row],[Geschlecht (Skala)]],1)&amp;AO$4</f>
        <v>2</v>
      </c>
      <c r="AK36" s="96" t="str">
        <f t="shared" ca="1" si="41"/>
        <v>ZwölfMinLaufHalle_2[Resultat]</v>
      </c>
      <c r="AL36" s="97" t="str" cm="1">
        <f t="array" aca="1" ref="AL36" ca="1">IF(INDIRECT(AI$1)="","",IF(INDIRECT(AI$2)=0,0,IF(OR(INDIRECT(AI$1)=$A$2,INDIRECT(AI$1)=$A$3),$A$3,IFERROR(INDEX(INDIRECT(AK36),MATCH(INDIRECT(AI$3),INDIRECT(AK36),AK$25)),IFERROR(IF(AK$25=-1,MAX(INDIRECT(AK36)),IF(AK$25=1,MIN(INDIRECT(AK36)))),"")))))</f>
        <v/>
      </c>
      <c r="AN36" s="91" t="str">
        <f t="shared" ca="1" si="42"/>
        <v>ZwölfMinLaufHalle_2[Note]</v>
      </c>
      <c r="AO36" s="97" t="str" cm="1">
        <f t="array" aca="1" ref="AO36" ca="1">IFERROR(INDEX(INDIRECT(AN36),MATCH(INDIRECT(AI$5),INDIRECT(AK36),0)),IF(INDIRECT(AI$5)=0,1,""))</f>
        <v/>
      </c>
      <c r="AP36" s="97"/>
      <c r="AQ36" s="307"/>
      <c r="AR36" s="96" t="str">
        <f>IFERROR(IFERROR(SUBSTITUTE(ZwölfMinLaufimFreienResultat[[#This Row],[Eingabe]],".",",")*1,SUBSTITUTE(ZwölfMinLaufimFreienResultat[[#This Row],[Eingabe]],",",".")*1),"")</f>
        <v/>
      </c>
      <c r="AS36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6" s="96"/>
      <c r="AU36" s="91" t="str" cm="1">
        <f t="array" aca="1" ref="AU36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6" s="96" t="str">
        <f ca="1">LEFT(Geschlecht[[#This Row],[Geschlecht (Skala)]],1)&amp;BA$4</f>
        <v>2</v>
      </c>
      <c r="AW36" s="96" t="str">
        <f t="shared" ca="1" si="43"/>
        <v>ZwölfMinLaufimFreien_2[Resultat]</v>
      </c>
      <c r="AX36" s="97" t="str" cm="1">
        <f t="array" aca="1" ref="AX36" ca="1">IF(INDIRECT(AU$1)="","",IF(INDIRECT(AU$2)=0,0,IF(OR(INDIRECT(AU$1)=$A$2,INDIRECT(AU$1)=$A$3),$A$3,IFERROR(INDEX(INDIRECT(AW36),MATCH(INDIRECT(AU$3),INDIRECT(AW36),AW$25)),IFERROR(IF(AW$25=-1,MAX(INDIRECT(AW36)),IF(AW$25=1,MIN(INDIRECT(AW36)))),"")))))</f>
        <v/>
      </c>
      <c r="AZ36" s="91" t="str">
        <f t="shared" ca="1" si="44"/>
        <v>ZwölfMinLaufimFreien_2[Note]</v>
      </c>
      <c r="BA36" s="97" t="str" cm="1">
        <f t="array" aca="1" ref="BA36" ca="1">IFERROR(INDEX(INDIRECT(AZ36),MATCH(INDIRECT(AU$5),INDIRECT(AW36),0)),IF(INDIRECT(AU$5)=0,1,""))</f>
        <v/>
      </c>
      <c r="BB36" s="97"/>
      <c r="BC36" s="307"/>
      <c r="BD36" s="96" t="str">
        <f>IFERROR(IFERROR(SUBSTITUTE(HochsprungResultat[[#This Row],[Eingabe]],".",",")*1,SUBSTITUTE(HochsprungResultat[[#This Row],[Eingabe]],",",".")*1),"")</f>
        <v/>
      </c>
      <c r="BE36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6" s="96"/>
      <c r="BG36" s="91" t="str" cm="1">
        <f t="array" aca="1" ref="BG36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6" s="96" t="str">
        <f ca="1">LEFT(Geschlecht[[#This Row],[Geschlecht (Skala)]],1)&amp;BM$4</f>
        <v>2</v>
      </c>
      <c r="BI36" s="96" t="str">
        <f t="shared" ca="1" si="45"/>
        <v>Hochsprung_2[Resultat]</v>
      </c>
      <c r="BJ36" s="97" t="str" cm="1">
        <f t="array" aca="1" ref="BJ36" ca="1">IF(INDIRECT(BG$1)="","",IF(INDIRECT(BG$2)=0,0,IF(OR(INDIRECT(BG$1)=$A$2,INDIRECT(BG$1)=$A$3),$A$3,IFERROR(INDEX(INDIRECT(BI36),MATCH(INDIRECT(BG$3),INDIRECT(BI36),BI$25)),IFERROR(IF(BI$25=-1,MAX(INDIRECT(BI36)),IF(BI$25=1,MIN(INDIRECT(BI36)))),"")))))</f>
        <v/>
      </c>
      <c r="BL36" s="91" t="str">
        <f t="shared" ca="1" si="46"/>
        <v>Hochsprung_2[Note]</v>
      </c>
      <c r="BM36" s="97" t="str" cm="1">
        <f t="array" aca="1" ref="BM36" ca="1">IFERROR(INDEX(INDIRECT(BL36),MATCH(INDIRECT(BG$5),INDIRECT(BI36),0)),IF(INDIRECT(BG$5)=0,1,""))</f>
        <v/>
      </c>
      <c r="BN36" s="97"/>
      <c r="BO36" s="307"/>
      <c r="BP36" s="96" t="str">
        <f>IFERROR(IFERROR(SUBSTITUTE(WeitsprungResultat[[#This Row],[Eingabe]],".",",")*1,SUBSTITUTE(WeitsprungResultat[[#This Row],[Eingabe]],",",".")*1),"")</f>
        <v/>
      </c>
      <c r="BQ36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6" s="96"/>
      <c r="BS36" s="91" t="str" cm="1">
        <f t="array" aca="1" ref="BS36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6" s="96" t="str">
        <f ca="1">LEFT(Geschlecht[[#This Row],[Geschlecht (Skala)]],1)&amp;BY$4</f>
        <v>2</v>
      </c>
      <c r="BU36" s="96" t="str">
        <f t="shared" ca="1" si="47"/>
        <v>Weitsprung_2[Resultat]</v>
      </c>
      <c r="BV36" s="97" t="str" cm="1">
        <f t="array" aca="1" ref="BV36" ca="1">IF(INDIRECT(BS$1)="","",IF(INDIRECT(BS$2)=0,0,IF(OR(INDIRECT(BS$1)=$A$2,INDIRECT(BS$1)=$A$3),$A$3,IFERROR(INDEX(INDIRECT(BU36),MATCH(INDIRECT(BS$3),INDIRECT(BU36),BU$25)),IFERROR(IF(BU$25=-1,MAX(INDIRECT(BU36)),IF(BU$25=1,MIN(INDIRECT(BU36)))),"")))))</f>
        <v/>
      </c>
      <c r="BX36" s="91" t="str">
        <f t="shared" ca="1" si="48"/>
        <v>Weitsprung_2[Note]</v>
      </c>
      <c r="BY36" s="97" t="str" cm="1">
        <f t="array" aca="1" ref="BY36" ca="1">IFERROR(INDEX(INDIRECT(BX36),MATCH(INDIRECT(BS$5),INDIRECT(BU36),0)),IF(INDIRECT(BS$5)=0,1,""))</f>
        <v/>
      </c>
      <c r="BZ36" s="97"/>
      <c r="CA36" s="307"/>
      <c r="CB36" s="96" t="str">
        <f>IFERROR(IFERROR(SUBSTITUTE(BallwurfResultat[[#This Row],[Eingabe]],".",",")*1,SUBSTITUTE(BallwurfResultat[[#This Row],[Eingabe]],",",".")*1),"")</f>
        <v/>
      </c>
      <c r="CC36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6" s="96"/>
      <c r="CE36" s="91" t="str" cm="1">
        <f t="array" aca="1" ref="CE36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6" s="96" t="str">
        <f ca="1">LEFT(Geschlecht[[#This Row],[Geschlecht (Skala)]],1)&amp;CK$4</f>
        <v>2</v>
      </c>
      <c r="CG36" s="96" t="str">
        <f t="shared" ca="1" si="49"/>
        <v>Ballwurf_2[Resultat]</v>
      </c>
      <c r="CH36" s="97" t="str" cm="1">
        <f t="array" aca="1" ref="CH36" ca="1">IF(INDIRECT(CE$1)="","",IF(INDIRECT(CE$2)=0,0,IF(OR(INDIRECT(CE$1)=$A$2,INDIRECT(CE$1)=$A$3),$A$3,IFERROR(INDEX(INDIRECT(CG36),MATCH(INDIRECT(CE$3),INDIRECT(CG36),CG$25)),IFERROR(IF(CG$25=-1,MAX(INDIRECT(CG36)),IF(CG$25=1,MIN(INDIRECT(CG36)))),"")))))</f>
        <v/>
      </c>
      <c r="CJ36" s="91" t="str">
        <f t="shared" ca="1" si="50"/>
        <v>Ballwurf_2[Note]</v>
      </c>
      <c r="CK36" s="97" t="str" cm="1">
        <f t="array" aca="1" ref="CK36" ca="1">IFERROR(INDEX(INDIRECT(CJ36),MATCH(INDIRECT(CE$5),INDIRECT(CG36),0)),IF(INDIRECT(CE$5)=0,1,""))</f>
        <v/>
      </c>
      <c r="CL36" s="97"/>
      <c r="CM36" s="307"/>
      <c r="CN36" s="96" t="str">
        <f>IFERROR(IFERROR(SUBSTITUTE(KugelstossenResultat[[#This Row],[Eingabe]],".",",")*1,SUBSTITUTE(KugelstossenResultat[[#This Row],[Eingabe]],",",".")*1),"")</f>
        <v/>
      </c>
      <c r="CO36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6" s="96"/>
      <c r="CQ36" s="91" t="str" cm="1">
        <f t="array" aca="1" ref="CQ36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6" s="96" t="str">
        <f ca="1">LEFT(Geschlecht[[#This Row],[Geschlecht (Skala)]],1)&amp;CW$4</f>
        <v>2</v>
      </c>
      <c r="CS36" s="96" t="str">
        <f t="shared" ca="1" si="51"/>
        <v>Kugelstossen_2[Resultat]</v>
      </c>
      <c r="CT36" s="97" t="str" cm="1">
        <f t="array" aca="1" ref="CT36" ca="1">IF(INDIRECT(CQ$1)="","",IF(INDIRECT(CQ$2)=0,0,IF(OR(INDIRECT(CQ$1)=$A$2,INDIRECT(CQ$1)=$A$3),$A$3,IFERROR(INDEX(INDIRECT(CS36),MATCH(INDIRECT(CQ$3),INDIRECT(CS36),CS$25)),IFERROR(IF(CS$25=-1,MAX(INDIRECT(CS36)),IF(CS$25=1,MIN(INDIRECT(CS36)))),"")))))</f>
        <v/>
      </c>
      <c r="CV36" s="91" t="str">
        <f t="shared" ca="1" si="52"/>
        <v>Kugelstossen_2[Note]</v>
      </c>
      <c r="CW36" s="97" t="str" cm="1">
        <f t="array" aca="1" ref="CW36" ca="1">IFERROR(INDEX(INDIRECT(CV36),MATCH(INDIRECT(CQ$5),INDIRECT(CS36),0)),IF(INDIRECT(CQ$5)=0,1,""))</f>
        <v/>
      </c>
      <c r="CX36" s="97"/>
      <c r="CY36" s="307"/>
      <c r="CZ36" s="96" t="str">
        <f>IFERROR(IFERROR(SUBSTITUTE(SpeerwurfResultat[[#This Row],[Eingabe]],".",",")*1,SUBSTITUTE(SpeerwurfResultat[[#This Row],[Eingabe]],",",".")*1),"")</f>
        <v/>
      </c>
      <c r="DA36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6" s="96"/>
      <c r="DC36" s="91" t="str" cm="1">
        <f t="array" aca="1" ref="DC36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6" s="96" t="str">
        <f ca="1">LEFT(Geschlecht[[#This Row],[Geschlecht (Skala)]],1)&amp;DI$4</f>
        <v>2</v>
      </c>
      <c r="DE36" s="96" t="str">
        <f t="shared" ca="1" si="53"/>
        <v>Speerwurf_2[Resultat]</v>
      </c>
      <c r="DF36" s="97" t="str" cm="1">
        <f t="array" aca="1" ref="DF36" ca="1">IF(INDIRECT(DC$1)="","",IF(INDIRECT(DC$2)=0,0,IF(OR(INDIRECT(DC$1)=$A$2,INDIRECT(DC$1)=$A$3),$A$3,IFERROR(INDEX(INDIRECT(DE36),MATCH(INDIRECT(DC$3),INDIRECT(DE36),DE$25)),IFERROR(IF(DE$25=-1,MAX(INDIRECT(DE36)),IF(DE$25=1,MIN(INDIRECT(DE36)))),"")))))</f>
        <v/>
      </c>
      <c r="DH36" s="91" t="str">
        <f t="shared" ca="1" si="54"/>
        <v>Speerwurf_2[Note]</v>
      </c>
      <c r="DI36" s="97" t="str" cm="1">
        <f t="array" aca="1" ref="DI36" ca="1">IFERROR(INDEX(INDIRECT(DH36),MATCH(INDIRECT(DC$5),INDIRECT(DE36),0)),IF(INDIRECT(DC$5)=0,1,""))</f>
        <v/>
      </c>
      <c r="DJ36" s="97"/>
      <c r="DK36" s="97" t="str" cm="1">
        <f t="array" aca="1" ref="DK36" ca="1">INDIRECT(DK$5)</f>
        <v/>
      </c>
      <c r="DL36" s="97" t="str" cm="1">
        <f t="array" aca="1" ref="DL36" ca="1">INDIRECT(DL$5)</f>
        <v/>
      </c>
      <c r="DM36" s="97" t="str" cm="1">
        <f t="array" aca="1" ref="DM36" ca="1">INDIRECT(DM$5)</f>
        <v/>
      </c>
      <c r="DN36" s="97" t="str" cm="1">
        <f t="array" aca="1" ref="DN36" ca="1">INDIRECT(DN$5)</f>
        <v/>
      </c>
      <c r="DO36" s="97" t="str">
        <f t="shared" ca="1" si="135"/>
        <v>Sprintdisziplinen nicht durchgeführt</v>
      </c>
      <c r="DP36" s="97" t="str">
        <f t="shared" ca="1" si="136"/>
        <v/>
      </c>
      <c r="DQ36" s="108">
        <f t="shared" ca="1" si="137"/>
        <v>0</v>
      </c>
      <c r="DR36" s="108">
        <f t="shared" ca="1" si="138"/>
        <v>0</v>
      </c>
      <c r="DS36" s="108" t="str">
        <f t="shared" ca="1" si="139"/>
        <v/>
      </c>
      <c r="DT36" s="97" t="str">
        <f t="shared" ca="1" si="140"/>
        <v>Sprintdisziplinen nicht durchgeführt</v>
      </c>
      <c r="DU36" s="97" t="str">
        <f t="shared" ca="1" si="141"/>
        <v/>
      </c>
      <c r="DV36" s="97" t="str" cm="1">
        <f t="array" aca="1" ref="DV36" ca="1">IFERROR(IF(INDIRECT(INDEX(INDIRECT(DV$5),MATCH(DT36,INDIRECT(DV$4),0)))&lt;&gt;"",INDEX(INDIRECT(DV$5),MATCH(DT36,INDIRECT(DV$4),0)),INDEX(INDIRECT(DV$6),MATCH(DT36,INDIRECT(DV$4),0))),"")</f>
        <v/>
      </c>
      <c r="DW36" s="97" t="str">
        <f t="shared" ca="1" si="142"/>
        <v/>
      </c>
      <c r="DX36" s="97" t="str" cm="1">
        <f t="array" aca="1" ref="DX36" ca="1">IFERROR(INDIRECT(DV36),IF(NOT(ISERROR(FIND(Stammdaten!$CC$3,DT36,1))),$A$2,""))</f>
        <v/>
      </c>
      <c r="DY36" s="97" t="str">
        <f ca="1">IF(DX36="","",IF(AND(DU36=Stammdaten!$BX$20,DW36="0",DX36=1),SUBSTITUTE(TEXT(DX36,DW36)&amp;" "&amp;LEFT(DU36,LEN(DU36)-1),".",","),SUBSTITUTE(TEXT(DX36,DW36)&amp;" "&amp;DU36,".",",")))</f>
        <v/>
      </c>
      <c r="DZ36" s="97" t="str">
        <f t="shared" ca="1" si="55"/>
        <v/>
      </c>
      <c r="EA36" s="97" t="str" cm="1">
        <f t="array" aca="1" ref="EA36" ca="1">IFERROR(LEFT(INDIRECT(DZ36),1)&amp;"]","")</f>
        <v/>
      </c>
      <c r="EB36" s="97" t="str">
        <f t="shared" ca="1" si="56"/>
        <v/>
      </c>
      <c r="EC36" s="97" t="str">
        <f ca="1">IFERROR(LEFT(DT36,FIND(Stammdaten!$CA$4,DT36,1)-2),IFERROR(LEFT(DT36,FIND(Stammdaten!$CC$3,DT36,1)-2),DT36))</f>
        <v>Sprintdisziplinen</v>
      </c>
      <c r="ED36" s="97" t="str">
        <f ca="1">IF(NOT(ISERROR(FIND(Stammdaten!$CA$4,DT36,1))),Stammdaten!$CA$4,IF(EE36&lt;&gt;Stammdaten!$CC$3,EB36,""))</f>
        <v>nicht durchgeführt</v>
      </c>
      <c r="EE36" s="91" t="str">
        <f ca="1">IF(DX36=$A$2,Stammdaten!$CC$3,DY36)</f>
        <v/>
      </c>
      <c r="EF36" s="97" t="str" cm="1">
        <f t="array" aca="1" ref="EF36" ca="1">INDIRECT(EF$5)</f>
        <v/>
      </c>
      <c r="EG36" s="97" t="str" cm="1">
        <f t="array" aca="1" ref="EG36" ca="1">INDIRECT(EG$5)</f>
        <v/>
      </c>
      <c r="EH36" s="97" t="str" cm="1">
        <f t="array" aca="1" ref="EH36" ca="1">INDIRECT(EH$5)</f>
        <v/>
      </c>
      <c r="EI36" s="97" t="str" cm="1">
        <f t="array" aca="1" ref="EI36" ca="1">INDIRECT(EI$5)</f>
        <v/>
      </c>
      <c r="EJ36" s="97" t="str">
        <f t="shared" ca="1" si="143"/>
        <v>Ausdauerdisziplinen nicht durchgeführt</v>
      </c>
      <c r="EK36" s="97" t="str">
        <f t="shared" ca="1" si="144"/>
        <v/>
      </c>
      <c r="EL36" s="108">
        <f t="shared" ca="1" si="145"/>
        <v>0</v>
      </c>
      <c r="EM36" s="108">
        <f t="shared" ca="1" si="146"/>
        <v>0</v>
      </c>
      <c r="EN36" s="108" t="str">
        <f t="shared" ca="1" si="147"/>
        <v/>
      </c>
      <c r="EO36" s="97" t="str">
        <f t="shared" ca="1" si="148"/>
        <v>Ausdauerdisziplinen nicht durchgeführt</v>
      </c>
      <c r="EP36" s="97" t="str">
        <f t="shared" ca="1" si="149"/>
        <v/>
      </c>
      <c r="EQ36" s="97" t="str" cm="1">
        <f t="array" aca="1" ref="EQ36" ca="1">IFERROR(IF(INDIRECT(INDEX(INDIRECT(EQ$5),MATCH(EO36,INDIRECT(EQ$4),0)))&lt;&gt;"",INDEX(INDIRECT(EQ$5),MATCH(EO36,INDIRECT(EQ$4),0)),INDEX(INDIRECT(EQ$6),MATCH(EO36,INDIRECT(EQ$4),0))),"")</f>
        <v/>
      </c>
      <c r="ER36" s="97" t="str">
        <f t="shared" ca="1" si="150"/>
        <v/>
      </c>
      <c r="ES36" s="97" t="str" cm="1">
        <f t="array" aca="1" ref="ES36" ca="1">IFERROR(INDIRECT(EQ36),IF(NOT(ISERROR(FIND(Stammdaten!$CC$3,EO36,1))),$A$2,""))</f>
        <v/>
      </c>
      <c r="ET36" s="97" t="str">
        <f ca="1">IF(ES36="","",IF(AND(EP36=Stammdaten!$BX$20,ER36="0",ES36=1),SUBSTITUTE(TEXT(ES36,ER36)&amp;" "&amp;LEFT(EP36,LEN(EP36)-1),".",","),SUBSTITUTE(TEXT(ES36,ER36)&amp;" "&amp;EP36,".",",")))</f>
        <v/>
      </c>
      <c r="EU36" s="97" t="str">
        <f t="shared" ca="1" si="57"/>
        <v/>
      </c>
      <c r="EV36" s="97" t="str" cm="1">
        <f t="array" aca="1" ref="EV36" ca="1">IFERROR(LEFT(INDIRECT(EU36),1)&amp;"]","")</f>
        <v/>
      </c>
      <c r="EW36" s="97" t="str">
        <f t="shared" ca="1" si="58"/>
        <v/>
      </c>
      <c r="EX36" s="97" t="str">
        <f ca="1">IFERROR(LEFT(EO36,FIND(Stammdaten!$CA$4,EO36,1)-2),IFERROR(LEFT(EO36,FIND(Stammdaten!$CC$3,EO36,1)-2),EO36))</f>
        <v>Ausdauerdisziplinen</v>
      </c>
      <c r="EY36" s="97" t="str">
        <f ca="1">IF(NOT(ISERROR(FIND(Stammdaten!$CA$4,EO36,1))),Stammdaten!$CA$4,IF(EZ36&lt;&gt;Stammdaten!$CC$3,EW36,""))</f>
        <v>nicht durchgeführt</v>
      </c>
      <c r="EZ36" s="91" t="str">
        <f ca="1">IF(ES36=$A$2,Stammdaten!$CC$3,ET36)</f>
        <v/>
      </c>
      <c r="FA36" s="97" t="str" cm="1">
        <f t="array" aca="1" ref="FA36" ca="1">INDIRECT(FA$5)</f>
        <v/>
      </c>
      <c r="FB36" s="97" t="str" cm="1">
        <f t="array" aca="1" ref="FB36" ca="1">INDIRECT(FB$5)</f>
        <v/>
      </c>
      <c r="FC36" s="97" t="str" cm="1">
        <f t="array" aca="1" ref="FC36" ca="1">INDIRECT(FC$5)</f>
        <v/>
      </c>
      <c r="FD36" s="97" t="str" cm="1">
        <f t="array" aca="1" ref="FD36" ca="1">INDIRECT(FD$5)</f>
        <v/>
      </c>
      <c r="FE36" s="97" t="str">
        <f t="shared" ca="1" si="151"/>
        <v>Sprungdisziplinen nicht durchgeführt</v>
      </c>
      <c r="FF36" s="97" t="str">
        <f t="shared" ca="1" si="152"/>
        <v/>
      </c>
      <c r="FG36" s="108">
        <f t="shared" ca="1" si="153"/>
        <v>0</v>
      </c>
      <c r="FH36" s="108">
        <f t="shared" ca="1" si="154"/>
        <v>0</v>
      </c>
      <c r="FI36" s="108" t="str">
        <f t="shared" ca="1" si="155"/>
        <v/>
      </c>
      <c r="FJ36" s="97" t="str">
        <f t="shared" ca="1" si="156"/>
        <v>Sprungdisziplinen nicht durchgeführt</v>
      </c>
      <c r="FK36" s="97" t="str">
        <f t="shared" ca="1" si="157"/>
        <v/>
      </c>
      <c r="FL36" s="97" t="str" cm="1">
        <f t="array" aca="1" ref="FL36" ca="1">IFERROR(IF(INDIRECT(INDEX(INDIRECT(FL$5),MATCH(FJ36,INDIRECT(FL$4),0)))&lt;&gt;"",INDEX(INDIRECT(FL$5),MATCH(FJ36,INDIRECT(FL$4),0)),INDEX(INDIRECT(FL$6),MATCH(FJ36,INDIRECT(FL$4),0))),"")</f>
        <v/>
      </c>
      <c r="FM36" s="97" t="str">
        <f t="shared" ca="1" si="158"/>
        <v/>
      </c>
      <c r="FN36" s="97" t="str" cm="1">
        <f t="array" aca="1" ref="FN36" ca="1">IFERROR(INDIRECT(FL36),IF(NOT(ISERROR(FIND(Stammdaten!$CC$3,FJ36,1))),$A$2,""))</f>
        <v/>
      </c>
      <c r="FO36" s="97" t="str">
        <f ca="1">IF(FN36="","",IF(AND(FK36=Stammdaten!$BX$20,FM36="0",FN36=1),SUBSTITUTE(TEXT(FN36,FM36)&amp;" "&amp;LEFT(FK36,LEN(FK36)-1),".",","),SUBSTITUTE(TEXT(FN36,FM36)&amp;" "&amp;FK36,".",",")))</f>
        <v/>
      </c>
      <c r="FP36" s="97" t="str">
        <f t="shared" ca="1" si="59"/>
        <v/>
      </c>
      <c r="FQ36" s="97" t="str" cm="1">
        <f t="array" aca="1" ref="FQ36" ca="1">IFERROR(LEFT(INDIRECT(FP36),1)&amp;"]","")</f>
        <v/>
      </c>
      <c r="FR36" s="97" t="str">
        <f t="shared" ca="1" si="60"/>
        <v/>
      </c>
      <c r="FS36" s="97" t="str">
        <f ca="1">IFERROR(LEFT(FJ36,FIND(Stammdaten!$CA$4,FJ36,1)-2),IFERROR(LEFT(FJ36,FIND(Stammdaten!$CC$3,FJ36,1)-2),FJ36))</f>
        <v>Sprungdisziplinen</v>
      </c>
      <c r="FT36" s="97" t="str">
        <f ca="1">IF(NOT(ISERROR(FIND(Stammdaten!$CA$4,FJ36,1))),Stammdaten!$CA$4,IF(FU36&lt;&gt;Stammdaten!$CC$3,FR36,""))</f>
        <v>nicht durchgeführt</v>
      </c>
      <c r="FU36" s="91" t="str">
        <f ca="1">IF(FN36=$A$2,Stammdaten!$CC$3,FO36)</f>
        <v/>
      </c>
      <c r="FV36" s="97" t="str" cm="1">
        <f t="array" aca="1" ref="FV36" ca="1">INDIRECT(FV$5)</f>
        <v/>
      </c>
      <c r="FW36" s="97" t="str" cm="1">
        <f t="array" aca="1" ref="FW36" ca="1">INDIRECT(FW$5)</f>
        <v/>
      </c>
      <c r="FX36" s="97" t="str" cm="1">
        <f t="array" aca="1" ref="FX36" ca="1">INDIRECT(FX$5)</f>
        <v/>
      </c>
      <c r="FY36" s="97" t="str" cm="1">
        <f t="array" aca="1" ref="FY36" ca="1">INDIRECT(FY$5)</f>
        <v/>
      </c>
      <c r="FZ36" s="97" t="str" cm="1">
        <f t="array" aca="1" ref="FZ36" ca="1">INDIRECT(FZ$5)</f>
        <v/>
      </c>
      <c r="GA36" s="97" t="str" cm="1">
        <f t="array" aca="1" ref="GA36" ca="1">INDIRECT(GA$5)</f>
        <v/>
      </c>
      <c r="GB36" s="97" t="str">
        <f t="shared" ca="1" si="159"/>
        <v>Wurfdisziplinen nicht durchgeführt</v>
      </c>
      <c r="GC36" s="97" t="str">
        <f t="shared" ca="1" si="160"/>
        <v/>
      </c>
      <c r="GD36" s="108">
        <f t="shared" ca="1" si="161"/>
        <v>0</v>
      </c>
      <c r="GE36" s="108">
        <f t="shared" ca="1" si="162"/>
        <v>0</v>
      </c>
      <c r="GF36" s="108" t="str">
        <f t="shared" ca="1" si="163"/>
        <v/>
      </c>
      <c r="GG36" s="97" t="str">
        <f t="shared" ca="1" si="164"/>
        <v>Wurfdisziplinen nicht durchgeführt</v>
      </c>
      <c r="GH36" s="97" t="str">
        <f t="shared" ca="1" si="165"/>
        <v/>
      </c>
      <c r="GI36" s="97" t="str" cm="1">
        <f t="array" aca="1" ref="GI36" ca="1">IFERROR(IF(INDIRECT(INDEX(INDIRECT(GI$5),MATCH(GG36,INDIRECT(GI$4),0)))&lt;&gt;"",INDEX(INDIRECT(GI$5),MATCH(GG36,INDIRECT(GI$4),0)),INDEX(INDIRECT(GI$6),MATCH(GG36,INDIRECT(GI$4),0))),"")</f>
        <v/>
      </c>
      <c r="GJ36" s="97" t="str">
        <f t="shared" ca="1" si="166"/>
        <v/>
      </c>
      <c r="GK36" s="97" t="str" cm="1">
        <f t="array" aca="1" ref="GK36" ca="1">IFERROR(INDIRECT(GI36),IF(NOT(ISERROR(FIND(Stammdaten!$CC$3,GG36,1))),$A$2,""))</f>
        <v/>
      </c>
      <c r="GL36" s="97" t="str">
        <f ca="1">IF(GK36="","",IF(AND(GH36=Stammdaten!$BX$20,GJ36="0",GK36=1),SUBSTITUTE(TEXT(GK36,GJ36)&amp;" "&amp;LEFT(GH36,LEN(GH36)-1),".",","),SUBSTITUTE(TEXT(GK36,GJ36)&amp;" "&amp;GH36,".",",")))</f>
        <v/>
      </c>
      <c r="GM36" s="97" t="str">
        <f t="shared" ca="1" si="61"/>
        <v/>
      </c>
      <c r="GN36" s="97" t="str" cm="1">
        <f t="array" aca="1" ref="GN36" ca="1">IFERROR(LEFT(INDIRECT(GM36),1)&amp;"]","")</f>
        <v/>
      </c>
      <c r="GO36" s="97" t="str">
        <f t="shared" ca="1" si="62"/>
        <v/>
      </c>
      <c r="GP36" s="97" t="str">
        <f ca="1">IFERROR(LEFT(GG36,FIND(Stammdaten!$CA$4,GG36,1)-2),IFERROR(LEFT(GG36,FIND(Stammdaten!$CC$3,GG36,1)-2),GG36))</f>
        <v>Wurfdisziplinen</v>
      </c>
      <c r="GQ36" s="97" t="str">
        <f ca="1">IF(NOT(ISERROR(FIND(Stammdaten!$CA$4,GG36,1))),Stammdaten!$CA$4,IF(GR36&lt;&gt;Stammdaten!$CC$3,GO36,""))</f>
        <v>nicht durchgeführt</v>
      </c>
      <c r="GR36" s="91" t="str">
        <f ca="1">IF(GK36=$A$2,Stammdaten!$CC$3,GL36)</f>
        <v/>
      </c>
      <c r="GS36" s="97" t="str">
        <f t="shared" ca="1" si="63"/>
        <v/>
      </c>
      <c r="GT36" s="97" t="str">
        <f t="shared" ca="1" si="64"/>
        <v/>
      </c>
      <c r="GU36" s="97" t="str">
        <f t="shared" ca="1" si="65"/>
        <v/>
      </c>
      <c r="GV36" s="97" t="str">
        <f t="shared" ca="1" si="66"/>
        <v/>
      </c>
      <c r="GW36" s="97">
        <f t="shared" ca="1" si="167"/>
        <v>0</v>
      </c>
      <c r="GX36" s="108">
        <f t="shared" ca="1" si="168"/>
        <v>0</v>
      </c>
      <c r="GY36" s="108">
        <f t="shared" ca="1" si="169"/>
        <v>0</v>
      </c>
      <c r="GZ36" s="108" t="str">
        <f t="shared" ca="1" si="170"/>
        <v/>
      </c>
      <c r="HA36" s="97" t="str">
        <f ca="1">IF(GZ36="",Stammdaten!$BZ$1,IF(AND(GX36=0,GY36&gt;=GZ$25),$A$3,ROUND(SUM(GW36/GZ36)/HA$25,0)*HA$25))</f>
        <v>Zu wenige Werte</v>
      </c>
      <c r="HB36" s="108">
        <f t="shared" ca="1" si="171"/>
        <v>6</v>
      </c>
      <c r="HC36" s="97" t="str">
        <f t="shared" ca="1" si="172"/>
        <v/>
      </c>
      <c r="HD36" s="97" t="str">
        <f t="shared" ca="1" si="173"/>
        <v/>
      </c>
      <c r="HE36" s="97" t="str">
        <f t="shared" ca="1" si="174"/>
        <v/>
      </c>
      <c r="HF36" s="97" t="str">
        <f t="shared" ca="1" si="175"/>
        <v/>
      </c>
      <c r="HG36" s="97" t="str">
        <f t="shared" ca="1" si="176"/>
        <v/>
      </c>
      <c r="HH36" s="97" t="str">
        <f t="shared" ca="1" si="177"/>
        <v>g</v>
      </c>
      <c r="HI36" s="97" t="str">
        <f t="shared" ca="1" si="178"/>
        <v/>
      </c>
      <c r="HJ36" s="97">
        <f t="shared" ca="1" si="179"/>
        <v>1</v>
      </c>
      <c r="HK36" s="97" t="str">
        <f ca="1">IF(OR(Geschlecht[[#This Row],[Geschlecht (Skala)]]="",NOT(ISNUMBER(GZ36))),"",HJ36)</f>
        <v/>
      </c>
      <c r="HL36" s="97" t="str">
        <f t="shared" ca="1" si="180"/>
        <v/>
      </c>
      <c r="HM36" s="97"/>
      <c r="HN36" s="308" t="str">
        <f t="shared" ca="1" si="68"/>
        <v>Zu wenige Werte</v>
      </c>
      <c r="HO36" s="97"/>
      <c r="HP36" s="307"/>
      <c r="HQ36" s="96" t="str">
        <f>IFERROR(IFERROR(SUBSTITUTE(ReckResultat[[#This Row],[Eingabe]],".",",")*1,SUBSTITUTE(ReckResultat[[#This Row],[Eingabe]],",",".")*1),"")</f>
        <v/>
      </c>
      <c r="HR36" s="96" t="e">
        <f>INT(ReckResultat[[#This Row],[Resultat]])=ReckResultat[[#This Row],[Resultat]]</f>
        <v>#VALUE!</v>
      </c>
      <c r="HS36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6" s="96"/>
      <c r="HX36" s="97"/>
      <c r="HY36" s="307"/>
      <c r="HZ36" s="96" t="str">
        <f>IFERROR(IFERROR(SUBSTITUTE(BodenResultat[[#This Row],[Eingabe]],".",",")*1,SUBSTITUTE(BodenResultat[[#This Row],[Eingabe]],",",".")*1),"")</f>
        <v/>
      </c>
      <c r="IA36" s="96" t="e">
        <f>INT(BodenResultat[[#This Row],[Resultat]])=BodenResultat[[#This Row],[Resultat]]</f>
        <v>#VALUE!</v>
      </c>
      <c r="IB36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6" s="96"/>
      <c r="IG36" s="97"/>
      <c r="IH36" s="307"/>
      <c r="II36" s="96" t="str">
        <f>IFERROR(IFERROR(SUBSTITUTE(StufenbarrenResultat[[#This Row],[Eingabe]],".",",")*1,SUBSTITUTE(StufenbarrenResultat[[#This Row],[Eingabe]],",",".")*1),"")</f>
        <v/>
      </c>
      <c r="IJ36" s="96" t="e">
        <f>INT(StufenbarrenResultat[[#This Row],[Resultat]])=StufenbarrenResultat[[#This Row],[Resultat]]</f>
        <v>#VALUE!</v>
      </c>
      <c r="IK36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6" s="96"/>
      <c r="IP36" s="97"/>
      <c r="IQ36" s="307"/>
      <c r="IR36" s="96" t="str">
        <f>IFERROR(IFERROR(SUBSTITUTE(ParallelbarrenResultat[[#This Row],[Eingabe]],".",",")*1,SUBSTITUTE(ParallelbarrenResultat[[#This Row],[Eingabe]],",",".")*1),"")</f>
        <v/>
      </c>
      <c r="IS36" s="96" t="e">
        <f>INT(ParallelbarrenResultat[[#This Row],[Resultat]])=ParallelbarrenResultat[[#This Row],[Resultat]]</f>
        <v>#VALUE!</v>
      </c>
      <c r="IT36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6" s="96"/>
      <c r="IY36" s="97"/>
      <c r="IZ36" s="307"/>
      <c r="JA36" s="96" t="str">
        <f>IFERROR(IFERROR(SUBSTITUTE(SchaukelringeResultat[[#This Row],[Eingabe]],".",",")*1,SUBSTITUTE(SchaukelringeResultat[[#This Row],[Eingabe]],",",".")*1),"")</f>
        <v/>
      </c>
      <c r="JB36" s="96" t="e">
        <f>INT(SchaukelringeResultat[[#This Row],[Resultat]])=SchaukelringeResultat[[#This Row],[Resultat]]</f>
        <v>#VALUE!</v>
      </c>
      <c r="JC36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6" s="96"/>
      <c r="JH36" s="97"/>
      <c r="JI36" s="307"/>
      <c r="JJ36" s="96" t="str">
        <f>IFERROR(IFERROR(SUBSTITUTE(SprungResultat[[#This Row],[Eingabe]],".",",")*1,SUBSTITUTE(SprungResultat[[#This Row],[Eingabe]],",",".")*1),"")</f>
        <v/>
      </c>
      <c r="JK36" s="96" t="e">
        <f>INT(SprungResultat[[#This Row],[Resultat]])=SprungResultat[[#This Row],[Resultat]]</f>
        <v>#VALUE!</v>
      </c>
      <c r="JL36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6" s="96"/>
      <c r="JQ36" s="97"/>
      <c r="JR36" s="309" t="str" cm="1">
        <f t="array" aca="1" ref="JR36" ca="1">IF(AND(ISNUMBER(INDIRECT(JR$3)),INDIRECT(JR$3)&gt;0),INDIRECT(JR$3),"")</f>
        <v/>
      </c>
      <c r="JS36" s="309" t="str" cm="1">
        <f t="array" aca="1" ref="JS36" ca="1">IF(AND(ISNUMBER(INDIRECT(JS$3)),INDIRECT(JS$3)&gt;0),INDIRECT(JS$3),"")</f>
        <v/>
      </c>
      <c r="JT36" s="309" t="str" cm="1">
        <f t="array" aca="1" ref="JT36" ca="1">IF(AND(ISNUMBER(INDIRECT(JT$3)),INDIRECT(JT$3)&gt;0),INDIRECT(JT$3),"")</f>
        <v/>
      </c>
      <c r="JU36" s="309" t="str" cm="1">
        <f t="array" aca="1" ref="JU36" ca="1">IF(AND(ISNUMBER(INDIRECT(JU$3)),INDIRECT(JU$3)&gt;0),INDIRECT(JU$3),"")</f>
        <v/>
      </c>
      <c r="JV36" s="309" t="str" cm="1">
        <f t="array" aca="1" ref="JV36" ca="1">IF(AND(ISNUMBER(INDIRECT(JV$3)),INDIRECT(JV$3)&gt;0),INDIRECT(JV$3),"")</f>
        <v/>
      </c>
      <c r="JW36" s="309" t="str" cm="1">
        <f t="array" aca="1" ref="JW36" ca="1">IF(AND(ISNUMBER(INDIRECT(JW$3)),INDIRECT(JW$3)&gt;0),INDIRECT(JW$3),"")</f>
        <v/>
      </c>
      <c r="JX36" s="309" t="str">
        <f t="shared" ca="1" si="69"/>
        <v>x</v>
      </c>
      <c r="JY36" s="309" t="str">
        <f t="shared" ca="1" si="70"/>
        <v>y</v>
      </c>
      <c r="JZ36" s="309" t="str">
        <f t="shared" ca="1" si="71"/>
        <v>z</v>
      </c>
      <c r="KA36" s="309" t="str">
        <f t="shared" ca="1" si="181"/>
        <v>a</v>
      </c>
      <c r="KB36" s="309" t="str" cm="1">
        <f t="array" aca="1" ref="KB36" ca="1">IF(KA36="a","",INDEX($JR$23:$JW$23,,MATCH(KA36,$JR36:$JW36,0)))</f>
        <v/>
      </c>
      <c r="KC36" s="309" t="str" cm="1">
        <f t="array" aca="1" ref="KC36" ca="1">IF(OR(KB36="",KB36&gt;=$JW$23),"",INDEX(INDIRECT(ADDRESS(ROW($JR$23),KB36+1)):$JW$23,,MATCH(KA36,INDIRECT(ADDRESS(ROW(),KB36+1)):$JW36,0)))</f>
        <v/>
      </c>
      <c r="KD36" s="309" t="str" cm="1">
        <f t="array" aca="1" ref="KD36" ca="1">IF(OR(KC36="",KC36&gt;=$JW$23),"",INDEX(INDIRECT(ADDRESS(ROW($JR$23),KC36+1)):$JW$23,,MATCH(KA36,INDIRECT(ADDRESS(ROW(),KC36+1)):$JW36,0)))</f>
        <v/>
      </c>
      <c r="KE36" s="309" t="str">
        <f t="shared" ca="1" si="182"/>
        <v>c</v>
      </c>
      <c r="KF36" s="309" t="str" cm="1">
        <f t="array" aca="1" ref="KF36" ca="1">IF(OR(KE36="b",KE36="c"),"",INDEX($JR$23:$JW$23,,MATCH(KE36,$JR36:$JW36,0)))</f>
        <v/>
      </c>
      <c r="KG36" s="309" t="str" cm="1">
        <f t="array" aca="1" ref="KG36" ca="1">IF(OR(KF36="",KF36&gt;=$JW$23),"",INDEX(INDIRECT(ADDRESS(ROW($JR$23),KF36+1)):$JW$23,,MATCH(KE36,INDIRECT(ADDRESS(ROW(),KF36+1)):$JW36,0)))</f>
        <v/>
      </c>
      <c r="KH36" s="309" t="str">
        <f t="shared" ca="1" si="72"/>
        <v/>
      </c>
      <c r="KI36" s="309" t="str">
        <f t="shared" ca="1" si="183"/>
        <v>e</v>
      </c>
      <c r="KJ36" s="309" t="str">
        <f t="shared" ca="1" si="73"/>
        <v/>
      </c>
      <c r="KK36" s="309" t="str" cm="1">
        <f t="array" aca="1" ref="KK36" ca="1">IF(OR(KI36="d",KI36="e"),"",INDEX($JR$23:$JW$23,,MATCH(KI36,$JR36:$JW36,0)))</f>
        <v/>
      </c>
      <c r="KL36" s="309" t="str" cm="1">
        <f t="array" aca="1" ref="KL36" ca="1">IF(OR(KK36="",KK36&gt;=$JW$23),"",INDEX(INDIRECT(ADDRESS(ROW($JR$23),KK36+1)):$JW$23,,MATCH(KI36,INDIRECT(ADDRESS(ROW(),KK36+1)):$JW36,0)))</f>
        <v/>
      </c>
      <c r="KM36" s="309" t="str" cm="1">
        <f t="array" aca="1" ref="KM36" ca="1">IFERROR(IF(ISNUMBER(KB36),KB36,IF(ISNUMBER(KF36),KF36,IF(ISNUMBER(KJ36),KJ36,INDEX($JR$23:$JW$23,,MATCH(JX36,$JR36:$JW36,0))))),"x1")</f>
        <v>x1</v>
      </c>
      <c r="KN36" s="309" t="str" cm="1">
        <f t="array" aca="1" ref="KN36" ca="1">IFERROR(IF(ISNUMBER(KC36),KC36,IF(ISNUMBER(KG36),KG36,IF(ISNUMBER(KK36),KK36,INDEX($JR$23:$JW$23,,MATCH(JY36,$JR36:$JW36,0))))),IF(KM36="x1","x2","x1"))</f>
        <v>x2</v>
      </c>
      <c r="KO36" s="309" t="str" cm="1">
        <f t="array" aca="1" ref="KO36" ca="1">IFERROR(IF(ISNUMBER(KD36),KD36,IF(ISNUMBER(KH36),KH36,IF(ISNUMBER(KL36),KL36,INDEX($JR$23:$JW$23,,MATCH(JZ36,$JR36:$JW36,0))))),IF(KN36="x1","x2",IF(KN36="x2","x3","x1")))</f>
        <v>x3</v>
      </c>
      <c r="KP36" s="97" t="str" cm="1">
        <f t="array" aca="1" ref="KP36" ca="1">IF(OR(INDIRECT(KP$3)=$A$2,INDIRECT(KP$3)=$A$3),COLUMN(),"")</f>
        <v/>
      </c>
      <c r="KQ36" s="97" t="str" cm="1">
        <f t="array" aca="1" ref="KQ36" ca="1">IF(OR(INDIRECT(KQ$3)=$A$2,INDIRECT(KQ$3)=$A$3),COLUMN(),"")</f>
        <v/>
      </c>
      <c r="KR36" s="97" t="str" cm="1">
        <f t="array" aca="1" ref="KR36" ca="1">IF(OR(INDIRECT(KR$3)=$A$2,INDIRECT(KR$3)=$A$3),COLUMN(),"")</f>
        <v/>
      </c>
      <c r="KS36" s="97" t="str" cm="1">
        <f t="array" aca="1" ref="KS36" ca="1">IF(OR(INDIRECT(KS$3)=$A$2,INDIRECT(KS$3)=$A$3),COLUMN(),"")</f>
        <v/>
      </c>
      <c r="KT36" s="97" t="str" cm="1">
        <f t="array" aca="1" ref="KT36" ca="1">IF(OR(INDIRECT(KT$3)=$A$2,INDIRECT(KT$3)=$A$3),COLUMN(),"")</f>
        <v/>
      </c>
      <c r="KU36" s="97" t="str" cm="1">
        <f t="array" aca="1" ref="KU36" ca="1">IF(OR(INDIRECT(KU$3)=$A$2,INDIRECT(KU$3)=$A$3),COLUMN(),"")</f>
        <v/>
      </c>
      <c r="KV36" s="97" t="str" cm="1">
        <f t="array" aca="1" ref="KV36" ca="1">IF(AND(ISNUMBER(INDIRECT(KV$3)),INDIRECT(KV$3)=0),COLUMN(),"")</f>
        <v/>
      </c>
      <c r="KW36" s="97" t="str" cm="1">
        <f t="array" aca="1" ref="KW36" ca="1">IF(AND(ISNUMBER(INDIRECT(KW$3)),INDIRECT(KW$3)=0),COLUMN(),"")</f>
        <v/>
      </c>
      <c r="KX36" s="97" t="str" cm="1">
        <f t="array" aca="1" ref="KX36" ca="1">IF(AND(ISNUMBER(INDIRECT(KX$3)),INDIRECT(KX$3)=0),COLUMN(),"")</f>
        <v/>
      </c>
      <c r="KY36" s="97" t="str" cm="1">
        <f t="array" aca="1" ref="KY36" ca="1">IF(AND(ISNUMBER(INDIRECT(KY$3)),INDIRECT(KY$3)=0),COLUMN(),"")</f>
        <v/>
      </c>
      <c r="KZ36" s="97" t="str" cm="1">
        <f t="array" aca="1" ref="KZ36" ca="1">IF(AND(ISNUMBER(INDIRECT(KZ$3)),INDIRECT(KZ$3)=0),COLUMN(),"")</f>
        <v/>
      </c>
      <c r="LA36" s="97" t="str" cm="1">
        <f t="array" aca="1" ref="LA36" ca="1">IF(AND(ISNUMBER(INDIRECT(LA$3)),INDIRECT(LA$3)=0),COLUMN(),"")</f>
        <v/>
      </c>
      <c r="LB36" s="97" t="str">
        <f t="shared" ca="1" si="184"/>
        <v>x1</v>
      </c>
      <c r="LC36" s="97" t="str">
        <f t="shared" ca="1" si="185"/>
        <v>x2</v>
      </c>
      <c r="LD36" s="97" t="str">
        <f t="shared" ca="1" si="186"/>
        <v>x3</v>
      </c>
      <c r="LE36" s="97" t="str">
        <f ca="1">IFERROR(IF(ISNUMBER(LB36),LB36,SMALL($KV36:$LA36,VALUE(RIGHT(LB36,1)))),Stammdaten!$CA$17)</f>
        <v>Erstes Gerät nicht durchgeführt</v>
      </c>
      <c r="LF36" s="97" t="str">
        <f ca="1">IFERROR(IF(ISNUMBER(LC36),LC36,SMALL($KV36:$LA36,VALUE(RIGHT(LC36,1)))),Stammdaten!$CA$18)</f>
        <v>Zweites Gerät nicht durchgeführt</v>
      </c>
      <c r="LG36" s="97" t="str">
        <f ca="1">IFERROR(IF(ISNUMBER(LD36),LD36,SMALL($KV36:$LA36,VALUE(RIGHT(LD36,1)))),Stammdaten!$CA$19)</f>
        <v>Drittes Gerät nicht durchgeführt</v>
      </c>
      <c r="LH36" s="91" t="str" cm="1">
        <f t="array" aca="1" ref="LH36" ca="1">IFERROR(INDIRECT(ADDRESS(ROW($JR$5),LE36)),LE36)</f>
        <v>Erstes Gerät nicht durchgeführt</v>
      </c>
      <c r="LI36" s="97" t="str">
        <f t="shared" ca="1" si="187"/>
        <v/>
      </c>
      <c r="LJ36" s="97" t="str" cm="1">
        <f t="array" aca="1" ref="LJ36" ca="1">IFERROR(IF(INDIRECT(INDEX(INDIRECT(LJ$5),MATCH(LH36,INDIRECT(LJ$4),0)))&lt;&gt;"",INDEX(INDIRECT(LJ$5),MATCH(LH36,INDIRECT(LJ$4),0)),INDEX(INDIRECT(LJ$6),MATCH(LH36,INDIRECT(LJ$4),0))),"")</f>
        <v/>
      </c>
      <c r="LK36" s="97" t="str">
        <f t="shared" ca="1" si="188"/>
        <v/>
      </c>
      <c r="LL36" s="97" t="str" cm="1">
        <f t="array" aca="1" ref="LL36" ca="1">IFERROR(INDIRECT(LJ36),"")</f>
        <v/>
      </c>
      <c r="LM36" s="97" t="str">
        <f ca="1">IF(LL36="","",IF(AND(LI36=Stammdaten!$BX$20,LK36="0",LL36=1),SUBSTITUTE(TEXT(LL36,LK36)&amp;" "&amp;LEFT(LI36,LEN(LI36)-1),".",","),SUBSTITUTE(TEXT(LL36,LK36)&amp;" "&amp;LI36,".",",")))</f>
        <v/>
      </c>
      <c r="LN36" s="97" t="str">
        <f t="shared" ca="1" si="74"/>
        <v/>
      </c>
      <c r="LO36" s="97" t="str" cm="1">
        <f t="array" aca="1" ref="LO36" ca="1">IFERROR(LEFT(INDIRECT(LN36),1)&amp;"]","")</f>
        <v/>
      </c>
      <c r="LP36" s="97" t="str">
        <f t="shared" ca="1" si="75"/>
        <v/>
      </c>
      <c r="LQ36" s="97" t="str">
        <f ca="1">IFERROR(LEFT(LH36,FIND(Stammdaten!$CA$4,LH36,1)-2),IFERROR(LEFT(LH36,FIND(Stammdaten!$CC$3,LH36,1)-2),LH36))</f>
        <v>Erstes Gerät</v>
      </c>
      <c r="LR36" s="97" t="str">
        <f ca="1">IF(NOT(ISERROR(FIND(Stammdaten!$CA$4,LH36,1))),Stammdaten!$CA$4,IF(LS36&lt;&gt;Stammdaten!$CC$3,LP36,""))</f>
        <v>nicht durchgeführt</v>
      </c>
      <c r="LS36" s="91" t="str">
        <f ca="1">IF(LL36=$A$2,Stammdaten!$CC$3,LM36)</f>
        <v/>
      </c>
      <c r="LT36" s="91" t="str" cm="1">
        <f t="array" aca="1" ref="LT36" ca="1">IFERROR(INDIRECT(ADDRESS(ROW($JR$5),LF36)),LF36)</f>
        <v>Zweites Gerät nicht durchgeführt</v>
      </c>
      <c r="LU36" s="97" t="str">
        <f t="shared" ca="1" si="189"/>
        <v/>
      </c>
      <c r="LV36" s="97" t="str" cm="1">
        <f t="array" aca="1" ref="LV36" ca="1">IFERROR(IF(INDIRECT(INDEX(INDIRECT(LV$5),MATCH(LT36,INDIRECT(LV$4),0)))&lt;&gt;"",INDEX(INDIRECT(LV$5),MATCH(LT36,INDIRECT(LV$4),0)),INDEX(INDIRECT(LV$6),MATCH(LT36,INDIRECT(LV$4),0))),"")</f>
        <v/>
      </c>
      <c r="LW36" s="97" t="str">
        <f t="shared" ca="1" si="190"/>
        <v/>
      </c>
      <c r="LX36" s="97" t="str" cm="1">
        <f t="array" aca="1" ref="LX36" ca="1">IFERROR(INDIRECT(LV36),"")</f>
        <v/>
      </c>
      <c r="LY36" s="97" t="str">
        <f ca="1">IF(LX36="","",IF(AND(LU36=Stammdaten!$BX$20,LW36="0",LX36=1),SUBSTITUTE(TEXT(LX36,LW36)&amp;" "&amp;LEFT(LU36,LEN(LU36)-1),".",","),SUBSTITUTE(TEXT(LX36,LW36)&amp;" "&amp;LU36,".",",")))</f>
        <v/>
      </c>
      <c r="LZ36" s="97" t="str">
        <f t="shared" ca="1" si="76"/>
        <v/>
      </c>
      <c r="MA36" s="97" t="str" cm="1">
        <f t="array" aca="1" ref="MA36" ca="1">IFERROR(LEFT(INDIRECT(LZ36),1)&amp;"]","")</f>
        <v/>
      </c>
      <c r="MB36" s="97" t="str">
        <f t="shared" ca="1" si="77"/>
        <v/>
      </c>
      <c r="MC36" s="97" t="str">
        <f ca="1">IFERROR(LEFT(LT36,FIND(Stammdaten!$CA$4,LT36,1)-2),IFERROR(LEFT(LT36,FIND(Stammdaten!$CC$3,LT36,1)-2),LT36))</f>
        <v>Zweites Gerät</v>
      </c>
      <c r="MD36" s="97" t="str">
        <f ca="1">IF(NOT(ISERROR(FIND(Stammdaten!$CA$4,LT36,1))),Stammdaten!$CA$4,IF(ME36&lt;&gt;Stammdaten!$CC$3,MB36,""))</f>
        <v>nicht durchgeführt</v>
      </c>
      <c r="ME36" s="91" t="str">
        <f ca="1">IF(LX36=$A$2,Stammdaten!$CC$3,LY36)</f>
        <v/>
      </c>
      <c r="MF36" s="91" t="str" cm="1">
        <f t="array" aca="1" ref="MF36" ca="1">IFERROR(INDIRECT(ADDRESS(ROW($JR$5),LG36)),LG36)</f>
        <v>Drittes Gerät nicht durchgeführt</v>
      </c>
      <c r="MG36" s="97" t="str">
        <f t="shared" ca="1" si="191"/>
        <v/>
      </c>
      <c r="MH36" s="97" t="str" cm="1">
        <f t="array" aca="1" ref="MH36" ca="1">IFERROR(IF(INDIRECT(INDEX(INDIRECT(MH$5),MATCH(MF36,INDIRECT(MH$4),0)))&lt;&gt;"",INDEX(INDIRECT(MH$5),MATCH(MF36,INDIRECT(MH$4),0)),INDEX(INDIRECT(MH$6),MATCH(MF36,INDIRECT(MH$4),0))),"")</f>
        <v/>
      </c>
      <c r="MI36" s="97" t="str">
        <f t="shared" ca="1" si="192"/>
        <v/>
      </c>
      <c r="MJ36" s="97" t="str" cm="1">
        <f t="array" aca="1" ref="MJ36" ca="1">IFERROR(INDIRECT(MH36),"")</f>
        <v/>
      </c>
      <c r="MK36" s="97" t="str">
        <f ca="1">IF(MJ36="","",IF(AND(MG36=Stammdaten!$BX$20,MI36="0",MJ36=1),SUBSTITUTE(TEXT(MJ36,MI36)&amp;" "&amp;LEFT(MG36,LEN(MG36)-1),".",","),SUBSTITUTE(TEXT(MJ36,MI36)&amp;" "&amp;MG36,".",",")))</f>
        <v/>
      </c>
      <c r="ML36" s="97" t="str">
        <f t="shared" ca="1" si="78"/>
        <v/>
      </c>
      <c r="MM36" s="97" t="str" cm="1">
        <f t="array" aca="1" ref="MM36" ca="1">IFERROR(LEFT(INDIRECT(ML36),1)&amp;"]","")</f>
        <v/>
      </c>
      <c r="MN36" s="97" t="str">
        <f t="shared" ca="1" si="79"/>
        <v/>
      </c>
      <c r="MO36" s="97" t="str">
        <f ca="1">IFERROR(LEFT(MF36,FIND(Stammdaten!$CA$4,MF36,1)-2),IFERROR(LEFT(MF36,FIND(Stammdaten!$CC$3,MF36,1)-2),MF36))</f>
        <v>Drittes Gerät</v>
      </c>
      <c r="MP36" s="97" t="str">
        <f ca="1">IF(NOT(ISERROR(FIND(Stammdaten!$CA$4,MF36,1))),Stammdaten!$CA$4,IF(MQ36&lt;&gt;Stammdaten!$CC$3,MN36,""))</f>
        <v>nicht durchgeführt</v>
      </c>
      <c r="MQ36" s="91" t="str">
        <f ca="1">IF(MJ36=$A$2,Stammdaten!$CC$3,MK36)</f>
        <v/>
      </c>
      <c r="MR36" s="97">
        <f t="shared" ca="1" si="80"/>
        <v>0</v>
      </c>
      <c r="MS36" s="108">
        <f t="shared" ca="1" si="193"/>
        <v>0</v>
      </c>
      <c r="MT36" s="108">
        <f t="shared" ca="1" si="194"/>
        <v>0</v>
      </c>
      <c r="MU36" s="108">
        <f t="shared" ca="1" si="195"/>
        <v>0</v>
      </c>
      <c r="MV36" s="108" t="str">
        <f t="shared" ca="1" si="196"/>
        <v/>
      </c>
      <c r="MW36" s="97" t="str">
        <f ca="1">IF(MV36="",Stammdaten!$BZ$1,IF(AND(MS36+MT36=0,MU36&gt;=MV$25),$A$3,MR36))</f>
        <v>Zu wenige Werte</v>
      </c>
      <c r="MX36" s="97"/>
      <c r="MY36" s="91" t="str">
        <f t="shared" ca="1" si="81"/>
        <v/>
      </c>
      <c r="MZ36" s="96" t="str">
        <f>LEFT(Geschlecht[[#This Row],[Geschlecht (Skala)]],1)&amp;$MZ$27</f>
        <v>2</v>
      </c>
      <c r="NA36" s="96" t="str">
        <f t="shared" ca="1" si="82"/>
        <v>Geräteturnen_2[Resultat]</v>
      </c>
      <c r="NB36" s="97" t="str" cm="1">
        <f t="array" aca="1" ref="NB36" ca="1">IF(OR($MW36="",$MW36=Stammdaten!$BZ$1),"",IF($MW36=0,0,IF(OR($MW36=$A$2,$MW36=$A$3),$A$3,IFERROR(INDEX(INDIRECT(NA36),MATCH(INDIRECT(MY$3),INDIRECT(NA36),NA$25)),IFERROR(IF(NA$25=-1,MAX(INDIRECT(NA36)),IF(NA$25=1,MIN(INDIRECT(NA36)))),"")))))</f>
        <v/>
      </c>
      <c r="ND36" s="91" t="str">
        <f t="shared" ca="1" si="83"/>
        <v>Geräteturnen_2[Note]</v>
      </c>
      <c r="NE36" s="97" t="str" cm="1">
        <f t="array" aca="1" ref="NE36" ca="1">IFERROR(INDEX(INDIRECT(ND36),MATCH(INDIRECT(MY$5),INDIRECT(NA36),0)),IF(INDIRECT(MY$5)=0,1,""))</f>
        <v/>
      </c>
      <c r="NF36" s="97"/>
      <c r="NG36" s="307"/>
      <c r="NH36" s="96" t="str">
        <f>IFERROR(IFERROR(SUBSTITUTE(ParkourResultat[[#This Row],[Eingabe]],".",",")*1,SUBSTITUTE(ParkourResultat[[#This Row],[Eingabe]],",",".")*1),"")</f>
        <v/>
      </c>
      <c r="NI36" s="96" t="e">
        <f>INT(ParkourResultat[[#This Row],[Resultat]])=ParkourResultat[[#This Row],[Resultat]]</f>
        <v>#VALUE!</v>
      </c>
      <c r="NJ36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6" s="96"/>
      <c r="NL36" s="91" t="str" cm="1">
        <f t="array" aca="1" ref="NL36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6" s="96" t="str">
        <f ca="1">LEFT(Geschlecht[[#This Row],[Geschlecht (Skala)]],1)&amp;NR$4</f>
        <v>2</v>
      </c>
      <c r="NN36" s="96" t="str">
        <f t="shared" ca="1" si="84"/>
        <v>Parkour_2[Resultat]</v>
      </c>
      <c r="NO36" s="97" t="str" cm="1">
        <f t="array" aca="1" ref="NO36" ca="1">IF(INDIRECT(NL$1)="","",IF(INDIRECT(NL$2)=0,0,IF(OR(INDIRECT(NL$1)=$A$2,INDIRECT(NL$1)=$A$3),$A$3,IFERROR(INDEX(INDIRECT(NN36),MATCH(INDIRECT(NL$3),INDIRECT(NN36),NN$25)),IFERROR(IF(NN$25=-1,MAX(INDIRECT(NN36)),IF(NN$25=1,MIN(INDIRECT(NN36)))),"")))))</f>
        <v/>
      </c>
      <c r="NQ36" s="91" t="str">
        <f t="shared" ca="1" si="85"/>
        <v>Parkour_2[Note]</v>
      </c>
      <c r="NR36" s="97" t="str" cm="1">
        <f t="array" aca="1" ref="NR36" ca="1">IFERROR(INDEX(INDIRECT(NQ36),MATCH(INDIRECT(NL$5),INDIRECT(NN36),0)),IF(INDIRECT(NL$5)=0,1,""))</f>
        <v/>
      </c>
      <c r="NS36" s="97"/>
      <c r="NT36" s="97" t="str" cm="1">
        <f t="array" aca="1" ref="NT36" ca="1">INDIRECT(NT$5)</f>
        <v/>
      </c>
      <c r="NU36" s="97" t="str" cm="1">
        <f t="array" aca="1" ref="NU36" ca="1">INDIRECT(NU$5)</f>
        <v/>
      </c>
      <c r="NV36" s="97" t="str" cm="1">
        <f t="array" aca="1" ref="NV36" ca="1">INDIRECT(NV$5)</f>
        <v/>
      </c>
      <c r="NW36" s="97" t="str" cm="1">
        <f t="array" aca="1" ref="NW36" ca="1">INDIRECT(NW$5)</f>
        <v/>
      </c>
      <c r="NX36" s="97" t="str">
        <f t="shared" ca="1" si="86"/>
        <v>Parkour nicht durchgeführt</v>
      </c>
      <c r="NY36" s="97" t="str">
        <f t="shared" ca="1" si="197"/>
        <v/>
      </c>
      <c r="NZ36" s="97" t="str" cm="1">
        <f t="array" aca="1" ref="NZ36" ca="1">IFERROR(IF(INDIRECT(INDEX(INDIRECT(NZ$5),MATCH(NX36,INDIRECT(NZ$4),0)))&lt;&gt;"",INDEX(INDIRECT(NZ$5),MATCH(NX36,INDIRECT(NZ$4),0)),INDEX(INDIRECT(NZ$6),MATCH(NX36,INDIRECT(NZ$4),0))),"")</f>
        <v/>
      </c>
      <c r="OA36" s="97" t="str">
        <f t="shared" ca="1" si="198"/>
        <v/>
      </c>
      <c r="OB36" s="97" t="str" cm="1">
        <f t="array" aca="1" ref="OB36" ca="1">IFERROR(INDIRECT(NZ36),IF(NOT(ISERROR(FIND(Stammdaten!$CC$3,NX36,1))),$A$2,""))</f>
        <v/>
      </c>
      <c r="OC36" s="97" t="str">
        <f ca="1">IF(OB36="","",IF(AND(NY36=Stammdaten!$BX$20,OA36="0",OB36=1),SUBSTITUTE(TEXT(OB36,OA36)&amp;" "&amp;LEFT(NY36,LEN(NY36)-1),".",","),SUBSTITUTE(TEXT(OB36,OA36)&amp;" "&amp;NY36,".",",")))</f>
        <v/>
      </c>
      <c r="OD36" s="97" t="str">
        <f t="shared" ca="1" si="87"/>
        <v/>
      </c>
      <c r="OE36" s="97" t="str" cm="1">
        <f t="array" aca="1" ref="OE36" ca="1">IFERROR(LEFT(INDIRECT(OD36),1)&amp;"]","")</f>
        <v/>
      </c>
      <c r="OF36" s="97" t="str">
        <f t="shared" ca="1" si="88"/>
        <v/>
      </c>
      <c r="OG36" s="97" t="str">
        <f ca="1">IFERROR(LEFT(NX36,FIND(Stammdaten!$CA$4,NX36,1)-2),IFERROR(LEFT(NX36,FIND(Stammdaten!$CC$3,NX36,1)-2),NX36))</f>
        <v>Parkour</v>
      </c>
      <c r="OH36" s="97" t="str">
        <f ca="1">IF(NOT(ISERROR(FIND(Stammdaten!$CA$4,NX36,1))),Stammdaten!$CA$4,IF(OI36&lt;&gt;Stammdaten!$CC$3,OF36,""))</f>
        <v>nicht durchgeführt</v>
      </c>
      <c r="OI36" s="91" t="str">
        <f ca="1">IF(OB36=$A$2,Stammdaten!$CC$3,OC36)</f>
        <v/>
      </c>
      <c r="OJ36" s="97" t="str">
        <f t="shared" ca="1" si="89"/>
        <v/>
      </c>
      <c r="OK36" s="97" t="str">
        <f t="shared" ca="1" si="90"/>
        <v/>
      </c>
      <c r="OL36" s="97">
        <f t="shared" ca="1" si="199"/>
        <v>0</v>
      </c>
      <c r="OM36" s="108">
        <f t="shared" ca="1" si="91"/>
        <v>0</v>
      </c>
      <c r="ON36" s="108">
        <f t="shared" ca="1" si="92"/>
        <v>0</v>
      </c>
      <c r="OO36" s="108" t="str">
        <f t="shared" ca="1" si="200"/>
        <v/>
      </c>
      <c r="OP36" s="97" t="str">
        <f ca="1">IF(OO36="",Stammdaten!$BZ$1,IF(AND(OM36=0,ON36&gt;=OO$25),$A$3,ROUND(SUM(OL36/OO36)/OP$25,0)*OP$25))</f>
        <v>Zu wenige Werte</v>
      </c>
      <c r="OQ36" s="108">
        <f t="shared" ca="1" si="201"/>
        <v>6</v>
      </c>
      <c r="OR36" s="97" t="str">
        <f t="shared" ca="1" si="202"/>
        <v/>
      </c>
      <c r="OS36" s="97" t="str">
        <f t="shared" ca="1" si="203"/>
        <v/>
      </c>
      <c r="OT36" s="97" t="str">
        <f t="shared" ca="1" si="204"/>
        <v/>
      </c>
      <c r="OU36" s="97" t="str">
        <f t="shared" ca="1" si="205"/>
        <v>g</v>
      </c>
      <c r="OV36" s="97" t="str">
        <f t="shared" ca="1" si="206"/>
        <v/>
      </c>
      <c r="OW36" s="97">
        <f t="shared" ca="1" si="207"/>
        <v>1</v>
      </c>
      <c r="OX36" s="97" t="str">
        <f ca="1">IF(OR(Geschlecht[[#This Row],[Geschlecht (Skala)]]="",NOT(ISNUMBER(OO36))),"",OW36)</f>
        <v/>
      </c>
      <c r="OY36" s="97" t="str">
        <f t="shared" ca="1" si="208"/>
        <v/>
      </c>
      <c r="OZ36" s="97"/>
      <c r="PA36" s="308" t="str">
        <f t="shared" ca="1" si="209"/>
        <v>Zu wenige Werte</v>
      </c>
      <c r="PB36" s="97"/>
      <c r="PC36" s="307"/>
      <c r="PD36" s="96" t="str">
        <f>IFERROR(IFERROR(SUBSTITUTE(TanzenResultat[[#This Row],[Eingabe]],".",",")*1,SUBSTITUTE(TanzenResultat[[#This Row],[Eingabe]],",",".")*1),"")</f>
        <v/>
      </c>
      <c r="PE36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6" s="96"/>
      <c r="PG36" s="91" t="str" cm="1">
        <f t="array" aca="1" ref="PG36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6" s="96" t="str">
        <f ca="1">LEFT(Geschlecht[[#This Row],[Geschlecht (Skala)]],1)&amp;PM$4</f>
        <v>2</v>
      </c>
      <c r="PI36" s="96" t="str">
        <f t="shared" ca="1" si="93"/>
        <v>Tanzen_2[Resultat]</v>
      </c>
      <c r="PJ36" s="97" t="str" cm="1">
        <f t="array" aca="1" ref="PJ36" ca="1">IF(INDIRECT(PG$1)="","",IF(INDIRECT(PG$2)=0,0,IF(OR(INDIRECT(PG$1)=$A$2,INDIRECT(PG$1)=$A$3),$A$3,IFERROR(INDEX(INDIRECT(PI36),MATCH(INDIRECT(PG$3),INDIRECT(PI36),PI$25)),IFERROR(IF(PI$25=-1,MAX(INDIRECT(PI36)),IF(PI$25=1,MIN(INDIRECT(PI36)))),"")))))</f>
        <v/>
      </c>
      <c r="PL36" s="91" t="str">
        <f t="shared" ca="1" si="94"/>
        <v>Tanzen_2[Note]</v>
      </c>
      <c r="PM36" s="97" t="str" cm="1">
        <f t="array" aca="1" ref="PM36" ca="1">IFERROR(INDEX(INDIRECT(PL36),MATCH(INDIRECT(PG$5),INDIRECT(PI36),0)),IF(INDIRECT(PG$5)=0,1,""))</f>
        <v/>
      </c>
      <c r="PN36" s="97"/>
      <c r="PO36" s="307"/>
      <c r="PP36" s="96" t="str">
        <f>IFERROR(IFERROR(SUBSTITUTE(RopeSkippingResultat[[#This Row],[Eingabe]],".",",")*1,SUBSTITUTE(RopeSkippingResultat[[#This Row],[Eingabe]],",",".")*1),"")</f>
        <v/>
      </c>
      <c r="PQ36" s="96" t="e">
        <f>INT(RopeSkippingResultat[[#This Row],[Resultat]])=RopeSkippingResultat[[#This Row],[Resultat]]</f>
        <v>#VALUE!</v>
      </c>
      <c r="PR36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6" s="96"/>
      <c r="PT36" s="91" t="str" cm="1">
        <f t="array" aca="1" ref="PT36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6" s="96" t="str">
        <f ca="1">LEFT(Geschlecht[[#This Row],[Geschlecht (Skala)]],1)&amp;PZ$4</f>
        <v>2</v>
      </c>
      <c r="PV36" s="96" t="str">
        <f t="shared" ca="1" si="95"/>
        <v>RopeSkipping_2[Resultat]</v>
      </c>
      <c r="PW36" s="97" t="str" cm="1">
        <f t="array" aca="1" ref="PW36" ca="1">IF(INDIRECT(PT$1)="","",IF(INDIRECT(PT$2)=0,0,IF(OR(INDIRECT(PT$1)=$A$2,INDIRECT(PT$1)=$A$3),$A$3,IFERROR(INDEX(INDIRECT(PV36),MATCH(INDIRECT(PT$3),INDIRECT(PV36),PV$25)),IFERROR(IF(PV$25=-1,MAX(INDIRECT(PV36)),IF(PV$25=1,MIN(INDIRECT(PV36)))),"")))))</f>
        <v/>
      </c>
      <c r="PY36" s="91" t="str">
        <f t="shared" ca="1" si="96"/>
        <v>RopeSkipping_2[Note]</v>
      </c>
      <c r="PZ36" s="97" t="str" cm="1">
        <f t="array" aca="1" ref="PZ36" ca="1">IFERROR(INDEX(INDIRECT(PY36),MATCH(INDIRECT(PT$5),INDIRECT(PV36),0)),IF(INDIRECT(PT$5)=0,1,""))</f>
        <v/>
      </c>
      <c r="QA36" s="97"/>
      <c r="QB36" s="307"/>
      <c r="QC36" s="96" t="str">
        <f>IFERROR(IFERROR(SUBSTITUTE(AerobicResultat[[#This Row],[Eingabe]],".",",")*1,SUBSTITUTE(AerobicResultat[[#This Row],[Eingabe]],",",".")*1),"")</f>
        <v/>
      </c>
      <c r="QD36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6" s="96"/>
      <c r="QF36" s="91" t="str" cm="1">
        <f t="array" aca="1" ref="QF36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6" s="96" t="str">
        <f ca="1">LEFT(Geschlecht[[#This Row],[Geschlecht (Skala)]],1)&amp;QL$4</f>
        <v>2</v>
      </c>
      <c r="QH36" s="96" t="str">
        <f t="shared" ca="1" si="97"/>
        <v>Aerobic_2[Resultat]</v>
      </c>
      <c r="QI36" s="97" t="str" cm="1">
        <f t="array" aca="1" ref="QI36" ca="1">IF(INDIRECT(QF$1)="","",IF(INDIRECT(QF$2)=0,0,IF(OR(INDIRECT(QF$1)=$A$2,INDIRECT(QF$1)=$A$3),$A$3,IFERROR(INDEX(INDIRECT(QH36),MATCH(INDIRECT(QF$3),INDIRECT(QH36),QH$25)),IFERROR(IF(QH$25=-1,MAX(INDIRECT(QH36)),IF(QH$25=1,MIN(INDIRECT(QH36)))),"")))))</f>
        <v/>
      </c>
      <c r="QK36" s="91" t="str">
        <f t="shared" ca="1" si="98"/>
        <v>Aerobic_2[Note]</v>
      </c>
      <c r="QL36" s="97" t="str" cm="1">
        <f t="array" aca="1" ref="QL36" ca="1">IFERROR(INDEX(INDIRECT(QK36),MATCH(INDIRECT(QF$5),INDIRECT(QH36),0)),IF(INDIRECT(QF$5)=0,1,""))</f>
        <v/>
      </c>
      <c r="QM36" s="97"/>
      <c r="QN36" s="97" t="str" cm="1">
        <f t="array" aca="1" ref="QN36" ca="1">INDIRECT(QN$5)</f>
        <v/>
      </c>
      <c r="QO36" s="97" t="str" cm="1">
        <f t="array" aca="1" ref="QO36" ca="1">INDIRECT(QO$5)</f>
        <v/>
      </c>
      <c r="QP36" s="97" t="str" cm="1">
        <f t="array" aca="1" ref="QP36" ca="1">INDIRECT(QP$5)</f>
        <v/>
      </c>
      <c r="QQ36" s="97" t="str" cm="1">
        <f t="array" aca="1" ref="QQ36" ca="1">INDIRECT(QQ$5)</f>
        <v/>
      </c>
      <c r="QR36" s="97" t="str" cm="1">
        <f t="array" aca="1" ref="QR36" ca="1">INDIRECT(QR$5)</f>
        <v/>
      </c>
      <c r="QS36" s="97" t="str" cm="1">
        <f t="array" aca="1" ref="QS36" ca="1">INDIRECT(QS$5)</f>
        <v/>
      </c>
      <c r="QT36" s="97" t="str">
        <f t="shared" ca="1" si="99"/>
        <v>Darstellen und Tanzen nicht durchgeführt</v>
      </c>
      <c r="QU36" s="108">
        <f t="shared" ca="1" si="100"/>
        <v>0</v>
      </c>
      <c r="QV36" s="108">
        <f t="shared" ca="1" si="101"/>
        <v>0</v>
      </c>
      <c r="QW36" s="108" t="str">
        <f t="shared" ca="1" si="210"/>
        <v/>
      </c>
      <c r="QX36" s="97" t="str">
        <f t="shared" ca="1" si="211"/>
        <v>Darstellen und Tanzen nicht durchgeführt</v>
      </c>
      <c r="QY36" s="97" t="str">
        <f t="shared" ca="1" si="212"/>
        <v/>
      </c>
      <c r="QZ36" s="97" t="str" cm="1">
        <f t="array" aca="1" ref="QZ36" ca="1">IFERROR(IF(INDIRECT(INDEX(INDIRECT(QZ$5),MATCH(QX36,INDIRECT(QZ$4),0)))&lt;&gt;"",INDEX(INDIRECT(QZ$5),MATCH(QX36,INDIRECT(QZ$4),0)),INDEX(INDIRECT(QZ$6),MATCH(QX36,INDIRECT(QZ$4),0))),"")</f>
        <v/>
      </c>
      <c r="RA36" s="97" t="str">
        <f t="shared" ca="1" si="213"/>
        <v/>
      </c>
      <c r="RB36" s="97" t="str" cm="1">
        <f t="array" aca="1" ref="RB36" ca="1">IFERROR(INDIRECT(QZ36),IF(NOT(ISERROR(FIND(Stammdaten!$CC$3,QX36,1))),$A$2,""))</f>
        <v/>
      </c>
      <c r="RC36" s="97" t="str">
        <f ca="1">IF(RB36="","",IF(AND(QY36=Stammdaten!$BX$20,RA36="0",RB36=1),SUBSTITUTE(TEXT(RB36,RA36)&amp;" "&amp;LEFT(QY36,LEN(QY36)-1),".",","),SUBSTITUTE(TEXT(RB36,RA36)&amp;" "&amp;QY36,".",",")))</f>
        <v/>
      </c>
      <c r="RD36" s="97" t="str">
        <f t="shared" ca="1" si="102"/>
        <v/>
      </c>
      <c r="RE36" s="97" t="str" cm="1">
        <f t="array" aca="1" ref="RE36" ca="1">IFERROR(LEFT(INDIRECT(RD36),1)&amp;"]","")</f>
        <v/>
      </c>
      <c r="RF36" s="97" t="str">
        <f t="shared" ca="1" si="103"/>
        <v/>
      </c>
      <c r="RG36" s="97" t="str">
        <f ca="1">IFERROR(LEFT(QX36,FIND(Stammdaten!$CA$4,QX36,1)-2),IFERROR(LEFT(QX36,FIND(Stammdaten!$CC$3,QX36,1)-2),QX36))</f>
        <v>Darstellen und Tanzen</v>
      </c>
      <c r="RH36" s="97" t="str">
        <f ca="1">IF(NOT(ISERROR(FIND(Stammdaten!$CA$4,QX36,1))),Stammdaten!$CA$4,IF(RI36&lt;&gt;Stammdaten!$CC$3,RF36,""))</f>
        <v>nicht durchgeführt</v>
      </c>
      <c r="RI36" s="91" t="str">
        <f ca="1">IF(RB36=$A$2,Stammdaten!$CC$3,RC36)</f>
        <v/>
      </c>
      <c r="RJ36" s="108">
        <f t="shared" ca="1" si="214"/>
        <v>6</v>
      </c>
      <c r="RK36" s="97"/>
      <c r="RL36" s="308" t="str">
        <f ca="1">IF(QT36=$QT$4,Stammdaten!$BZ$1,IF(QT36=$QT$5,$A$3,QT36))</f>
        <v>Zu wenige Werte</v>
      </c>
      <c r="RM36" s="97"/>
      <c r="RN36" s="307"/>
      <c r="RO36" s="96" t="str">
        <f>IFERROR(IFERROR(SUBSTITUTE(BasketballResultat[[#This Row],[Eingabe]],".",",")*1,SUBSTITUTE(BasketballResultat[[#This Row],[Eingabe]],",",".")*1),"")</f>
        <v/>
      </c>
      <c r="RP36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6" s="96"/>
      <c r="RR36" s="91" t="str" cm="1">
        <f t="array" aca="1" ref="RR36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6" s="96" t="str">
        <f ca="1">LEFT(Geschlecht[[#This Row],[Geschlecht (Skala)]],1)&amp;RX$4</f>
        <v>2</v>
      </c>
      <c r="RT36" s="96" t="str">
        <f t="shared" ca="1" si="104"/>
        <v>Basketball_2[Resultat]</v>
      </c>
      <c r="RU36" s="97" t="str" cm="1">
        <f t="array" aca="1" ref="RU36" ca="1">IF(INDIRECT(RR$1)="","",IF(INDIRECT(RR$2)=0,0,IF(OR(INDIRECT(RR$1)=$A$2,INDIRECT(RR$1)=$A$3),$A$3,IFERROR(INDEX(INDIRECT(RT36),MATCH(INDIRECT(RR$3),INDIRECT(RT36),RT$25)),IFERROR(IF(RT$25=-1,MAX(INDIRECT(RT36)),IF(RT$25=1,MIN(INDIRECT(RT36)))),"")))))</f>
        <v/>
      </c>
      <c r="RW36" s="91" t="str">
        <f t="shared" ca="1" si="105"/>
        <v>Basketball_2[Note]</v>
      </c>
      <c r="RX36" s="97" t="str" cm="1">
        <f t="array" aca="1" ref="RX36" ca="1">IFERROR(INDEX(INDIRECT(RW36),MATCH(INDIRECT(RR$5),INDIRECT(RT36),0)),IF(INDIRECT(RR$5)=0,1,""))</f>
        <v/>
      </c>
      <c r="RY36" s="97"/>
      <c r="RZ36" s="307"/>
      <c r="SA36" s="96" t="str">
        <f>IFERROR(IFERROR(SUBSTITUTE(FussballResultat[[#This Row],[Eingabe]],".",",")*1,SUBSTITUTE(FussballResultat[[#This Row],[Eingabe]],",",".")*1),"")</f>
        <v/>
      </c>
      <c r="SB36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6" s="96"/>
      <c r="SD36" s="316" t="str" cm="1">
        <f t="array" aca="1" ref="SD36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6" s="96" t="str">
        <f ca="1">LEFT(Geschlecht[[#This Row],[Geschlecht (Skala)]],1)&amp;SJ$4</f>
        <v>2</v>
      </c>
      <c r="SF36" s="96" t="str">
        <f t="shared" ca="1" si="106"/>
        <v>Fussball_2[Resultat]</v>
      </c>
      <c r="SG36" s="97" t="str" cm="1">
        <f t="array" aca="1" ref="SG36" ca="1">IF(INDIRECT(SD$1)="","",IF(INDIRECT(SD$2)=0,0,IF(OR(INDIRECT(SD$1)=$A$2,INDIRECT(SD$1)=$A$3),$A$3,IFERROR(INDEX(INDIRECT(SF36),MATCH(INDIRECT(SD$3),INDIRECT(SF36),SF$25)),IFERROR(IF(SF$25=-1,MAX(INDIRECT(SF36)),IF(SF$25=1,MIN(INDIRECT(SF36)))),"")))))</f>
        <v/>
      </c>
      <c r="SI36" s="91" t="str">
        <f t="shared" ca="1" si="107"/>
        <v>Fussball_2[Note]</v>
      </c>
      <c r="SJ36" s="97" t="str" cm="1">
        <f t="array" aca="1" ref="SJ36" ca="1">IFERROR(INDEX(INDIRECT(SI36),MATCH(INDIRECT(SD$5),INDIRECT(SF36),0)),IF(INDIRECT(SD$5)=0,1,""))</f>
        <v/>
      </c>
      <c r="SK36" s="97"/>
      <c r="SL36" s="307"/>
      <c r="SM36" s="96" t="str">
        <f>IFERROR(IFERROR(SUBSTITUTE(HandballResultat[[#This Row],[Eingabe]],".",",")*1,SUBSTITUTE(HandballResultat[[#This Row],[Eingabe]],",",".")*1),"")</f>
        <v/>
      </c>
      <c r="SN36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6" s="96"/>
      <c r="SP36" s="91" t="str" cm="1">
        <f t="array" aca="1" ref="SP36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6" s="96" t="str">
        <f ca="1">LEFT(Geschlecht[[#This Row],[Geschlecht (Skala)]],1)&amp;SV$4</f>
        <v>2</v>
      </c>
      <c r="SR36" s="96" t="str">
        <f t="shared" ca="1" si="108"/>
        <v>Handball_2[Resultat]</v>
      </c>
      <c r="SS36" s="97" t="str" cm="1">
        <f t="array" aca="1" ref="SS36" ca="1">IF(INDIRECT(SP$1)="","",IF(INDIRECT(SP$2)=0,0,IF(OR(INDIRECT(SP$1)=$A$2,INDIRECT(SP$1)=$A$3),$A$3,IFERROR(INDEX(INDIRECT(SR36),MATCH(INDIRECT(SP$3),INDIRECT(SR36),SR$25)),IFERROR(IF(SR$25=-1,MAX(INDIRECT(SR36)),IF(SR$25=1,MIN(INDIRECT(SR36)))),"")))))</f>
        <v/>
      </c>
      <c r="SU36" s="91" t="str">
        <f t="shared" ca="1" si="109"/>
        <v>Handball_2[Note]</v>
      </c>
      <c r="SV36" s="97" t="str" cm="1">
        <f t="array" aca="1" ref="SV36" ca="1">IFERROR(INDEX(INDIRECT(SU36),MATCH(INDIRECT(SP$5),INDIRECT(SR36),0)),IF(INDIRECT(SP$5)=0,1,""))</f>
        <v/>
      </c>
      <c r="SW36" s="97"/>
      <c r="SX36" s="307"/>
      <c r="SY36" s="96" t="str">
        <f>IFERROR(IFERROR(SUBSTITUTE(UnihockeyResultat[[#This Row],[Eingabe]],".",",")*1,SUBSTITUTE(UnihockeyResultat[[#This Row],[Eingabe]],",",".")*1),"")</f>
        <v/>
      </c>
      <c r="SZ36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6" s="96"/>
      <c r="TB36" s="91" t="str" cm="1">
        <f t="array" aca="1" ref="TB36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6" s="96" t="str">
        <f ca="1">LEFT(Geschlecht[[#This Row],[Geschlecht (Skala)]],1)&amp;TH$4</f>
        <v>2</v>
      </c>
      <c r="TD36" s="96" t="str">
        <f t="shared" ca="1" si="110"/>
        <v>Unihockey_2[Resultat]</v>
      </c>
      <c r="TE36" s="97" t="str" cm="1">
        <f t="array" aca="1" ref="TE36" ca="1">IF(INDIRECT(TB$1)="","",IF(INDIRECT(TB$2)=0,0,IF(OR(INDIRECT(TB$1)=$A$2,INDIRECT(TB$1)=$A$3),$A$3,IFERROR(INDEX(INDIRECT(TD36),MATCH(INDIRECT(TB$3),INDIRECT(TD36),TD$25)),IFERROR(IF(TD$25=-1,MAX(INDIRECT(TD36)),IF(TD$25=1,MIN(INDIRECT(TD36)))),"")))))</f>
        <v/>
      </c>
      <c r="TG36" s="91" t="str">
        <f t="shared" ca="1" si="111"/>
        <v>Unihockey_2[Note]</v>
      </c>
      <c r="TH36" s="97" t="str" cm="1">
        <f t="array" aca="1" ref="TH36" ca="1">IFERROR(INDEX(INDIRECT(TG36),MATCH(INDIRECT(TB$5),INDIRECT(TD36),0)),IF(INDIRECT(TB$5)=0,1,""))</f>
        <v/>
      </c>
      <c r="TI36" s="97"/>
      <c r="TJ36" s="307"/>
      <c r="TK36" s="96" t="str">
        <f>IFERROR(IFERROR(SUBSTITUTE(VolleyballResultat[[#This Row],[Eingabe]],".",",")*1,SUBSTITUTE(VolleyballResultat[[#This Row],[Eingabe]],",",".")*1),"")</f>
        <v/>
      </c>
      <c r="TL36" s="96" t="e">
        <f>INT(VolleyballResultat[[#This Row],[Resultat]])=VolleyballResultat[[#This Row],[Resultat]]</f>
        <v>#VALUE!</v>
      </c>
      <c r="TM36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6" s="96"/>
      <c r="TO36" s="91" t="str" cm="1">
        <f t="array" aca="1" ref="TO36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6" s="96" t="str">
        <f ca="1">LEFT(Geschlecht[[#This Row],[Geschlecht (Skala)]],1)&amp;TU$4</f>
        <v>2</v>
      </c>
      <c r="TQ36" s="96" t="str">
        <f t="shared" ca="1" si="112"/>
        <v>Volleyball_2[Resultat]</v>
      </c>
      <c r="TR36" s="97" t="str" cm="1">
        <f t="array" aca="1" ref="TR36" ca="1">IF(INDIRECT(TO$1)="","",IF(INDIRECT(TO$2)=0,0,IF(OR(INDIRECT(TO$1)=$A$2,INDIRECT(TO$1)=$A$3),$A$3,IFERROR(INDEX(INDIRECT(TQ36),MATCH(INDIRECT(TO$3),INDIRECT(TQ36),TQ$25)),IFERROR(IF(TQ$25=-1,MAX(INDIRECT(TQ36)),IF(TQ$25=1,MIN(INDIRECT(TQ36)))),"")))))</f>
        <v/>
      </c>
      <c r="TT36" s="91" t="str">
        <f t="shared" ca="1" si="113"/>
        <v>Volleyball_2[Note]</v>
      </c>
      <c r="TU36" s="97" t="str" cm="1">
        <f t="array" aca="1" ref="TU36" ca="1">IFERROR(INDEX(INDIRECT(TT36),MATCH(INDIRECT(TO$5),INDIRECT(TQ36),0)),IF(INDIRECT(TO$5)=0,1,""))</f>
        <v/>
      </c>
      <c r="TV36" s="97"/>
      <c r="TW36" s="309" t="str" cm="1">
        <f t="array" aca="1" ref="TW36" ca="1">IF(AND(ISNUMBER(INDIRECT(TW$3)),INDIRECT(TW$3)&gt;1),INDIRECT(TW$3),"")</f>
        <v/>
      </c>
      <c r="TX36" s="309" t="str" cm="1">
        <f t="array" aca="1" ref="TX36" ca="1">IF(AND(ISNUMBER(INDIRECT(TX$3)),INDIRECT(TX$3)&gt;1),INDIRECT(TX$3),"")</f>
        <v/>
      </c>
      <c r="TY36" s="309" t="str" cm="1">
        <f t="array" aca="1" ref="TY36" ca="1">IF(AND(ISNUMBER(INDIRECT(TY$3)),INDIRECT(TY$3)&gt;1),INDIRECT(TY$3),"")</f>
        <v/>
      </c>
      <c r="TZ36" s="309" t="str" cm="1">
        <f t="array" aca="1" ref="TZ36" ca="1">IF(AND(ISNUMBER(INDIRECT(TZ$3)),INDIRECT(TZ$3)&gt;1),INDIRECT(TZ$3),"")</f>
        <v/>
      </c>
      <c r="UA36" s="309" t="str" cm="1">
        <f t="array" aca="1" ref="UA36" ca="1">IF(AND(ISNUMBER(INDIRECT(UA$3)),INDIRECT(UA$3)&gt;1),INDIRECT(UA$3),"")</f>
        <v/>
      </c>
      <c r="UB36" s="309" t="str">
        <f t="shared" ca="1" si="114"/>
        <v>x</v>
      </c>
      <c r="UC36" s="309" t="str">
        <f t="shared" ca="1" si="115"/>
        <v>y</v>
      </c>
      <c r="UD36" s="309" t="str">
        <f t="shared" ca="1" si="116"/>
        <v>z</v>
      </c>
      <c r="UE36" s="309" t="str">
        <f t="shared" ca="1" si="215"/>
        <v>a</v>
      </c>
      <c r="UF36" s="309" t="str" cm="1">
        <f t="array" aca="1" ref="UF36" ca="1">IF(UE36="a","",INDEX($TW$23:$UA$23,,MATCH(UE36,$TW36:$UA36,0)))</f>
        <v/>
      </c>
      <c r="UG36" s="309" t="str" cm="1">
        <f t="array" aca="1" ref="UG36" ca="1">IF(OR(UF36="",UF36&gt;=$UA$23),"",INDEX(INDIRECT(ADDRESS(ROW($TW$23),UF36+1)):$UA$23,,MATCH(UE36,INDIRECT(ADDRESS(ROW(),UF36+1)):$UA36,0)))</f>
        <v/>
      </c>
      <c r="UH36" s="309" t="str" cm="1">
        <f t="array" aca="1" ref="UH36" ca="1">IF(OR(UG36="",UG36&gt;=$UA$23),"",INDEX(INDIRECT(ADDRESS(ROW($TW$23),UG36+1)):$UA$23,,MATCH(UE36,INDIRECT(ADDRESS(ROW(),UG36+1)):$UA36,0)))</f>
        <v/>
      </c>
      <c r="UI36" s="309" t="str">
        <f t="shared" ca="1" si="216"/>
        <v>c</v>
      </c>
      <c r="UJ36" s="309" t="str" cm="1">
        <f t="array" aca="1" ref="UJ36" ca="1">IF(OR(UI36="b",UI36="c"),"",INDEX($TW$23:$UA$23,,MATCH(UI36,$TW36:$UA36,0)))</f>
        <v/>
      </c>
      <c r="UK36" s="309" t="str" cm="1">
        <f t="array" aca="1" ref="UK36" ca="1">IF(OR(UJ36="",UJ36&gt;=$UA$23),"",INDEX(INDIRECT(ADDRESS(ROW($TW$23),UJ36+1)):$UA$23,,MATCH(UI36,INDIRECT(ADDRESS(ROW(),UJ36+1)):$UA36,0)))</f>
        <v/>
      </c>
      <c r="UL36" s="309" t="str">
        <f t="shared" ca="1" si="117"/>
        <v/>
      </c>
      <c r="UM36" s="309" t="str">
        <f t="shared" ca="1" si="217"/>
        <v>e</v>
      </c>
      <c r="UN36" s="309" t="str">
        <f t="shared" ca="1" si="118"/>
        <v/>
      </c>
      <c r="UO36" s="309" t="str" cm="1">
        <f t="array" aca="1" ref="UO36" ca="1">IF(OR(UM36="d",UM36="e"),"",INDEX($TW$23:$UA$23,,MATCH(UM36,$TW36:$UA36,0)))</f>
        <v/>
      </c>
      <c r="UP36" s="309" t="str" cm="1">
        <f t="array" aca="1" ref="UP36" ca="1">IF(OR(UO36="",UO36&gt;=$UA$23),"",INDEX(INDIRECT(ADDRESS(ROW($TW$23),UO36+1)):$UA$23,,MATCH(UM36,INDIRECT(ADDRESS(ROW(),UO36+1)):$UA36,0)))</f>
        <v/>
      </c>
      <c r="UQ36" s="309" t="str" cm="1">
        <f t="array" aca="1" ref="UQ36" ca="1">IFERROR(IF(ISNUMBER(UF36),UF36,IF(ISNUMBER(UJ36),UJ36,IF(ISNUMBER(UN36),UN36,INDEX($TW$23:$UA$23,,MATCH(UB36,$TW36:$UA36,0))))),"x1")</f>
        <v>x1</v>
      </c>
      <c r="UR36" s="309" t="str" cm="1">
        <f t="array" aca="1" ref="UR36" ca="1">IFERROR(IF(ISNUMBER(UG36),UG36,IF(ISNUMBER(UK36),UK36,IF(ISNUMBER(UO36),UO36,INDEX($TW$23:$UA$23,,MATCH(UC36,$TW36:$UA36,0))))),IF(UQ36="x1","x2","x1"))</f>
        <v>x2</v>
      </c>
      <c r="US36" s="309" t="str" cm="1">
        <f t="array" aca="1" ref="US36" ca="1">IFERROR(IF(ISNUMBER(UH36),UH36,IF(ISNUMBER(UL36),UL36,IF(ISNUMBER(UP36),UP36,INDEX($TW$23:$UA$23,,MATCH(UD36,$TW36:$UA36,0))))),IF(UR36="x1","x2",IF(UR36="x2","x3","x1")))</f>
        <v>x3</v>
      </c>
      <c r="UT36" s="97" t="str" cm="1">
        <f t="array" aca="1" ref="UT36" ca="1">IF(OR(INDIRECT(UT$3)=$A$2,INDIRECT(UT$3)=$A$3),COLUMN(),"")</f>
        <v/>
      </c>
      <c r="UU36" s="97" t="str" cm="1">
        <f t="array" aca="1" ref="UU36" ca="1">IF(OR(INDIRECT(UU$3)=$A$2,INDIRECT(UU$3)=$A$3),COLUMN(),"")</f>
        <v/>
      </c>
      <c r="UV36" s="97" t="str" cm="1">
        <f t="array" aca="1" ref="UV36" ca="1">IF(OR(INDIRECT(UV$3)=$A$2,INDIRECT(UV$3)=$A$3),COLUMN(),"")</f>
        <v/>
      </c>
      <c r="UW36" s="97" t="str" cm="1">
        <f t="array" aca="1" ref="UW36" ca="1">IF(OR(INDIRECT(UW$3)=$A$2,INDIRECT(UW$3)=$A$3),COLUMN(),"")</f>
        <v/>
      </c>
      <c r="UX36" s="97" t="str" cm="1">
        <f t="array" aca="1" ref="UX36" ca="1">IF(OR(INDIRECT(UX$3)=$A$2,INDIRECT(UX$3)=$A$3),COLUMN(),"")</f>
        <v/>
      </c>
      <c r="UY36" s="97" t="str" cm="1">
        <f t="array" aca="1" ref="UY36" ca="1">IF(AND(ISNUMBER(INDIRECT(UY$3)),INDIRECT(UY$3)=0),COLUMN(),"")</f>
        <v/>
      </c>
      <c r="UZ36" s="97" t="str" cm="1">
        <f t="array" aca="1" ref="UZ36" ca="1">IF(AND(ISNUMBER(INDIRECT(UZ$3)),INDIRECT(UZ$3)=0),COLUMN(),"")</f>
        <v/>
      </c>
      <c r="VA36" s="97" t="str" cm="1">
        <f t="array" aca="1" ref="VA36" ca="1">IF(AND(ISNUMBER(INDIRECT(VA$3)),INDIRECT(VA$3)=0),COLUMN(),"")</f>
        <v/>
      </c>
      <c r="VB36" s="97" t="str" cm="1">
        <f t="array" aca="1" ref="VB36" ca="1">IF(AND(ISNUMBER(INDIRECT(VB$3)),INDIRECT(VB$3)=0),COLUMN(),"")</f>
        <v/>
      </c>
      <c r="VC36" s="97" t="str" cm="1">
        <f t="array" aca="1" ref="VC36" ca="1">IF(AND(ISNUMBER(INDIRECT(VC$3)),INDIRECT(VC$3)=0),COLUMN(),"")</f>
        <v/>
      </c>
      <c r="VD36" s="97" t="str">
        <f t="shared" ca="1" si="218"/>
        <v>x1</v>
      </c>
      <c r="VE36" s="97" t="str">
        <f t="shared" ca="1" si="219"/>
        <v>x2</v>
      </c>
      <c r="VF36" s="97" t="str">
        <f t="shared" ca="1" si="220"/>
        <v>x3</v>
      </c>
      <c r="VG36" s="97" t="str">
        <f ca="1">IFERROR(IF(ISNUMBER(VD36),VD36,SMALL($UY36:$VC36,VALUE(RIGHT(VD36,1)))),Stammdaten!$CB$17)</f>
        <v>Erste Spielsportart nicht durchgeführt</v>
      </c>
      <c r="VH36" s="97" t="str">
        <f ca="1">IFERROR(IF(ISNUMBER(VE36),VE36,SMALL($UY36:$VC36,VALUE(RIGHT(VE36,1)))),Stammdaten!$CB$18)</f>
        <v>Zweite Spielsportart nicht durchgeführt</v>
      </c>
      <c r="VI36" s="97" t="str">
        <f ca="1">IFERROR(IF(ISNUMBER(VF36),VF36,SMALL($UY36:$VC36,VALUE(RIGHT(VF36,1)))),Stammdaten!$CB$19)</f>
        <v>Dritte Spielsportart nicht durchgeführt</v>
      </c>
      <c r="VJ36" s="91" t="str" cm="1">
        <f t="array" aca="1" ref="VJ36" ca="1">IFERROR(INDIRECT(ADDRESS(ROW($TW$5),VG36)),VG36)</f>
        <v>Erste Spielsportart nicht durchgeführt</v>
      </c>
      <c r="VK36" s="97" t="str">
        <f t="shared" ca="1" si="221"/>
        <v/>
      </c>
      <c r="VL36" s="97" t="str" cm="1">
        <f t="array" aca="1" ref="VL36" ca="1">IFERROR(IF(INDIRECT(INDEX(INDIRECT(VL$5),MATCH(VJ36,INDIRECT(VL$4),0)))&lt;&gt;"",INDEX(INDIRECT(VL$5),MATCH(VJ36,INDIRECT(VL$4),0)),INDEX(INDIRECT(VL$6),MATCH(VJ36,INDIRECT(VL$4),0))),"")</f>
        <v/>
      </c>
      <c r="VM36" s="97" t="str">
        <f t="shared" ca="1" si="222"/>
        <v/>
      </c>
      <c r="VN36" s="97" t="str" cm="1">
        <f t="array" aca="1" ref="VN36" ca="1">IFERROR(INDIRECT(VL36),"")</f>
        <v/>
      </c>
      <c r="VO36" s="97" t="str">
        <f ca="1">IF(VN36="","",IF(AND(VK36=Stammdaten!$BX$20,VM36="0",VN36=1),SUBSTITUTE(TEXT(VN36,VM36)&amp;" "&amp;LEFT(VK36,LEN(VK36)-1),".",","),SUBSTITUTE(TEXT(VN36,VM36)&amp;" "&amp;VK36,".",",")))</f>
        <v/>
      </c>
      <c r="VP36" s="97" t="str">
        <f t="shared" ca="1" si="119"/>
        <v/>
      </c>
      <c r="VQ36" s="97" t="str" cm="1">
        <f t="array" aca="1" ref="VQ36" ca="1">IFERROR(LEFT(INDIRECT(VP36),1)&amp;"]","")</f>
        <v/>
      </c>
      <c r="VR36" s="97" t="str">
        <f t="shared" ca="1" si="120"/>
        <v/>
      </c>
      <c r="VS36" s="97" t="str">
        <f ca="1">IFERROR(LEFT(VJ36,FIND(Stammdaten!$CA$4,VJ36,1)-2),IFERROR(LEFT(VJ36,FIND(Stammdaten!$CC$3,VJ36,1)-2),VJ36))</f>
        <v>Erste Spielsportart</v>
      </c>
      <c r="VT36" s="97" t="str">
        <f ca="1">IF(NOT(ISERROR(FIND(Stammdaten!$CA$4,VJ36,1))),Stammdaten!$CA$4,IF(VU36&lt;&gt;Stammdaten!$CC$3,VR36,""))</f>
        <v>nicht durchgeführt</v>
      </c>
      <c r="VU36" s="91" t="str">
        <f ca="1">IF(VN36=$A$2,Stammdaten!$CC$3,VO36)</f>
        <v/>
      </c>
      <c r="VV36" s="91" t="str" cm="1">
        <f t="array" aca="1" ref="VV36" ca="1">IFERROR(INDIRECT(ADDRESS(ROW($TW$5),VH36)),VH36)</f>
        <v>Zweite Spielsportart nicht durchgeführt</v>
      </c>
      <c r="VW36" s="97" t="str">
        <f t="shared" ca="1" si="223"/>
        <v/>
      </c>
      <c r="VX36" s="97" t="str" cm="1">
        <f t="array" aca="1" ref="VX36" ca="1">IFERROR(IF(INDIRECT(INDEX(INDIRECT(VX$5),MATCH(VV36,INDIRECT(VX$4),0)))&lt;&gt;"",INDEX(INDIRECT(VX$5),MATCH(VV36,INDIRECT(VX$4),0)),INDEX(INDIRECT(VX$6),MATCH(VV36,INDIRECT(VX$4),0))),"")</f>
        <v/>
      </c>
      <c r="VY36" s="97" t="str">
        <f t="shared" ca="1" si="224"/>
        <v/>
      </c>
      <c r="VZ36" s="97" t="str" cm="1">
        <f t="array" aca="1" ref="VZ36" ca="1">IFERROR(INDIRECT(VX36),"")</f>
        <v/>
      </c>
      <c r="WA36" s="97" t="str">
        <f ca="1">IF(VZ36="","",IF(AND(VW36=Stammdaten!$BX$20,VY36="0",VZ36=1),SUBSTITUTE(TEXT(VZ36,VY36)&amp;" "&amp;LEFT(VW36,LEN(VW36)-1),".",","),SUBSTITUTE(TEXT(VZ36,VY36)&amp;" "&amp;VW36,".",",")))</f>
        <v/>
      </c>
      <c r="WB36" s="97" t="str">
        <f t="shared" ca="1" si="121"/>
        <v/>
      </c>
      <c r="WC36" s="97" t="str" cm="1">
        <f t="array" aca="1" ref="WC36" ca="1">IFERROR(LEFT(INDIRECT(WB36),1)&amp;"]","")</f>
        <v/>
      </c>
      <c r="WD36" s="97" t="str">
        <f t="shared" ca="1" si="122"/>
        <v/>
      </c>
      <c r="WE36" s="97" t="str">
        <f ca="1">IFERROR(LEFT(VV36,FIND(Stammdaten!$CA$4,VV36,1)-2),IFERROR(LEFT(VV36,FIND(Stammdaten!$CC$3,VV36,1)-2),VV36))</f>
        <v>Zweite Spielsportart</v>
      </c>
      <c r="WF36" s="97" t="str">
        <f ca="1">IF(NOT(ISERROR(FIND(Stammdaten!$CA$4,VV36,1))),Stammdaten!$CA$4,IF(WG36&lt;&gt;Stammdaten!$CC$3,WD36,""))</f>
        <v>nicht durchgeführt</v>
      </c>
      <c r="WG36" s="91" t="str">
        <f ca="1">IF(VZ36=$A$2,Stammdaten!$CC$3,WA36)</f>
        <v/>
      </c>
      <c r="WH36" s="91" t="str" cm="1">
        <f t="array" aca="1" ref="WH36" ca="1">IFERROR(INDIRECT(ADDRESS(ROW($TW$5),VI36)),VI36)</f>
        <v>Dritte Spielsportart nicht durchgeführt</v>
      </c>
      <c r="WI36" s="97" t="str">
        <f t="shared" ca="1" si="225"/>
        <v/>
      </c>
      <c r="WJ36" s="97" t="str" cm="1">
        <f t="array" aca="1" ref="WJ36" ca="1">IFERROR(IF(INDIRECT(INDEX(INDIRECT(WJ$5),MATCH(WH36,INDIRECT(WJ$4),0)))&lt;&gt;"",INDEX(INDIRECT(WJ$5),MATCH(WH36,INDIRECT(WJ$4),0)),INDEX(INDIRECT(WJ$6),MATCH(WH36,INDIRECT(WJ$4),0))),"")</f>
        <v/>
      </c>
      <c r="WK36" s="97" t="str">
        <f t="shared" ca="1" si="226"/>
        <v/>
      </c>
      <c r="WL36" s="97" t="str" cm="1">
        <f t="array" aca="1" ref="WL36" ca="1">IFERROR(INDIRECT(WJ36),"")</f>
        <v/>
      </c>
      <c r="WM36" s="97" t="str">
        <f ca="1">IF(WL36="","",IF(AND(WI36=Stammdaten!$BX$20,WK36="0",WL36=1),SUBSTITUTE(TEXT(WL36,WK36)&amp;" "&amp;LEFT(WI36,LEN(WI36)-1),".",","),SUBSTITUTE(TEXT(WL36,WK36)&amp;" "&amp;WI36,".",",")))</f>
        <v/>
      </c>
      <c r="WN36" s="97" t="str">
        <f t="shared" ca="1" si="123"/>
        <v/>
      </c>
      <c r="WO36" s="97" t="str" cm="1">
        <f t="array" aca="1" ref="WO36" ca="1">IFERROR(LEFT(INDIRECT(WN36),1)&amp;"]","")</f>
        <v/>
      </c>
      <c r="WP36" s="97" t="str">
        <f t="shared" ca="1" si="124"/>
        <v/>
      </c>
      <c r="WQ36" s="97" t="str">
        <f ca="1">IFERROR(LEFT(WH36,FIND(Stammdaten!$CA$4,WH36,1)-2),IFERROR(LEFT(WH36,FIND(Stammdaten!$CC$3,WH36,1)-2),WH36))</f>
        <v>Dritte Spielsportart</v>
      </c>
      <c r="WR36" s="97" t="str">
        <f ca="1">IF(NOT(ISERROR(FIND(Stammdaten!$CA$4,WH36,1))),Stammdaten!$CA$4,IF(WS36&lt;&gt;Stammdaten!$CC$3,WP36,""))</f>
        <v>nicht durchgeführt</v>
      </c>
      <c r="WS36" s="91" t="str">
        <f ca="1">IF(WL36=$A$2,Stammdaten!$CC$3,WM36)</f>
        <v/>
      </c>
      <c r="WT36" s="97" t="str" cm="1">
        <f t="array" aca="1" ref="WT36" ca="1">INDIRECT(WT$5)</f>
        <v/>
      </c>
      <c r="WU36" s="97" t="str" cm="1">
        <f t="array" aca="1" ref="WU36" ca="1">INDIRECT(WU$5)</f>
        <v/>
      </c>
      <c r="WV36" s="97" t="str" cm="1">
        <f t="array" aca="1" ref="WV36" ca="1">INDIRECT(WV$5)</f>
        <v/>
      </c>
      <c r="WW36" s="97" t="str" cm="1">
        <f t="array" aca="1" ref="WW36" ca="1">INDIRECT(WW$5)</f>
        <v/>
      </c>
      <c r="WX36" s="97" t="str" cm="1">
        <f t="array" aca="1" ref="WX36" ca="1">INDIRECT(WX$5)</f>
        <v/>
      </c>
      <c r="WY36" s="97" cm="1">
        <f t="array" aca="1" ref="WY36" ca="1">IF(INDIRECT(WY$5)&lt;&gt;"",INDIRECT(WY$5),0)</f>
        <v>0</v>
      </c>
      <c r="WZ36" s="97" cm="1">
        <f t="array" aca="1" ref="WZ36" ca="1">IF(INDIRECT(WZ$5)&lt;&gt;"",INDIRECT(WZ$5),0)</f>
        <v>0</v>
      </c>
      <c r="XA36" s="97" cm="1">
        <f t="array" aca="1" ref="XA36" ca="1">IF(INDIRECT(XA$5)&lt;&gt;"",INDIRECT(XA$5),0)</f>
        <v>0</v>
      </c>
      <c r="XB36" s="97" cm="1">
        <f t="array" aca="1" ref="XB36" ca="1">IF(INDIRECT(XB$5)&lt;&gt;"",INDIRECT(XB$5),0)</f>
        <v>0</v>
      </c>
      <c r="XC36" s="97" cm="1">
        <f t="array" aca="1" ref="XC36" ca="1">IF(INDIRECT(XC$5)&lt;&gt;"",INDIRECT(XC$5),0)</f>
        <v>0</v>
      </c>
      <c r="XD36" s="97">
        <f t="shared" ca="1" si="125"/>
        <v>0</v>
      </c>
      <c r="XE36" s="97">
        <f t="shared" ca="1" si="125"/>
        <v>0</v>
      </c>
      <c r="XF36" s="97">
        <f t="shared" ca="1" si="125"/>
        <v>0</v>
      </c>
      <c r="XG36" s="97">
        <f t="shared" ca="1" si="227"/>
        <v>0</v>
      </c>
      <c r="XH36" s="108">
        <f t="shared" ca="1" si="228"/>
        <v>0</v>
      </c>
      <c r="XI36" s="108">
        <f t="shared" ca="1" si="126"/>
        <v>0</v>
      </c>
      <c r="XJ36" s="108" t="str">
        <f t="shared" ca="1" si="229"/>
        <v/>
      </c>
      <c r="XK36" s="97" t="str">
        <f ca="1">IF(XJ36="",Stammdaten!$BZ$1,IF(AND(XH36=0,XI36&gt;=XJ$25),$A$3,ROUND(SUM(XG36/XJ36)/XK$25,0)*XK$25))</f>
        <v>Zu wenige Werte</v>
      </c>
      <c r="XL36" s="108">
        <f t="shared" ca="1" si="230"/>
        <v>6</v>
      </c>
      <c r="XM36" s="97" t="str">
        <f t="shared" ca="1" si="231"/>
        <v/>
      </c>
      <c r="XN36" s="97" t="str">
        <f t="shared" ca="1" si="232"/>
        <v/>
      </c>
      <c r="XO36" s="97" t="str">
        <f t="shared" ca="1" si="233"/>
        <v/>
      </c>
      <c r="XP36" s="97" t="str">
        <f t="shared" ca="1" si="234"/>
        <v/>
      </c>
      <c r="XQ36" s="97" t="str">
        <f t="shared" ca="1" si="235"/>
        <v>g</v>
      </c>
      <c r="XR36" s="97" t="str">
        <f t="shared" ca="1" si="236"/>
        <v/>
      </c>
      <c r="XS36" s="97">
        <f t="shared" ca="1" si="237"/>
        <v>1</v>
      </c>
      <c r="XT36" s="97" t="str">
        <f ca="1">IF(OR(Geschlecht[[#This Row],[Geschlecht (Skala)]]="",NOT(ISNUMBER(XJ36))),"",XS36)</f>
        <v/>
      </c>
      <c r="XU36" s="97" t="str">
        <f t="shared" ca="1" si="238"/>
        <v/>
      </c>
      <c r="XV36" s="97"/>
      <c r="XW36" s="308" t="str">
        <f t="shared" ca="1" si="127"/>
        <v>Zu wenige Werte</v>
      </c>
      <c r="XX36" s="97"/>
      <c r="XY36" s="97" t="str">
        <f t="shared" ca="1" si="128"/>
        <v>Zu wenige Werte</v>
      </c>
      <c r="XZ36" s="97" t="str">
        <f t="shared" ca="1" si="129"/>
        <v>Zu wenige Werte</v>
      </c>
      <c r="YA36" s="97" t="str">
        <f t="shared" ca="1" si="130"/>
        <v>Zu wenige Werte</v>
      </c>
      <c r="YB36" s="97" t="str">
        <f t="shared" ca="1" si="131"/>
        <v>Zu wenige Werte</v>
      </c>
      <c r="YC36" s="97">
        <f t="shared" ca="1" si="239"/>
        <v>0</v>
      </c>
      <c r="YD36" s="108">
        <f t="shared" ca="1" si="240"/>
        <v>0</v>
      </c>
      <c r="YE36" s="108">
        <f t="shared" ca="1" si="241"/>
        <v>0</v>
      </c>
      <c r="YF36" s="108" t="str">
        <f t="shared" ca="1" si="242"/>
        <v/>
      </c>
      <c r="YG36" s="97" t="str">
        <f ca="1">IF(YF36="",Stammdaten!$BZ$1,IF(YE36=YF$25,$A$3,ROUND(SUM(YC36/YF36)/YG$25,0)*YG$25))</f>
        <v>Zu wenige Werte</v>
      </c>
      <c r="YH36" s="97" t="str">
        <f ca="1">IF(NOT(ISNUMBER(XY36)),"",IF(YH$11&lt;&gt;"2+",TEXT(XY36,YH$11)&amp;" / ",IF(RIGHT(XY36*100,2)="00",TEXT(XY36,"0"&amp;Stammdaten!$AZ$3&amp;"0")&amp;" / ",XY36&amp;" / ")))</f>
        <v/>
      </c>
      <c r="YI36" s="97" t="str">
        <f ca="1">IF(NOT(ISNUMBER(XZ36)),"",IF(YI$11&lt;&gt;"2+",TEXT(XZ36,YI$11)&amp;" / ",IF(RIGHT(XZ36*100,2)="00",TEXT(XZ36,"0"&amp;Stammdaten!$AZ$3&amp;"0")&amp;" / ",XZ36&amp;" / ")))</f>
        <v/>
      </c>
      <c r="YJ36" s="97" t="str">
        <f ca="1">IF(NOT(ISNUMBER(YA36)),"",IF(YJ$11&lt;&gt;"2+",TEXT(YA36,YJ$11)&amp;" / ",IF(RIGHT(YA36*100,2)="00",TEXT(YA36,"0"&amp;Stammdaten!$AZ$3&amp;"0")&amp;" / ",YA36&amp;" / ")))</f>
        <v/>
      </c>
      <c r="YK36" s="97" t="str">
        <f ca="1">IF(NOT(ISNUMBER(YB36)),"",IF(YK$11&lt;&gt;"2+",TEXT(YB36,YK$11)&amp;" / ",IF(RIGHT(YB36*100,2)="00",TEXT(YB36,"0"&amp;Stammdaten!$AZ$3&amp;"0")&amp;" / ",YB36&amp;" / ")))</f>
        <v/>
      </c>
      <c r="YL36" s="97" t="str">
        <f t="shared" ca="1" si="243"/>
        <v/>
      </c>
      <c r="YM36" s="97" t="str">
        <f>IF(Geschlecht[[#This Row],[Geschlecht (Skala)]]="","",IF(ISNUMBER(XY36),1,IF(XY36=$A$3,$A$2,"R")))</f>
        <v/>
      </c>
      <c r="YN36" s="97" t="str">
        <f>IF(Geschlecht[[#This Row],[Geschlecht (Skala)]]="","",IF(ISNUMBER(XZ36),1,IF(XZ36=$A$3,$A$2,"R")))</f>
        <v/>
      </c>
      <c r="YO36" s="97" t="str">
        <f>IF(Geschlecht[[#This Row],[Geschlecht (Skala)]]="","",IF(ISNUMBER(YA36),1,IF(YA36=$A$3,$A$2,"R")))</f>
        <v/>
      </c>
      <c r="YP36" s="97" t="str">
        <f>IF(Geschlecht[[#This Row],[Geschlecht (Skala)]]="","",IF(ISNUMBER(YB36),1,IF(YB36=$A$3,$A$2,"R")))</f>
        <v/>
      </c>
      <c r="YQ36" s="97" t="str">
        <f t="shared" si="244"/>
        <v>g</v>
      </c>
      <c r="YR36" s="97" t="str">
        <f t="shared" ca="1" si="245"/>
        <v/>
      </c>
      <c r="YS36" s="97">
        <f t="shared" ca="1" si="246"/>
        <v>1</v>
      </c>
      <c r="YT36" s="97" t="str">
        <f ca="1">IF(OR(Geschlecht[[#This Row],[Geschlecht (Skala)]]="",NOT(ISNUMBER(YG36))),"",YS36)</f>
        <v/>
      </c>
      <c r="YU36" s="97"/>
      <c r="YV36" s="311" t="str">
        <f t="shared" si="247"/>
        <v>D</v>
      </c>
      <c r="YW36" s="302"/>
      <c r="YX36" s="311" t="str">
        <f t="shared" si="248"/>
        <v>D</v>
      </c>
      <c r="YY36" s="302"/>
      <c r="YZ36" s="311" t="str">
        <f t="shared" si="249"/>
        <v>D</v>
      </c>
      <c r="ZA36" s="302"/>
      <c r="ZB36" s="311" t="str">
        <f t="shared" si="250"/>
        <v>D</v>
      </c>
      <c r="ZC36" s="97"/>
      <c r="ZD36" s="97" t="str">
        <f t="shared" ca="1" si="132"/>
        <v/>
      </c>
      <c r="ZE36" s="97"/>
      <c r="ZF36" s="308" t="str">
        <f t="shared" ca="1" si="251"/>
        <v>Zu wenige Werte</v>
      </c>
      <c r="ZH36" s="317" t="s">
        <v>134</v>
      </c>
      <c r="ZJ36" s="91" t="str" cm="1">
        <f t="array" ref="ZJ36">IF(OR(Geschlecht[[#This Row],[Geschlecht (Skala)]]="",ZH36="",ZH36=Stammdaten!$BZ$5),"",REPLACE(INDEX(StdDisziplinen[TabÜberschriftNote],ZH$3),FIND("X",INDEX(StdDisziplinen[TabÜberschriftNote],ZH$3),1),1,Geschlecht[[#This Row],[Geschlecht (Skala)]]))</f>
        <v/>
      </c>
      <c r="ZK36" s="314"/>
      <c r="ZM36" s="315"/>
      <c r="ZN36" s="97" t="str">
        <f>IFERROR(IFERROR(SUBSTITUTE(SchwimmenResultatMin[[#This Row],[Min]],".",",")*1,SUBSTITUTE(SchwimmenResultatMin[[#This Row],[Min]],",",".")*1),"")</f>
        <v/>
      </c>
      <c r="ZO36" s="91" t="e">
        <f>INT(SchwimmenResultatMin[[#This Row],[Resultat]])=SchwimmenResultatMin[[#This Row],[Resultat]]</f>
        <v>#VALUE!</v>
      </c>
      <c r="ZP36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6" s="315"/>
      <c r="ZS36" s="97" t="str">
        <f>IFERROR(IFERROR(SUBSTITUTE(SchwimmenResultatSek[[#This Row],[Sek]],".",",")*1,SUBSTITUTE(SchwimmenResultatSek[[#This Row],[Sek]],",",".")*1),"")</f>
        <v/>
      </c>
      <c r="ZT36" s="108" t="e">
        <f>INT(SchwimmenResultatSek[[#This Row],[Resultat]])=SchwimmenResultatSek[[#This Row],[Resultat]]</f>
        <v>#VALUE!</v>
      </c>
      <c r="ZU36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6" s="97" t="str" cm="1">
        <f t="array" aca="1" ref="ZW36" ca="1">IF(AND(INDIRECT(ZW$2)="",INDIRECT(ZX$2)=""),"",IFERROR((INDIRECT(ZW$2)*$ZW$25)+INDIRECT(ZX$2),""))</f>
        <v/>
      </c>
      <c r="ZX36" s="91" t="str">
        <f ca="1">REPLACE(ZW$4,ZX$6,1,Geschlecht[[#This Row],[Geschlecht (Skala)]])</f>
        <v>Schwimmen_[Resultat]</v>
      </c>
      <c r="ZY36" s="91" t="str">
        <f ca="1">IFERROR(REPLACE($ZX36,FIND(Stammdaten!$V$2,$ZX36,1),LEN(Stammdaten!$V$2),Stammdaten!$BZ$9),"")</f>
        <v>Schwimmen_[Anzeige]</v>
      </c>
      <c r="ZZ36" s="97" t="str" cm="1">
        <f t="array" aca="1" ref="ZZ36" ca="1">IF(INDIRECT(ZW$3)="","",IF(INDIRECT(ZW$3)=0,0,IF(OR(INDIRECT(ZW$1)=$A$2,INDIRECT(ZW$1)=$A$3),$A$3,IFERROR(INDEX(INDIRECT(ZX36),MATCH(INDIRECT(ZW$3),INDIRECT(ZX36),ZY$25)),IFERROR(IF(ZY$25=-1,MAX(INDIRECT(ZX36)),IF(ZY$25=1,MIN(INDIRECT(ZX36)))),"")))))</f>
        <v/>
      </c>
      <c r="AAA36" s="97" t="str" cm="1">
        <f t="array" aca="1" ref="AAA36" ca="1">IF(INDIRECT(ZX$5)=0,0,IF(OR(INDIRECT(ZW$1)=$A$2,INDIRECT(ZW$1)=$A$3),$A$3,IFERROR(INDEX(INDIRECT($ZY36),MATCH(INDIRECT(ZX$5),INDIRECT($ZX36),0)),"")))</f>
        <v/>
      </c>
      <c r="AAC36" s="91" t="str">
        <f ca="1">REPLACE(ZW$6,ZX$6,1,Geschlecht[[#This Row],[Geschlecht (Skala)]])</f>
        <v>Schwimmen_[Note]</v>
      </c>
      <c r="AAD36" s="97" t="str" cm="1">
        <f t="array" aca="1" ref="AAD36" ca="1">IFERROR(INDEX(INDIRECT(AAC36),MATCH(INDIRECT(ZX$5),INDIRECT(ZX36),0)),IF(INDIRECT(ZX$5)=0,1,""))</f>
        <v/>
      </c>
      <c r="AAE36" s="97"/>
      <c r="AAF36" s="96" t="str">
        <f>ZwölfMinLaufHalleResultat[[#This Row],[Resultat]]</f>
        <v/>
      </c>
      <c r="AAG36" s="96"/>
      <c r="AAH36" s="97" t="str">
        <f ca="1">ZwölfMinLaufHalleSkalawert[[#This Row],[Skala-Wert]]</f>
        <v/>
      </c>
      <c r="AAJ36" s="97" t="str">
        <f ca="1">ZwölfMinLaufHalleNote[[#This Row],[Note]]</f>
        <v/>
      </c>
      <c r="AAK36" s="97"/>
      <c r="AAL36" s="96" t="str">
        <f>ZwölfMinLaufimFreienResultat[[#This Row],[Resultat]]</f>
        <v/>
      </c>
      <c r="AAM36" s="96"/>
      <c r="AAN36" s="97" t="str">
        <f ca="1">ZwölfMinLaufimFreienSkalawert[[#This Row],[Skala-Wert]]</f>
        <v/>
      </c>
      <c r="AAP36" s="97" t="str">
        <f ca="1">ZwölfMinLaufimFreienNote[[#This Row],[Note]]</f>
        <v/>
      </c>
      <c r="AAQ36" s="97"/>
      <c r="AAR36" s="307"/>
      <c r="AAS36" s="96" t="str">
        <f>IFERROR(IFERROR(SUBSTITUTE(BeweglichkeitResultat[[#This Row],[Eingabe]],".",",")*1,SUBSTITUTE(BeweglichkeitResultat[[#This Row],[Eingabe]],",",".")*1),"")</f>
        <v/>
      </c>
      <c r="AAT36" s="96" t="e">
        <f>INT(BeweglichkeitResultat[[#This Row],[Resultat]])=BeweglichkeitResultat[[#This Row],[Resultat]]</f>
        <v>#VALUE!</v>
      </c>
      <c r="AAU36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6" s="96"/>
      <c r="AAW36" s="91" t="str" cm="1">
        <f t="array" aca="1" ref="AAW36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6" s="96" t="str">
        <f ca="1">REPLACE(AAW$4,AAX$6,1,Geschlecht[[#This Row],[Geschlecht (Skala)]])</f>
        <v>Beweglichkeit_[Resultat]</v>
      </c>
      <c r="AAY36" s="96" t="str" cm="1">
        <f t="array" aca="1" ref="AAY36" ca="1">IF(OR(INDIRECT(AAW$1)=$A$2,INDIRECT(AAW$1)=$A$3),$A$3,IF(OR(INDIRECT(AAW$2)="",AND(Geschlecht[[#This Row],[Geschlecht (Skala)]]=Stammdaten!$D$7,INDIRECT(AAW$2)&lt;0)),"",IFERROR(INDEX(INDIRECT(AAX36),MATCH(INDIRECT(AAW$3),INDIRECT(AAX36),AAX$25)),IFERROR(IF(AAX$25=-1,MAX(INDIRECT(AAX36)),IF(AAX$25=1,MIN(INDIRECT(AAX36)))),""))))</f>
        <v/>
      </c>
      <c r="AAZ36" s="97" t="str" cm="1">
        <f t="array" aca="1" ref="AAZ36" ca="1">IF(INDIRECT(AAW$1)="","",IF(INDIRECT(AAW$1)=0,0,IF(OR(INDIRECT(AAW$1)=$A$2,INDIRECT(AAW$1)=$A$3),$A$3,IFERROR(INDEX(INDIRECT(AAY36),MATCH(INDIRECT(AAW$3),INDIRECT(AAY36),AAY$27)),IFERROR(IF(AAY$27=-1,MAX(INDIRECT(AAY36)),IF(AAY$27=1,MIN(INDIRECT(AAY36)))),"")))))</f>
        <v/>
      </c>
      <c r="ABA36" s="96" t="str">
        <f ca="1">REPLACE(AAW$6,AAX$6,1,Geschlecht[[#This Row],[Geschlecht (Skala)]])</f>
        <v>Beweglichkeit_[Note]</v>
      </c>
      <c r="ABB36" s="91" t="str" cm="1">
        <f t="array" aca="1" ref="ABB36" ca="1">IFERROR(INDEX(INDIRECT(ABA36),MATCH(INDIRECT(AAW$5),INDIRECT(AAX36),0)),"")</f>
        <v/>
      </c>
      <c r="ABC36" s="97" t="str" cm="1">
        <f t="array" aca="1" ref="ABC36" ca="1">IFERROR(INDEX(INDIRECT(ABB36),MATCH(INDIRECT(AAW$5),INDIRECT(AAY36),0)),"")</f>
        <v/>
      </c>
      <c r="ABD36" s="307"/>
      <c r="ABE36" s="96" t="str">
        <f>IFERROR(IFERROR(SUBSTITUTE(RumpfkraftResultat[[#This Row],[Eingabe]],".",",")*1,SUBSTITUTE(RumpfkraftResultat[[#This Row],[Eingabe]],",",".")*1),"")</f>
        <v/>
      </c>
      <c r="ABF36" s="96" t="e">
        <f>INT(RumpfkraftResultat[[#This Row],[Resultat]])=RumpfkraftResultat[[#This Row],[Resultat]]</f>
        <v>#VALUE!</v>
      </c>
      <c r="ABG36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6" s="96"/>
      <c r="ABI36" s="91" t="str" cm="1">
        <f t="array" aca="1" ref="ABI36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6" s="96" t="str">
        <f ca="1">REPLACE(ABI$4,ABJ$6,1,Geschlecht[[#This Row],[Geschlecht (Skala)]])</f>
        <v>Rumpfkraft_[Resultat]</v>
      </c>
      <c r="ABK36" s="97" t="str" cm="1">
        <f t="array" aca="1" ref="ABK36" ca="1">IF(INDIRECT(ABI$1)="","",IF(OR(INDIRECT(ABI$1)=$A$2,INDIRECT(ABI$1)=$A$3),$A$3,IFERROR(INDEX(INDIRECT(ABJ36),MATCH(INDIRECT(ABI$3),INDIRECT(ABJ36),ABJ$25)),IFERROR(IF(ABJ$25=-1,MAX(INDIRECT(ABJ36)),IF(ABJ$25=1,MIN(INDIRECT(ABJ36)))),""))))</f>
        <v/>
      </c>
      <c r="ABM36" s="91" t="str">
        <f ca="1">REPLACE(ABI$6,ABJ$6,1,Geschlecht[[#This Row],[Geschlecht (Skala)]])</f>
        <v>Rumpfkraft_[Note]</v>
      </c>
      <c r="ABN36" s="97" t="str" cm="1">
        <f t="array" aca="1" ref="ABN36" ca="1">IFERROR(INDEX(INDIRECT(ABM36),MATCH(INDIRECT(ABI$5),INDIRECT(ABJ36),0)),"")</f>
        <v/>
      </c>
      <c r="ABO36" s="97"/>
      <c r="ABP36" s="96" t="str">
        <f>SechzigmLaufResultat[[#This Row],[Resultat]]</f>
        <v/>
      </c>
      <c r="ABQ36" s="96"/>
      <c r="ABR36" s="97" t="str">
        <f ca="1">SechzigmLaufSkalawert[[#This Row],[Skala-Wert]]</f>
        <v/>
      </c>
      <c r="ABT36" s="97" t="str">
        <f ca="1">SechzigmLaufNote[[#This Row],[Note]]</f>
        <v/>
      </c>
      <c r="ABU36" s="97"/>
      <c r="ABV36" s="96" t="str">
        <f>AchtzigmLaufResultat[[#This Row],[Resultat]]</f>
        <v/>
      </c>
      <c r="ABW36" s="96"/>
      <c r="ABX36" s="97" t="str">
        <f ca="1">AchtzigmLaufSkalawert[[#This Row],[Skala-Wert]]</f>
        <v/>
      </c>
      <c r="ABZ36" s="97" t="str">
        <f ca="1">AchtzigmLaufNote[[#This Row],[Note]]</f>
        <v/>
      </c>
      <c r="ACA36" s="97"/>
      <c r="ACB36" s="307"/>
      <c r="ACC36" s="96" t="str">
        <f>IFERROR(IFERROR(SUBSTITUTE(KonditionsparcoursResultat[[#This Row],[Eingabe]],".",",")*1,SUBSTITUTE(KonditionsparcoursResultat[[#This Row],[Eingabe]],",",".")*1),"")</f>
        <v/>
      </c>
      <c r="ACD36" s="96" t="e">
        <f>INT(KonditionsparcoursResultat[[#This Row],[Resultat]])=KonditionsparcoursResultat[[#This Row],[Resultat]]</f>
        <v>#VALUE!</v>
      </c>
      <c r="ACE36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6" s="96"/>
      <c r="ACG36" s="91" t="str" cm="1">
        <f t="array" aca="1" ref="ACG36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6" s="96" t="str">
        <f ca="1">LEFT(Geschlecht[[#This Row],[Geschlecht (Skala)]],1)&amp;ACM$4</f>
        <v>2</v>
      </c>
      <c r="ACI36" s="96" t="str">
        <f t="shared" ca="1" si="133"/>
        <v>Konditionsparcours_2[Resultat]</v>
      </c>
      <c r="ACJ36" s="97" t="str" cm="1">
        <f t="array" aca="1" ref="ACJ36" ca="1">IF(INDIRECT(ACG$1)="","",IF(OR(INDIRECT(ACG$1)=$A$2,INDIRECT(ACG$1)=$A$3),$A$3,IFERROR(INDEX(INDIRECT(ACI36),MATCH(INDIRECT(ACG$3),INDIRECT(ACI36),ACI$25)),IFERROR(IF(ACI$25=-1,MAX(INDIRECT(ACI36)),IF(ACI$25=1,MIN(INDIRECT(ACI36)))),""))))</f>
        <v/>
      </c>
      <c r="ACL36" s="91" t="str">
        <f t="shared" ca="1" si="134"/>
        <v>Konditionsparcours_2[Note]</v>
      </c>
      <c r="ACM36" s="97" t="str" cm="1">
        <f t="array" aca="1" ref="ACM36" ca="1">IFERROR(INDEX(INDIRECT(ACL36),MATCH(INDIRECT(ACG$5),INDIRECT(ACI36),0)),"")</f>
        <v/>
      </c>
      <c r="ACN36" s="102"/>
    </row>
    <row r="37" spans="1:768">
      <c r="A37" s="305">
        <v>10</v>
      </c>
      <c r="B37" s="133"/>
      <c r="C37" s="133"/>
      <c r="E37" s="306"/>
      <c r="G37" s="307"/>
      <c r="H37" s="96" t="str">
        <f>IFERROR(IFERROR(SUBSTITUTE(SechzigmLaufResultat[[#This Row],[Eingabe]],".",",")*1,SUBSTITUTE(SechzigmLaufResultat[[#This Row],[Eingabe]],",",".")*1),"")</f>
        <v/>
      </c>
      <c r="I37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7" s="96"/>
      <c r="K37" s="91" t="str" cm="1">
        <f t="array" aca="1" ref="K37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7" s="96" t="str">
        <f ca="1">LEFT(Geschlecht[[#This Row],[Geschlecht (Skala)]],1)&amp;Q$4</f>
        <v>2</v>
      </c>
      <c r="M37" s="96" t="str">
        <f t="shared" ca="1" si="37"/>
        <v>SechzigmLauf_2[Resultat]</v>
      </c>
      <c r="N37" s="97" t="str" cm="1">
        <f t="array" aca="1" ref="N37" ca="1">IF(INDIRECT(K$1)="","",IF(INDIRECT(K$2)=0,0,IF(OR(INDIRECT(K$1)=$A$2,INDIRECT(K$1)=$A$3),$A$3,IFERROR(INDEX(INDIRECT(M37),MATCH(INDIRECT(K$3),INDIRECT(M37),M$25)),IFERROR(IF(M$25=-1,MAX(INDIRECT(M37)),IF(M$25=1,MIN(INDIRECT(M37)))),"")))))</f>
        <v/>
      </c>
      <c r="P37" s="91" t="str">
        <f t="shared" ca="1" si="38"/>
        <v>SechzigmLauf_2[Note]</v>
      </c>
      <c r="Q37" s="97" t="str" cm="1">
        <f t="array" aca="1" ref="Q37" ca="1">IFERROR(INDEX(INDIRECT(P37),MATCH(INDIRECT(K$5),INDIRECT(M37),0)),IF(INDIRECT(K$5)=0,1,""))</f>
        <v/>
      </c>
      <c r="R37" s="97"/>
      <c r="S37" s="307"/>
      <c r="T37" s="96" t="str">
        <f>IFERROR(IFERROR(SUBSTITUTE(AchtzigmLaufResultat[[#This Row],[Eingabe]],".",",")*1,SUBSTITUTE(AchtzigmLaufResultat[[#This Row],[Eingabe]],",",".")*1),"")</f>
        <v/>
      </c>
      <c r="U37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7" s="96"/>
      <c r="W37" s="91" t="str" cm="1">
        <f t="array" aca="1" ref="W37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7" s="96" t="str">
        <f ca="1">LEFT(Geschlecht[[#This Row],[Geschlecht (Skala)]],1)&amp;AC$4</f>
        <v>2</v>
      </c>
      <c r="Y37" s="96" t="str">
        <f t="shared" ca="1" si="39"/>
        <v>AchtzigmLauf_2[Resultat]</v>
      </c>
      <c r="Z37" s="97" t="str" cm="1">
        <f t="array" aca="1" ref="Z37" ca="1">IF(INDIRECT(W$1)="","",IF(INDIRECT(W$2)=0,0,IF(OR(INDIRECT(W$1)=$A$2,INDIRECT(W$1)=$A$3),$A$3,IFERROR(INDEX(INDIRECT(Y37),MATCH(INDIRECT(W$3),INDIRECT(Y37),Y$25)),IFERROR(IF(Y$25=-1,MAX(INDIRECT(Y37)),IF(Y$25=1,MIN(INDIRECT(Y37)))),"")))))</f>
        <v/>
      </c>
      <c r="AB37" s="91" t="str">
        <f t="shared" ca="1" si="40"/>
        <v>AchtzigmLauf_2[Note]</v>
      </c>
      <c r="AC37" s="97" t="str" cm="1">
        <f t="array" aca="1" ref="AC37" ca="1">IFERROR(INDEX(INDIRECT(AB37),MATCH(INDIRECT(W$5),INDIRECT(Y37),0)),IF(INDIRECT(W$5)=0,1,""))</f>
        <v/>
      </c>
      <c r="AD37" s="97"/>
      <c r="AE37" s="307"/>
      <c r="AF37" s="96" t="str">
        <f>IFERROR(IFERROR(SUBSTITUTE(ZwölfMinLaufHalleResultat[[#This Row],[Eingabe]],".",",")*1,SUBSTITUTE(ZwölfMinLaufHalleResultat[[#This Row],[Eingabe]],",",".")*1),"")</f>
        <v/>
      </c>
      <c r="AG37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7" s="96"/>
      <c r="AI37" s="91" t="str" cm="1">
        <f t="array" aca="1" ref="AI37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7" s="96" t="str">
        <f ca="1">LEFT(Geschlecht[[#This Row],[Geschlecht (Skala)]],1)&amp;AO$4</f>
        <v>2</v>
      </c>
      <c r="AK37" s="96" t="str">
        <f t="shared" ca="1" si="41"/>
        <v>ZwölfMinLaufHalle_2[Resultat]</v>
      </c>
      <c r="AL37" s="97" t="str" cm="1">
        <f t="array" aca="1" ref="AL37" ca="1">IF(INDIRECT(AI$1)="","",IF(INDIRECT(AI$2)=0,0,IF(OR(INDIRECT(AI$1)=$A$2,INDIRECT(AI$1)=$A$3),$A$3,IFERROR(INDEX(INDIRECT(AK37),MATCH(INDIRECT(AI$3),INDIRECT(AK37),AK$25)),IFERROR(IF(AK$25=-1,MAX(INDIRECT(AK37)),IF(AK$25=1,MIN(INDIRECT(AK37)))),"")))))</f>
        <v/>
      </c>
      <c r="AN37" s="91" t="str">
        <f t="shared" ca="1" si="42"/>
        <v>ZwölfMinLaufHalle_2[Note]</v>
      </c>
      <c r="AO37" s="97" t="str" cm="1">
        <f t="array" aca="1" ref="AO37" ca="1">IFERROR(INDEX(INDIRECT(AN37),MATCH(INDIRECT(AI$5),INDIRECT(AK37),0)),IF(INDIRECT(AI$5)=0,1,""))</f>
        <v/>
      </c>
      <c r="AP37" s="97"/>
      <c r="AQ37" s="307"/>
      <c r="AR37" s="96" t="str">
        <f>IFERROR(IFERROR(SUBSTITUTE(ZwölfMinLaufimFreienResultat[[#This Row],[Eingabe]],".",",")*1,SUBSTITUTE(ZwölfMinLaufimFreienResultat[[#This Row],[Eingabe]],",",".")*1),"")</f>
        <v/>
      </c>
      <c r="AS37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7" s="96"/>
      <c r="AU37" s="91" t="str" cm="1">
        <f t="array" aca="1" ref="AU37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7" s="96" t="str">
        <f ca="1">LEFT(Geschlecht[[#This Row],[Geschlecht (Skala)]],1)&amp;BA$4</f>
        <v>2</v>
      </c>
      <c r="AW37" s="96" t="str">
        <f t="shared" ca="1" si="43"/>
        <v>ZwölfMinLaufimFreien_2[Resultat]</v>
      </c>
      <c r="AX37" s="97" t="str" cm="1">
        <f t="array" aca="1" ref="AX37" ca="1">IF(INDIRECT(AU$1)="","",IF(INDIRECT(AU$2)=0,0,IF(OR(INDIRECT(AU$1)=$A$2,INDIRECT(AU$1)=$A$3),$A$3,IFERROR(INDEX(INDIRECT(AW37),MATCH(INDIRECT(AU$3),INDIRECT(AW37),AW$25)),IFERROR(IF(AW$25=-1,MAX(INDIRECT(AW37)),IF(AW$25=1,MIN(INDIRECT(AW37)))),"")))))</f>
        <v/>
      </c>
      <c r="AZ37" s="91" t="str">
        <f t="shared" ca="1" si="44"/>
        <v>ZwölfMinLaufimFreien_2[Note]</v>
      </c>
      <c r="BA37" s="97" t="str" cm="1">
        <f t="array" aca="1" ref="BA37" ca="1">IFERROR(INDEX(INDIRECT(AZ37),MATCH(INDIRECT(AU$5),INDIRECT(AW37),0)),IF(INDIRECT(AU$5)=0,1,""))</f>
        <v/>
      </c>
      <c r="BB37" s="97"/>
      <c r="BC37" s="307"/>
      <c r="BD37" s="96" t="str">
        <f>IFERROR(IFERROR(SUBSTITUTE(HochsprungResultat[[#This Row],[Eingabe]],".",",")*1,SUBSTITUTE(HochsprungResultat[[#This Row],[Eingabe]],",",".")*1),"")</f>
        <v/>
      </c>
      <c r="BE37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7" s="96"/>
      <c r="BG37" s="91" t="str" cm="1">
        <f t="array" aca="1" ref="BG37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7" s="96" t="str">
        <f ca="1">LEFT(Geschlecht[[#This Row],[Geschlecht (Skala)]],1)&amp;BM$4</f>
        <v>2</v>
      </c>
      <c r="BI37" s="96" t="str">
        <f t="shared" ca="1" si="45"/>
        <v>Hochsprung_2[Resultat]</v>
      </c>
      <c r="BJ37" s="97" t="str" cm="1">
        <f t="array" aca="1" ref="BJ37" ca="1">IF(INDIRECT(BG$1)="","",IF(INDIRECT(BG$2)=0,0,IF(OR(INDIRECT(BG$1)=$A$2,INDIRECT(BG$1)=$A$3),$A$3,IFERROR(INDEX(INDIRECT(BI37),MATCH(INDIRECT(BG$3),INDIRECT(BI37),BI$25)),IFERROR(IF(BI$25=-1,MAX(INDIRECT(BI37)),IF(BI$25=1,MIN(INDIRECT(BI37)))),"")))))</f>
        <v/>
      </c>
      <c r="BL37" s="91" t="str">
        <f t="shared" ca="1" si="46"/>
        <v>Hochsprung_2[Note]</v>
      </c>
      <c r="BM37" s="97" t="str" cm="1">
        <f t="array" aca="1" ref="BM37" ca="1">IFERROR(INDEX(INDIRECT(BL37),MATCH(INDIRECT(BG$5),INDIRECT(BI37),0)),IF(INDIRECT(BG$5)=0,1,""))</f>
        <v/>
      </c>
      <c r="BN37" s="97"/>
      <c r="BO37" s="307"/>
      <c r="BP37" s="96" t="str">
        <f>IFERROR(IFERROR(SUBSTITUTE(WeitsprungResultat[[#This Row],[Eingabe]],".",",")*1,SUBSTITUTE(WeitsprungResultat[[#This Row],[Eingabe]],",",".")*1),"")</f>
        <v/>
      </c>
      <c r="BQ37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7" s="96"/>
      <c r="BS37" s="91" t="str" cm="1">
        <f t="array" aca="1" ref="BS37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7" s="96" t="str">
        <f ca="1">LEFT(Geschlecht[[#This Row],[Geschlecht (Skala)]],1)&amp;BY$4</f>
        <v>2</v>
      </c>
      <c r="BU37" s="96" t="str">
        <f t="shared" ca="1" si="47"/>
        <v>Weitsprung_2[Resultat]</v>
      </c>
      <c r="BV37" s="97" t="str" cm="1">
        <f t="array" aca="1" ref="BV37" ca="1">IF(INDIRECT(BS$1)="","",IF(INDIRECT(BS$2)=0,0,IF(OR(INDIRECT(BS$1)=$A$2,INDIRECT(BS$1)=$A$3),$A$3,IFERROR(INDEX(INDIRECT(BU37),MATCH(INDIRECT(BS$3),INDIRECT(BU37),BU$25)),IFERROR(IF(BU$25=-1,MAX(INDIRECT(BU37)),IF(BU$25=1,MIN(INDIRECT(BU37)))),"")))))</f>
        <v/>
      </c>
      <c r="BX37" s="91" t="str">
        <f t="shared" ca="1" si="48"/>
        <v>Weitsprung_2[Note]</v>
      </c>
      <c r="BY37" s="97" t="str" cm="1">
        <f t="array" aca="1" ref="BY37" ca="1">IFERROR(INDEX(INDIRECT(BX37),MATCH(INDIRECT(BS$5),INDIRECT(BU37),0)),IF(INDIRECT(BS$5)=0,1,""))</f>
        <v/>
      </c>
      <c r="BZ37" s="97"/>
      <c r="CA37" s="307"/>
      <c r="CB37" s="96" t="str">
        <f>IFERROR(IFERROR(SUBSTITUTE(BallwurfResultat[[#This Row],[Eingabe]],".",",")*1,SUBSTITUTE(BallwurfResultat[[#This Row],[Eingabe]],",",".")*1),"")</f>
        <v/>
      </c>
      <c r="CC37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7" s="96"/>
      <c r="CE37" s="91" t="str" cm="1">
        <f t="array" aca="1" ref="CE37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7" s="96" t="str">
        <f ca="1">LEFT(Geschlecht[[#This Row],[Geschlecht (Skala)]],1)&amp;CK$4</f>
        <v>2</v>
      </c>
      <c r="CG37" s="96" t="str">
        <f t="shared" ca="1" si="49"/>
        <v>Ballwurf_2[Resultat]</v>
      </c>
      <c r="CH37" s="97" t="str" cm="1">
        <f t="array" aca="1" ref="CH37" ca="1">IF(INDIRECT(CE$1)="","",IF(INDIRECT(CE$2)=0,0,IF(OR(INDIRECT(CE$1)=$A$2,INDIRECT(CE$1)=$A$3),$A$3,IFERROR(INDEX(INDIRECT(CG37),MATCH(INDIRECT(CE$3),INDIRECT(CG37),CG$25)),IFERROR(IF(CG$25=-1,MAX(INDIRECT(CG37)),IF(CG$25=1,MIN(INDIRECT(CG37)))),"")))))</f>
        <v/>
      </c>
      <c r="CJ37" s="91" t="str">
        <f t="shared" ca="1" si="50"/>
        <v>Ballwurf_2[Note]</v>
      </c>
      <c r="CK37" s="97" t="str" cm="1">
        <f t="array" aca="1" ref="CK37" ca="1">IFERROR(INDEX(INDIRECT(CJ37),MATCH(INDIRECT(CE$5),INDIRECT(CG37),0)),IF(INDIRECT(CE$5)=0,1,""))</f>
        <v/>
      </c>
      <c r="CL37" s="97"/>
      <c r="CM37" s="307"/>
      <c r="CN37" s="96" t="str">
        <f>IFERROR(IFERROR(SUBSTITUTE(KugelstossenResultat[[#This Row],[Eingabe]],".",",")*1,SUBSTITUTE(KugelstossenResultat[[#This Row],[Eingabe]],",",".")*1),"")</f>
        <v/>
      </c>
      <c r="CO37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7" s="96"/>
      <c r="CQ37" s="91" t="str" cm="1">
        <f t="array" aca="1" ref="CQ37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7" s="96" t="str">
        <f ca="1">LEFT(Geschlecht[[#This Row],[Geschlecht (Skala)]],1)&amp;CW$4</f>
        <v>2</v>
      </c>
      <c r="CS37" s="96" t="str">
        <f t="shared" ca="1" si="51"/>
        <v>Kugelstossen_2[Resultat]</v>
      </c>
      <c r="CT37" s="97" t="str" cm="1">
        <f t="array" aca="1" ref="CT37" ca="1">IF(INDIRECT(CQ$1)="","",IF(INDIRECT(CQ$2)=0,0,IF(OR(INDIRECT(CQ$1)=$A$2,INDIRECT(CQ$1)=$A$3),$A$3,IFERROR(INDEX(INDIRECT(CS37),MATCH(INDIRECT(CQ$3),INDIRECT(CS37),CS$25)),IFERROR(IF(CS$25=-1,MAX(INDIRECT(CS37)),IF(CS$25=1,MIN(INDIRECT(CS37)))),"")))))</f>
        <v/>
      </c>
      <c r="CV37" s="91" t="str">
        <f t="shared" ca="1" si="52"/>
        <v>Kugelstossen_2[Note]</v>
      </c>
      <c r="CW37" s="97" t="str" cm="1">
        <f t="array" aca="1" ref="CW37" ca="1">IFERROR(INDEX(INDIRECT(CV37),MATCH(INDIRECT(CQ$5),INDIRECT(CS37),0)),IF(INDIRECT(CQ$5)=0,1,""))</f>
        <v/>
      </c>
      <c r="CX37" s="97"/>
      <c r="CY37" s="307"/>
      <c r="CZ37" s="96" t="str">
        <f>IFERROR(IFERROR(SUBSTITUTE(SpeerwurfResultat[[#This Row],[Eingabe]],".",",")*1,SUBSTITUTE(SpeerwurfResultat[[#This Row],[Eingabe]],",",".")*1),"")</f>
        <v/>
      </c>
      <c r="DA37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7" s="96"/>
      <c r="DC37" s="91" t="str" cm="1">
        <f t="array" aca="1" ref="DC37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7" s="96" t="str">
        <f ca="1">LEFT(Geschlecht[[#This Row],[Geschlecht (Skala)]],1)&amp;DI$4</f>
        <v>2</v>
      </c>
      <c r="DE37" s="96" t="str">
        <f t="shared" ca="1" si="53"/>
        <v>Speerwurf_2[Resultat]</v>
      </c>
      <c r="DF37" s="97" t="str" cm="1">
        <f t="array" aca="1" ref="DF37" ca="1">IF(INDIRECT(DC$1)="","",IF(INDIRECT(DC$2)=0,0,IF(OR(INDIRECT(DC$1)=$A$2,INDIRECT(DC$1)=$A$3),$A$3,IFERROR(INDEX(INDIRECT(DE37),MATCH(INDIRECT(DC$3),INDIRECT(DE37),DE$25)),IFERROR(IF(DE$25=-1,MAX(INDIRECT(DE37)),IF(DE$25=1,MIN(INDIRECT(DE37)))),"")))))</f>
        <v/>
      </c>
      <c r="DH37" s="91" t="str">
        <f t="shared" ca="1" si="54"/>
        <v>Speerwurf_2[Note]</v>
      </c>
      <c r="DI37" s="97" t="str" cm="1">
        <f t="array" aca="1" ref="DI37" ca="1">IFERROR(INDEX(INDIRECT(DH37),MATCH(INDIRECT(DC$5),INDIRECT(DE37),0)),IF(INDIRECT(DC$5)=0,1,""))</f>
        <v/>
      </c>
      <c r="DJ37" s="97"/>
      <c r="DK37" s="97" t="str" cm="1">
        <f t="array" aca="1" ref="DK37" ca="1">INDIRECT(DK$5)</f>
        <v/>
      </c>
      <c r="DL37" s="97" t="str" cm="1">
        <f t="array" aca="1" ref="DL37" ca="1">INDIRECT(DL$5)</f>
        <v/>
      </c>
      <c r="DM37" s="97" t="str" cm="1">
        <f t="array" aca="1" ref="DM37" ca="1">INDIRECT(DM$5)</f>
        <v/>
      </c>
      <c r="DN37" s="97" t="str" cm="1">
        <f t="array" aca="1" ref="DN37" ca="1">INDIRECT(DN$5)</f>
        <v/>
      </c>
      <c r="DO37" s="97" t="str">
        <f t="shared" ca="1" si="135"/>
        <v>Sprintdisziplinen nicht durchgeführt</v>
      </c>
      <c r="DP37" s="97" t="str">
        <f t="shared" ca="1" si="136"/>
        <v/>
      </c>
      <c r="DQ37" s="108">
        <f t="shared" ca="1" si="137"/>
        <v>0</v>
      </c>
      <c r="DR37" s="108">
        <f t="shared" ca="1" si="138"/>
        <v>0</v>
      </c>
      <c r="DS37" s="108" t="str">
        <f t="shared" ca="1" si="139"/>
        <v/>
      </c>
      <c r="DT37" s="97" t="str">
        <f t="shared" ca="1" si="140"/>
        <v>Sprintdisziplinen nicht durchgeführt</v>
      </c>
      <c r="DU37" s="97" t="str">
        <f t="shared" ca="1" si="141"/>
        <v/>
      </c>
      <c r="DV37" s="97" t="str" cm="1">
        <f t="array" aca="1" ref="DV37" ca="1">IFERROR(IF(INDIRECT(INDEX(INDIRECT(DV$5),MATCH(DT37,INDIRECT(DV$4),0)))&lt;&gt;"",INDEX(INDIRECT(DV$5),MATCH(DT37,INDIRECT(DV$4),0)),INDEX(INDIRECT(DV$6),MATCH(DT37,INDIRECT(DV$4),0))),"")</f>
        <v/>
      </c>
      <c r="DW37" s="97" t="str">
        <f t="shared" ca="1" si="142"/>
        <v/>
      </c>
      <c r="DX37" s="97" t="str" cm="1">
        <f t="array" aca="1" ref="DX37" ca="1">IFERROR(INDIRECT(DV37),IF(NOT(ISERROR(FIND(Stammdaten!$CC$3,DT37,1))),$A$2,""))</f>
        <v/>
      </c>
      <c r="DY37" s="97" t="str">
        <f ca="1">IF(DX37="","",IF(AND(DU37=Stammdaten!$BX$20,DW37="0",DX37=1),SUBSTITUTE(TEXT(DX37,DW37)&amp;" "&amp;LEFT(DU37,LEN(DU37)-1),".",","),SUBSTITUTE(TEXT(DX37,DW37)&amp;" "&amp;DU37,".",",")))</f>
        <v/>
      </c>
      <c r="DZ37" s="97" t="str">
        <f t="shared" ca="1" si="55"/>
        <v/>
      </c>
      <c r="EA37" s="97" t="str" cm="1">
        <f t="array" aca="1" ref="EA37" ca="1">IFERROR(LEFT(INDIRECT(DZ37),1)&amp;"]","")</f>
        <v/>
      </c>
      <c r="EB37" s="97" t="str">
        <f t="shared" ca="1" si="56"/>
        <v/>
      </c>
      <c r="EC37" s="97" t="str">
        <f ca="1">IFERROR(LEFT(DT37,FIND(Stammdaten!$CA$4,DT37,1)-2),IFERROR(LEFT(DT37,FIND(Stammdaten!$CC$3,DT37,1)-2),DT37))</f>
        <v>Sprintdisziplinen</v>
      </c>
      <c r="ED37" s="97" t="str">
        <f ca="1">IF(NOT(ISERROR(FIND(Stammdaten!$CA$4,DT37,1))),Stammdaten!$CA$4,IF(EE37&lt;&gt;Stammdaten!$CC$3,EB37,""))</f>
        <v>nicht durchgeführt</v>
      </c>
      <c r="EE37" s="91" t="str">
        <f ca="1">IF(DX37=$A$2,Stammdaten!$CC$3,DY37)</f>
        <v/>
      </c>
      <c r="EF37" s="97" t="str" cm="1">
        <f t="array" aca="1" ref="EF37" ca="1">INDIRECT(EF$5)</f>
        <v/>
      </c>
      <c r="EG37" s="97" t="str" cm="1">
        <f t="array" aca="1" ref="EG37" ca="1">INDIRECT(EG$5)</f>
        <v/>
      </c>
      <c r="EH37" s="97" t="str" cm="1">
        <f t="array" aca="1" ref="EH37" ca="1">INDIRECT(EH$5)</f>
        <v/>
      </c>
      <c r="EI37" s="97" t="str" cm="1">
        <f t="array" aca="1" ref="EI37" ca="1">INDIRECT(EI$5)</f>
        <v/>
      </c>
      <c r="EJ37" s="97" t="str">
        <f t="shared" ca="1" si="143"/>
        <v>Ausdauerdisziplinen nicht durchgeführt</v>
      </c>
      <c r="EK37" s="97" t="str">
        <f t="shared" ca="1" si="144"/>
        <v/>
      </c>
      <c r="EL37" s="108">
        <f t="shared" ca="1" si="145"/>
        <v>0</v>
      </c>
      <c r="EM37" s="108">
        <f t="shared" ca="1" si="146"/>
        <v>0</v>
      </c>
      <c r="EN37" s="108" t="str">
        <f t="shared" ca="1" si="147"/>
        <v/>
      </c>
      <c r="EO37" s="97" t="str">
        <f t="shared" ca="1" si="148"/>
        <v>Ausdauerdisziplinen nicht durchgeführt</v>
      </c>
      <c r="EP37" s="97" t="str">
        <f t="shared" ca="1" si="149"/>
        <v/>
      </c>
      <c r="EQ37" s="97" t="str" cm="1">
        <f t="array" aca="1" ref="EQ37" ca="1">IFERROR(IF(INDIRECT(INDEX(INDIRECT(EQ$5),MATCH(EO37,INDIRECT(EQ$4),0)))&lt;&gt;"",INDEX(INDIRECT(EQ$5),MATCH(EO37,INDIRECT(EQ$4),0)),INDEX(INDIRECT(EQ$6),MATCH(EO37,INDIRECT(EQ$4),0))),"")</f>
        <v/>
      </c>
      <c r="ER37" s="97" t="str">
        <f t="shared" ca="1" si="150"/>
        <v/>
      </c>
      <c r="ES37" s="97" t="str" cm="1">
        <f t="array" aca="1" ref="ES37" ca="1">IFERROR(INDIRECT(EQ37),IF(NOT(ISERROR(FIND(Stammdaten!$CC$3,EO37,1))),$A$2,""))</f>
        <v/>
      </c>
      <c r="ET37" s="97" t="str">
        <f ca="1">IF(ES37="","",IF(AND(EP37=Stammdaten!$BX$20,ER37="0",ES37=1),SUBSTITUTE(TEXT(ES37,ER37)&amp;" "&amp;LEFT(EP37,LEN(EP37)-1),".",","),SUBSTITUTE(TEXT(ES37,ER37)&amp;" "&amp;EP37,".",",")))</f>
        <v/>
      </c>
      <c r="EU37" s="97" t="str">
        <f t="shared" ca="1" si="57"/>
        <v/>
      </c>
      <c r="EV37" s="97" t="str" cm="1">
        <f t="array" aca="1" ref="EV37" ca="1">IFERROR(LEFT(INDIRECT(EU37),1)&amp;"]","")</f>
        <v/>
      </c>
      <c r="EW37" s="97" t="str">
        <f t="shared" ca="1" si="58"/>
        <v/>
      </c>
      <c r="EX37" s="97" t="str">
        <f ca="1">IFERROR(LEFT(EO37,FIND(Stammdaten!$CA$4,EO37,1)-2),IFERROR(LEFT(EO37,FIND(Stammdaten!$CC$3,EO37,1)-2),EO37))</f>
        <v>Ausdauerdisziplinen</v>
      </c>
      <c r="EY37" s="97" t="str">
        <f ca="1">IF(NOT(ISERROR(FIND(Stammdaten!$CA$4,EO37,1))),Stammdaten!$CA$4,IF(EZ37&lt;&gt;Stammdaten!$CC$3,EW37,""))</f>
        <v>nicht durchgeführt</v>
      </c>
      <c r="EZ37" s="91" t="str">
        <f ca="1">IF(ES37=$A$2,Stammdaten!$CC$3,ET37)</f>
        <v/>
      </c>
      <c r="FA37" s="97" t="str" cm="1">
        <f t="array" aca="1" ref="FA37" ca="1">INDIRECT(FA$5)</f>
        <v/>
      </c>
      <c r="FB37" s="97" t="str" cm="1">
        <f t="array" aca="1" ref="FB37" ca="1">INDIRECT(FB$5)</f>
        <v/>
      </c>
      <c r="FC37" s="97" t="str" cm="1">
        <f t="array" aca="1" ref="FC37" ca="1">INDIRECT(FC$5)</f>
        <v/>
      </c>
      <c r="FD37" s="97" t="str" cm="1">
        <f t="array" aca="1" ref="FD37" ca="1">INDIRECT(FD$5)</f>
        <v/>
      </c>
      <c r="FE37" s="97" t="str">
        <f t="shared" ca="1" si="151"/>
        <v>Sprungdisziplinen nicht durchgeführt</v>
      </c>
      <c r="FF37" s="97" t="str">
        <f t="shared" ca="1" si="152"/>
        <v/>
      </c>
      <c r="FG37" s="108">
        <f t="shared" ca="1" si="153"/>
        <v>0</v>
      </c>
      <c r="FH37" s="108">
        <f t="shared" ca="1" si="154"/>
        <v>0</v>
      </c>
      <c r="FI37" s="108" t="str">
        <f t="shared" ca="1" si="155"/>
        <v/>
      </c>
      <c r="FJ37" s="97" t="str">
        <f t="shared" ca="1" si="156"/>
        <v>Sprungdisziplinen nicht durchgeführt</v>
      </c>
      <c r="FK37" s="97" t="str">
        <f t="shared" ca="1" si="157"/>
        <v/>
      </c>
      <c r="FL37" s="97" t="str" cm="1">
        <f t="array" aca="1" ref="FL37" ca="1">IFERROR(IF(INDIRECT(INDEX(INDIRECT(FL$5),MATCH(FJ37,INDIRECT(FL$4),0)))&lt;&gt;"",INDEX(INDIRECT(FL$5),MATCH(FJ37,INDIRECT(FL$4),0)),INDEX(INDIRECT(FL$6),MATCH(FJ37,INDIRECT(FL$4),0))),"")</f>
        <v/>
      </c>
      <c r="FM37" s="97" t="str">
        <f t="shared" ca="1" si="158"/>
        <v/>
      </c>
      <c r="FN37" s="97" t="str" cm="1">
        <f t="array" aca="1" ref="FN37" ca="1">IFERROR(INDIRECT(FL37),IF(NOT(ISERROR(FIND(Stammdaten!$CC$3,FJ37,1))),$A$2,""))</f>
        <v/>
      </c>
      <c r="FO37" s="97" t="str">
        <f ca="1">IF(FN37="","",IF(AND(FK37=Stammdaten!$BX$20,FM37="0",FN37=1),SUBSTITUTE(TEXT(FN37,FM37)&amp;" "&amp;LEFT(FK37,LEN(FK37)-1),".",","),SUBSTITUTE(TEXT(FN37,FM37)&amp;" "&amp;FK37,".",",")))</f>
        <v/>
      </c>
      <c r="FP37" s="97" t="str">
        <f t="shared" ca="1" si="59"/>
        <v/>
      </c>
      <c r="FQ37" s="97" t="str" cm="1">
        <f t="array" aca="1" ref="FQ37" ca="1">IFERROR(LEFT(INDIRECT(FP37),1)&amp;"]","")</f>
        <v/>
      </c>
      <c r="FR37" s="97" t="str">
        <f t="shared" ca="1" si="60"/>
        <v/>
      </c>
      <c r="FS37" s="97" t="str">
        <f ca="1">IFERROR(LEFT(FJ37,FIND(Stammdaten!$CA$4,FJ37,1)-2),IFERROR(LEFT(FJ37,FIND(Stammdaten!$CC$3,FJ37,1)-2),FJ37))</f>
        <v>Sprungdisziplinen</v>
      </c>
      <c r="FT37" s="97" t="str">
        <f ca="1">IF(NOT(ISERROR(FIND(Stammdaten!$CA$4,FJ37,1))),Stammdaten!$CA$4,IF(FU37&lt;&gt;Stammdaten!$CC$3,FR37,""))</f>
        <v>nicht durchgeführt</v>
      </c>
      <c r="FU37" s="91" t="str">
        <f ca="1">IF(FN37=$A$2,Stammdaten!$CC$3,FO37)</f>
        <v/>
      </c>
      <c r="FV37" s="97" t="str" cm="1">
        <f t="array" aca="1" ref="FV37" ca="1">INDIRECT(FV$5)</f>
        <v/>
      </c>
      <c r="FW37" s="97" t="str" cm="1">
        <f t="array" aca="1" ref="FW37" ca="1">INDIRECT(FW$5)</f>
        <v/>
      </c>
      <c r="FX37" s="97" t="str" cm="1">
        <f t="array" aca="1" ref="FX37" ca="1">INDIRECT(FX$5)</f>
        <v/>
      </c>
      <c r="FY37" s="97" t="str" cm="1">
        <f t="array" aca="1" ref="FY37" ca="1">INDIRECT(FY$5)</f>
        <v/>
      </c>
      <c r="FZ37" s="97" t="str" cm="1">
        <f t="array" aca="1" ref="FZ37" ca="1">INDIRECT(FZ$5)</f>
        <v/>
      </c>
      <c r="GA37" s="97" t="str" cm="1">
        <f t="array" aca="1" ref="GA37" ca="1">INDIRECT(GA$5)</f>
        <v/>
      </c>
      <c r="GB37" s="97" t="str">
        <f t="shared" ca="1" si="159"/>
        <v>Wurfdisziplinen nicht durchgeführt</v>
      </c>
      <c r="GC37" s="97" t="str">
        <f t="shared" ca="1" si="160"/>
        <v/>
      </c>
      <c r="GD37" s="108">
        <f t="shared" ca="1" si="161"/>
        <v>0</v>
      </c>
      <c r="GE37" s="108">
        <f t="shared" ca="1" si="162"/>
        <v>0</v>
      </c>
      <c r="GF37" s="108" t="str">
        <f t="shared" ca="1" si="163"/>
        <v/>
      </c>
      <c r="GG37" s="97" t="str">
        <f t="shared" ca="1" si="164"/>
        <v>Wurfdisziplinen nicht durchgeführt</v>
      </c>
      <c r="GH37" s="97" t="str">
        <f t="shared" ca="1" si="165"/>
        <v/>
      </c>
      <c r="GI37" s="97" t="str" cm="1">
        <f t="array" aca="1" ref="GI37" ca="1">IFERROR(IF(INDIRECT(INDEX(INDIRECT(GI$5),MATCH(GG37,INDIRECT(GI$4),0)))&lt;&gt;"",INDEX(INDIRECT(GI$5),MATCH(GG37,INDIRECT(GI$4),0)),INDEX(INDIRECT(GI$6),MATCH(GG37,INDIRECT(GI$4),0))),"")</f>
        <v/>
      </c>
      <c r="GJ37" s="97" t="str">
        <f t="shared" ca="1" si="166"/>
        <v/>
      </c>
      <c r="GK37" s="97" t="str" cm="1">
        <f t="array" aca="1" ref="GK37" ca="1">IFERROR(INDIRECT(GI37),IF(NOT(ISERROR(FIND(Stammdaten!$CC$3,GG37,1))),$A$2,""))</f>
        <v/>
      </c>
      <c r="GL37" s="97" t="str">
        <f ca="1">IF(GK37="","",IF(AND(GH37=Stammdaten!$BX$20,GJ37="0",GK37=1),SUBSTITUTE(TEXT(GK37,GJ37)&amp;" "&amp;LEFT(GH37,LEN(GH37)-1),".",","),SUBSTITUTE(TEXT(GK37,GJ37)&amp;" "&amp;GH37,".",",")))</f>
        <v/>
      </c>
      <c r="GM37" s="97" t="str">
        <f t="shared" ca="1" si="61"/>
        <v/>
      </c>
      <c r="GN37" s="97" t="str" cm="1">
        <f t="array" aca="1" ref="GN37" ca="1">IFERROR(LEFT(INDIRECT(GM37),1)&amp;"]","")</f>
        <v/>
      </c>
      <c r="GO37" s="97" t="str">
        <f t="shared" ca="1" si="62"/>
        <v/>
      </c>
      <c r="GP37" s="97" t="str">
        <f ca="1">IFERROR(LEFT(GG37,FIND(Stammdaten!$CA$4,GG37,1)-2),IFERROR(LEFT(GG37,FIND(Stammdaten!$CC$3,GG37,1)-2),GG37))</f>
        <v>Wurfdisziplinen</v>
      </c>
      <c r="GQ37" s="97" t="str">
        <f ca="1">IF(NOT(ISERROR(FIND(Stammdaten!$CA$4,GG37,1))),Stammdaten!$CA$4,IF(GR37&lt;&gt;Stammdaten!$CC$3,GO37,""))</f>
        <v>nicht durchgeführt</v>
      </c>
      <c r="GR37" s="91" t="str">
        <f ca="1">IF(GK37=$A$2,Stammdaten!$CC$3,GL37)</f>
        <v/>
      </c>
      <c r="GS37" s="97" t="str">
        <f t="shared" ca="1" si="63"/>
        <v/>
      </c>
      <c r="GT37" s="97" t="str">
        <f t="shared" ca="1" si="64"/>
        <v/>
      </c>
      <c r="GU37" s="97" t="str">
        <f t="shared" ca="1" si="65"/>
        <v/>
      </c>
      <c r="GV37" s="97" t="str">
        <f t="shared" ca="1" si="66"/>
        <v/>
      </c>
      <c r="GW37" s="97">
        <f t="shared" ca="1" si="167"/>
        <v>0</v>
      </c>
      <c r="GX37" s="108">
        <f t="shared" ca="1" si="168"/>
        <v>0</v>
      </c>
      <c r="GY37" s="108">
        <f t="shared" ca="1" si="169"/>
        <v>0</v>
      </c>
      <c r="GZ37" s="108" t="str">
        <f t="shared" ca="1" si="170"/>
        <v/>
      </c>
      <c r="HA37" s="97" t="str">
        <f ca="1">IF(GZ37="",Stammdaten!$BZ$1,IF(AND(GX37=0,GY37&gt;=GZ$25),$A$3,ROUND(SUM(GW37/GZ37)/HA$25,0)*HA$25))</f>
        <v>Zu wenige Werte</v>
      </c>
      <c r="HB37" s="108">
        <f t="shared" ca="1" si="171"/>
        <v>6</v>
      </c>
      <c r="HC37" s="97" t="str">
        <f t="shared" ca="1" si="172"/>
        <v/>
      </c>
      <c r="HD37" s="97" t="str">
        <f t="shared" ca="1" si="173"/>
        <v/>
      </c>
      <c r="HE37" s="97" t="str">
        <f t="shared" ca="1" si="174"/>
        <v/>
      </c>
      <c r="HF37" s="97" t="str">
        <f t="shared" ca="1" si="175"/>
        <v/>
      </c>
      <c r="HG37" s="97" t="str">
        <f t="shared" ca="1" si="176"/>
        <v/>
      </c>
      <c r="HH37" s="97" t="str">
        <f t="shared" ca="1" si="177"/>
        <v>g</v>
      </c>
      <c r="HI37" s="97" t="str">
        <f t="shared" ca="1" si="178"/>
        <v/>
      </c>
      <c r="HJ37" s="97">
        <f t="shared" ca="1" si="179"/>
        <v>1</v>
      </c>
      <c r="HK37" s="97" t="str">
        <f ca="1">IF(OR(Geschlecht[[#This Row],[Geschlecht (Skala)]]="",NOT(ISNUMBER(GZ37))),"",HJ37)</f>
        <v/>
      </c>
      <c r="HL37" s="97" t="str">
        <f t="shared" ca="1" si="180"/>
        <v/>
      </c>
      <c r="HM37" s="97"/>
      <c r="HN37" s="308" t="str">
        <f t="shared" ca="1" si="68"/>
        <v>Zu wenige Werte</v>
      </c>
      <c r="HO37" s="97"/>
      <c r="HP37" s="307"/>
      <c r="HQ37" s="96" t="str">
        <f>IFERROR(IFERROR(SUBSTITUTE(ReckResultat[[#This Row],[Eingabe]],".",",")*1,SUBSTITUTE(ReckResultat[[#This Row],[Eingabe]],",",".")*1),"")</f>
        <v/>
      </c>
      <c r="HR37" s="96" t="e">
        <f>INT(ReckResultat[[#This Row],[Resultat]])=ReckResultat[[#This Row],[Resultat]]</f>
        <v>#VALUE!</v>
      </c>
      <c r="HS37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7" s="96"/>
      <c r="HX37" s="97"/>
      <c r="HY37" s="307"/>
      <c r="HZ37" s="96" t="str">
        <f>IFERROR(IFERROR(SUBSTITUTE(BodenResultat[[#This Row],[Eingabe]],".",",")*1,SUBSTITUTE(BodenResultat[[#This Row],[Eingabe]],",",".")*1),"")</f>
        <v/>
      </c>
      <c r="IA37" s="96" t="e">
        <f>INT(BodenResultat[[#This Row],[Resultat]])=BodenResultat[[#This Row],[Resultat]]</f>
        <v>#VALUE!</v>
      </c>
      <c r="IB37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7" s="96"/>
      <c r="IG37" s="97"/>
      <c r="IH37" s="307"/>
      <c r="II37" s="96" t="str">
        <f>IFERROR(IFERROR(SUBSTITUTE(StufenbarrenResultat[[#This Row],[Eingabe]],".",",")*1,SUBSTITUTE(StufenbarrenResultat[[#This Row],[Eingabe]],",",".")*1),"")</f>
        <v/>
      </c>
      <c r="IJ37" s="96" t="e">
        <f>INT(StufenbarrenResultat[[#This Row],[Resultat]])=StufenbarrenResultat[[#This Row],[Resultat]]</f>
        <v>#VALUE!</v>
      </c>
      <c r="IK37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7" s="96"/>
      <c r="IP37" s="97"/>
      <c r="IQ37" s="307"/>
      <c r="IR37" s="96" t="str">
        <f>IFERROR(IFERROR(SUBSTITUTE(ParallelbarrenResultat[[#This Row],[Eingabe]],".",",")*1,SUBSTITUTE(ParallelbarrenResultat[[#This Row],[Eingabe]],",",".")*1),"")</f>
        <v/>
      </c>
      <c r="IS37" s="96" t="e">
        <f>INT(ParallelbarrenResultat[[#This Row],[Resultat]])=ParallelbarrenResultat[[#This Row],[Resultat]]</f>
        <v>#VALUE!</v>
      </c>
      <c r="IT37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7" s="96"/>
      <c r="IY37" s="97"/>
      <c r="IZ37" s="307"/>
      <c r="JA37" s="96" t="str">
        <f>IFERROR(IFERROR(SUBSTITUTE(SchaukelringeResultat[[#This Row],[Eingabe]],".",",")*1,SUBSTITUTE(SchaukelringeResultat[[#This Row],[Eingabe]],",",".")*1),"")</f>
        <v/>
      </c>
      <c r="JB37" s="96" t="e">
        <f>INT(SchaukelringeResultat[[#This Row],[Resultat]])=SchaukelringeResultat[[#This Row],[Resultat]]</f>
        <v>#VALUE!</v>
      </c>
      <c r="JC37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7" s="96"/>
      <c r="JH37" s="97"/>
      <c r="JI37" s="307"/>
      <c r="JJ37" s="96" t="str">
        <f>IFERROR(IFERROR(SUBSTITUTE(SprungResultat[[#This Row],[Eingabe]],".",",")*1,SUBSTITUTE(SprungResultat[[#This Row],[Eingabe]],",",".")*1),"")</f>
        <v/>
      </c>
      <c r="JK37" s="96" t="e">
        <f>INT(SprungResultat[[#This Row],[Resultat]])=SprungResultat[[#This Row],[Resultat]]</f>
        <v>#VALUE!</v>
      </c>
      <c r="JL37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7" s="96"/>
      <c r="JQ37" s="97"/>
      <c r="JR37" s="309" t="str" cm="1">
        <f t="array" aca="1" ref="JR37" ca="1">IF(AND(ISNUMBER(INDIRECT(JR$3)),INDIRECT(JR$3)&gt;0),INDIRECT(JR$3),"")</f>
        <v/>
      </c>
      <c r="JS37" s="309" t="str" cm="1">
        <f t="array" aca="1" ref="JS37" ca="1">IF(AND(ISNUMBER(INDIRECT(JS$3)),INDIRECT(JS$3)&gt;0),INDIRECT(JS$3),"")</f>
        <v/>
      </c>
      <c r="JT37" s="309" t="str" cm="1">
        <f t="array" aca="1" ref="JT37" ca="1">IF(AND(ISNUMBER(INDIRECT(JT$3)),INDIRECT(JT$3)&gt;0),INDIRECT(JT$3),"")</f>
        <v/>
      </c>
      <c r="JU37" s="309" t="str" cm="1">
        <f t="array" aca="1" ref="JU37" ca="1">IF(AND(ISNUMBER(INDIRECT(JU$3)),INDIRECT(JU$3)&gt;0),INDIRECT(JU$3),"")</f>
        <v/>
      </c>
      <c r="JV37" s="309" t="str" cm="1">
        <f t="array" aca="1" ref="JV37" ca="1">IF(AND(ISNUMBER(INDIRECT(JV$3)),INDIRECT(JV$3)&gt;0),INDIRECT(JV$3),"")</f>
        <v/>
      </c>
      <c r="JW37" s="309" t="str" cm="1">
        <f t="array" aca="1" ref="JW37" ca="1">IF(AND(ISNUMBER(INDIRECT(JW$3)),INDIRECT(JW$3)&gt;0),INDIRECT(JW$3),"")</f>
        <v/>
      </c>
      <c r="JX37" s="309" t="str">
        <f t="shared" ca="1" si="69"/>
        <v>x</v>
      </c>
      <c r="JY37" s="309" t="str">
        <f t="shared" ca="1" si="70"/>
        <v>y</v>
      </c>
      <c r="JZ37" s="309" t="str">
        <f t="shared" ca="1" si="71"/>
        <v>z</v>
      </c>
      <c r="KA37" s="309" t="str">
        <f t="shared" ca="1" si="181"/>
        <v>a</v>
      </c>
      <c r="KB37" s="309" t="str" cm="1">
        <f t="array" aca="1" ref="KB37" ca="1">IF(KA37="a","",INDEX($JR$23:$JW$23,,MATCH(KA37,$JR37:$JW37,0)))</f>
        <v/>
      </c>
      <c r="KC37" s="309" t="str" cm="1">
        <f t="array" aca="1" ref="KC37" ca="1">IF(OR(KB37="",KB37&gt;=$JW$23),"",INDEX(INDIRECT(ADDRESS(ROW($JR$23),KB37+1)):$JW$23,,MATCH(KA37,INDIRECT(ADDRESS(ROW(),KB37+1)):$JW37,0)))</f>
        <v/>
      </c>
      <c r="KD37" s="309" t="str" cm="1">
        <f t="array" aca="1" ref="KD37" ca="1">IF(OR(KC37="",KC37&gt;=$JW$23),"",INDEX(INDIRECT(ADDRESS(ROW($JR$23),KC37+1)):$JW$23,,MATCH(KA37,INDIRECT(ADDRESS(ROW(),KC37+1)):$JW37,0)))</f>
        <v/>
      </c>
      <c r="KE37" s="309" t="str">
        <f t="shared" ca="1" si="182"/>
        <v>c</v>
      </c>
      <c r="KF37" s="309" t="str" cm="1">
        <f t="array" aca="1" ref="KF37" ca="1">IF(OR(KE37="b",KE37="c"),"",INDEX($JR$23:$JW$23,,MATCH(KE37,$JR37:$JW37,0)))</f>
        <v/>
      </c>
      <c r="KG37" s="309" t="str" cm="1">
        <f t="array" aca="1" ref="KG37" ca="1">IF(OR(KF37="",KF37&gt;=$JW$23),"",INDEX(INDIRECT(ADDRESS(ROW($JR$23),KF37+1)):$JW$23,,MATCH(KE37,INDIRECT(ADDRESS(ROW(),KF37+1)):$JW37,0)))</f>
        <v/>
      </c>
      <c r="KH37" s="309" t="str">
        <f t="shared" ca="1" si="72"/>
        <v/>
      </c>
      <c r="KI37" s="309" t="str">
        <f t="shared" ca="1" si="183"/>
        <v>e</v>
      </c>
      <c r="KJ37" s="309" t="str">
        <f t="shared" ca="1" si="73"/>
        <v/>
      </c>
      <c r="KK37" s="309" t="str" cm="1">
        <f t="array" aca="1" ref="KK37" ca="1">IF(OR(KI37="d",KI37="e"),"",INDEX($JR$23:$JW$23,,MATCH(KI37,$JR37:$JW37,0)))</f>
        <v/>
      </c>
      <c r="KL37" s="309" t="str" cm="1">
        <f t="array" aca="1" ref="KL37" ca="1">IF(OR(KK37="",KK37&gt;=$JW$23),"",INDEX(INDIRECT(ADDRESS(ROW($JR$23),KK37+1)):$JW$23,,MATCH(KI37,INDIRECT(ADDRESS(ROW(),KK37+1)):$JW37,0)))</f>
        <v/>
      </c>
      <c r="KM37" s="309" t="str" cm="1">
        <f t="array" aca="1" ref="KM37" ca="1">IFERROR(IF(ISNUMBER(KB37),KB37,IF(ISNUMBER(KF37),KF37,IF(ISNUMBER(KJ37),KJ37,INDEX($JR$23:$JW$23,,MATCH(JX37,$JR37:$JW37,0))))),"x1")</f>
        <v>x1</v>
      </c>
      <c r="KN37" s="309" t="str" cm="1">
        <f t="array" aca="1" ref="KN37" ca="1">IFERROR(IF(ISNUMBER(KC37),KC37,IF(ISNUMBER(KG37),KG37,IF(ISNUMBER(KK37),KK37,INDEX($JR$23:$JW$23,,MATCH(JY37,$JR37:$JW37,0))))),IF(KM37="x1","x2","x1"))</f>
        <v>x2</v>
      </c>
      <c r="KO37" s="309" t="str" cm="1">
        <f t="array" aca="1" ref="KO37" ca="1">IFERROR(IF(ISNUMBER(KD37),KD37,IF(ISNUMBER(KH37),KH37,IF(ISNUMBER(KL37),KL37,INDEX($JR$23:$JW$23,,MATCH(JZ37,$JR37:$JW37,0))))),IF(KN37="x1","x2",IF(KN37="x2","x3","x1")))</f>
        <v>x3</v>
      </c>
      <c r="KP37" s="97" t="str" cm="1">
        <f t="array" aca="1" ref="KP37" ca="1">IF(OR(INDIRECT(KP$3)=$A$2,INDIRECT(KP$3)=$A$3),COLUMN(),"")</f>
        <v/>
      </c>
      <c r="KQ37" s="97" t="str" cm="1">
        <f t="array" aca="1" ref="KQ37" ca="1">IF(OR(INDIRECT(KQ$3)=$A$2,INDIRECT(KQ$3)=$A$3),COLUMN(),"")</f>
        <v/>
      </c>
      <c r="KR37" s="97" t="str" cm="1">
        <f t="array" aca="1" ref="KR37" ca="1">IF(OR(INDIRECT(KR$3)=$A$2,INDIRECT(KR$3)=$A$3),COLUMN(),"")</f>
        <v/>
      </c>
      <c r="KS37" s="97" t="str" cm="1">
        <f t="array" aca="1" ref="KS37" ca="1">IF(OR(INDIRECT(KS$3)=$A$2,INDIRECT(KS$3)=$A$3),COLUMN(),"")</f>
        <v/>
      </c>
      <c r="KT37" s="97" t="str" cm="1">
        <f t="array" aca="1" ref="KT37" ca="1">IF(OR(INDIRECT(KT$3)=$A$2,INDIRECT(KT$3)=$A$3),COLUMN(),"")</f>
        <v/>
      </c>
      <c r="KU37" s="97" t="str" cm="1">
        <f t="array" aca="1" ref="KU37" ca="1">IF(OR(INDIRECT(KU$3)=$A$2,INDIRECT(KU$3)=$A$3),COLUMN(),"")</f>
        <v/>
      </c>
      <c r="KV37" s="97" t="str" cm="1">
        <f t="array" aca="1" ref="KV37" ca="1">IF(AND(ISNUMBER(INDIRECT(KV$3)),INDIRECT(KV$3)=0),COLUMN(),"")</f>
        <v/>
      </c>
      <c r="KW37" s="97" t="str" cm="1">
        <f t="array" aca="1" ref="KW37" ca="1">IF(AND(ISNUMBER(INDIRECT(KW$3)),INDIRECT(KW$3)=0),COLUMN(),"")</f>
        <v/>
      </c>
      <c r="KX37" s="97" t="str" cm="1">
        <f t="array" aca="1" ref="KX37" ca="1">IF(AND(ISNUMBER(INDIRECT(KX$3)),INDIRECT(KX$3)=0),COLUMN(),"")</f>
        <v/>
      </c>
      <c r="KY37" s="97" t="str" cm="1">
        <f t="array" aca="1" ref="KY37" ca="1">IF(AND(ISNUMBER(INDIRECT(KY$3)),INDIRECT(KY$3)=0),COLUMN(),"")</f>
        <v/>
      </c>
      <c r="KZ37" s="97" t="str" cm="1">
        <f t="array" aca="1" ref="KZ37" ca="1">IF(AND(ISNUMBER(INDIRECT(KZ$3)),INDIRECT(KZ$3)=0),COLUMN(),"")</f>
        <v/>
      </c>
      <c r="LA37" s="97" t="str" cm="1">
        <f t="array" aca="1" ref="LA37" ca="1">IF(AND(ISNUMBER(INDIRECT(LA$3)),INDIRECT(LA$3)=0),COLUMN(),"")</f>
        <v/>
      </c>
      <c r="LB37" s="97" t="str">
        <f t="shared" ca="1" si="184"/>
        <v>x1</v>
      </c>
      <c r="LC37" s="97" t="str">
        <f t="shared" ca="1" si="185"/>
        <v>x2</v>
      </c>
      <c r="LD37" s="97" t="str">
        <f t="shared" ca="1" si="186"/>
        <v>x3</v>
      </c>
      <c r="LE37" s="97" t="str">
        <f ca="1">IFERROR(IF(ISNUMBER(LB37),LB37,SMALL($KV37:$LA37,VALUE(RIGHT(LB37,1)))),Stammdaten!$CA$17)</f>
        <v>Erstes Gerät nicht durchgeführt</v>
      </c>
      <c r="LF37" s="97" t="str">
        <f ca="1">IFERROR(IF(ISNUMBER(LC37),LC37,SMALL($KV37:$LA37,VALUE(RIGHT(LC37,1)))),Stammdaten!$CA$18)</f>
        <v>Zweites Gerät nicht durchgeführt</v>
      </c>
      <c r="LG37" s="97" t="str">
        <f ca="1">IFERROR(IF(ISNUMBER(LD37),LD37,SMALL($KV37:$LA37,VALUE(RIGHT(LD37,1)))),Stammdaten!$CA$19)</f>
        <v>Drittes Gerät nicht durchgeführt</v>
      </c>
      <c r="LH37" s="91" t="str" cm="1">
        <f t="array" aca="1" ref="LH37" ca="1">IFERROR(INDIRECT(ADDRESS(ROW($JR$5),LE37)),LE37)</f>
        <v>Erstes Gerät nicht durchgeführt</v>
      </c>
      <c r="LI37" s="97" t="str">
        <f t="shared" ca="1" si="187"/>
        <v/>
      </c>
      <c r="LJ37" s="97" t="str" cm="1">
        <f t="array" aca="1" ref="LJ37" ca="1">IFERROR(IF(INDIRECT(INDEX(INDIRECT(LJ$5),MATCH(LH37,INDIRECT(LJ$4),0)))&lt;&gt;"",INDEX(INDIRECT(LJ$5),MATCH(LH37,INDIRECT(LJ$4),0)),INDEX(INDIRECT(LJ$6),MATCH(LH37,INDIRECT(LJ$4),0))),"")</f>
        <v/>
      </c>
      <c r="LK37" s="97" t="str">
        <f t="shared" ca="1" si="188"/>
        <v/>
      </c>
      <c r="LL37" s="97" t="str" cm="1">
        <f t="array" aca="1" ref="LL37" ca="1">IFERROR(INDIRECT(LJ37),"")</f>
        <v/>
      </c>
      <c r="LM37" s="97" t="str">
        <f ca="1">IF(LL37="","",IF(AND(LI37=Stammdaten!$BX$20,LK37="0",LL37=1),SUBSTITUTE(TEXT(LL37,LK37)&amp;" "&amp;LEFT(LI37,LEN(LI37)-1),".",","),SUBSTITUTE(TEXT(LL37,LK37)&amp;" "&amp;LI37,".",",")))</f>
        <v/>
      </c>
      <c r="LN37" s="97" t="str">
        <f t="shared" ca="1" si="74"/>
        <v/>
      </c>
      <c r="LO37" s="97" t="str" cm="1">
        <f t="array" aca="1" ref="LO37" ca="1">IFERROR(LEFT(INDIRECT(LN37),1)&amp;"]","")</f>
        <v/>
      </c>
      <c r="LP37" s="97" t="str">
        <f t="shared" ca="1" si="75"/>
        <v/>
      </c>
      <c r="LQ37" s="97" t="str">
        <f ca="1">IFERROR(LEFT(LH37,FIND(Stammdaten!$CA$4,LH37,1)-2),IFERROR(LEFT(LH37,FIND(Stammdaten!$CC$3,LH37,1)-2),LH37))</f>
        <v>Erstes Gerät</v>
      </c>
      <c r="LR37" s="97" t="str">
        <f ca="1">IF(NOT(ISERROR(FIND(Stammdaten!$CA$4,LH37,1))),Stammdaten!$CA$4,IF(LS37&lt;&gt;Stammdaten!$CC$3,LP37,""))</f>
        <v>nicht durchgeführt</v>
      </c>
      <c r="LS37" s="91" t="str">
        <f ca="1">IF(LL37=$A$2,Stammdaten!$CC$3,LM37)</f>
        <v/>
      </c>
      <c r="LT37" s="91" t="str" cm="1">
        <f t="array" aca="1" ref="LT37" ca="1">IFERROR(INDIRECT(ADDRESS(ROW($JR$5),LF37)),LF37)</f>
        <v>Zweites Gerät nicht durchgeführt</v>
      </c>
      <c r="LU37" s="97" t="str">
        <f t="shared" ca="1" si="189"/>
        <v/>
      </c>
      <c r="LV37" s="97" t="str" cm="1">
        <f t="array" aca="1" ref="LV37" ca="1">IFERROR(IF(INDIRECT(INDEX(INDIRECT(LV$5),MATCH(LT37,INDIRECT(LV$4),0)))&lt;&gt;"",INDEX(INDIRECT(LV$5),MATCH(LT37,INDIRECT(LV$4),0)),INDEX(INDIRECT(LV$6),MATCH(LT37,INDIRECT(LV$4),0))),"")</f>
        <v/>
      </c>
      <c r="LW37" s="97" t="str">
        <f t="shared" ca="1" si="190"/>
        <v/>
      </c>
      <c r="LX37" s="97" t="str" cm="1">
        <f t="array" aca="1" ref="LX37" ca="1">IFERROR(INDIRECT(LV37),"")</f>
        <v/>
      </c>
      <c r="LY37" s="97" t="str">
        <f ca="1">IF(LX37="","",IF(AND(LU37=Stammdaten!$BX$20,LW37="0",LX37=1),SUBSTITUTE(TEXT(LX37,LW37)&amp;" "&amp;LEFT(LU37,LEN(LU37)-1),".",","),SUBSTITUTE(TEXT(LX37,LW37)&amp;" "&amp;LU37,".",",")))</f>
        <v/>
      </c>
      <c r="LZ37" s="97" t="str">
        <f t="shared" ca="1" si="76"/>
        <v/>
      </c>
      <c r="MA37" s="97" t="str" cm="1">
        <f t="array" aca="1" ref="MA37" ca="1">IFERROR(LEFT(INDIRECT(LZ37),1)&amp;"]","")</f>
        <v/>
      </c>
      <c r="MB37" s="97" t="str">
        <f t="shared" ca="1" si="77"/>
        <v/>
      </c>
      <c r="MC37" s="97" t="str">
        <f ca="1">IFERROR(LEFT(LT37,FIND(Stammdaten!$CA$4,LT37,1)-2),IFERROR(LEFT(LT37,FIND(Stammdaten!$CC$3,LT37,1)-2),LT37))</f>
        <v>Zweites Gerät</v>
      </c>
      <c r="MD37" s="97" t="str">
        <f ca="1">IF(NOT(ISERROR(FIND(Stammdaten!$CA$4,LT37,1))),Stammdaten!$CA$4,IF(ME37&lt;&gt;Stammdaten!$CC$3,MB37,""))</f>
        <v>nicht durchgeführt</v>
      </c>
      <c r="ME37" s="91" t="str">
        <f ca="1">IF(LX37=$A$2,Stammdaten!$CC$3,LY37)</f>
        <v/>
      </c>
      <c r="MF37" s="91" t="str" cm="1">
        <f t="array" aca="1" ref="MF37" ca="1">IFERROR(INDIRECT(ADDRESS(ROW($JR$5),LG37)),LG37)</f>
        <v>Drittes Gerät nicht durchgeführt</v>
      </c>
      <c r="MG37" s="97" t="str">
        <f t="shared" ca="1" si="191"/>
        <v/>
      </c>
      <c r="MH37" s="97" t="str" cm="1">
        <f t="array" aca="1" ref="MH37" ca="1">IFERROR(IF(INDIRECT(INDEX(INDIRECT(MH$5),MATCH(MF37,INDIRECT(MH$4),0)))&lt;&gt;"",INDEX(INDIRECT(MH$5),MATCH(MF37,INDIRECT(MH$4),0)),INDEX(INDIRECT(MH$6),MATCH(MF37,INDIRECT(MH$4),0))),"")</f>
        <v/>
      </c>
      <c r="MI37" s="97" t="str">
        <f t="shared" ca="1" si="192"/>
        <v/>
      </c>
      <c r="MJ37" s="97" t="str" cm="1">
        <f t="array" aca="1" ref="MJ37" ca="1">IFERROR(INDIRECT(MH37),"")</f>
        <v/>
      </c>
      <c r="MK37" s="97" t="str">
        <f ca="1">IF(MJ37="","",IF(AND(MG37=Stammdaten!$BX$20,MI37="0",MJ37=1),SUBSTITUTE(TEXT(MJ37,MI37)&amp;" "&amp;LEFT(MG37,LEN(MG37)-1),".",","),SUBSTITUTE(TEXT(MJ37,MI37)&amp;" "&amp;MG37,".",",")))</f>
        <v/>
      </c>
      <c r="ML37" s="97" t="str">
        <f t="shared" ca="1" si="78"/>
        <v/>
      </c>
      <c r="MM37" s="97" t="str" cm="1">
        <f t="array" aca="1" ref="MM37" ca="1">IFERROR(LEFT(INDIRECT(ML37),1)&amp;"]","")</f>
        <v/>
      </c>
      <c r="MN37" s="97" t="str">
        <f t="shared" ca="1" si="79"/>
        <v/>
      </c>
      <c r="MO37" s="97" t="str">
        <f ca="1">IFERROR(LEFT(MF37,FIND(Stammdaten!$CA$4,MF37,1)-2),IFERROR(LEFT(MF37,FIND(Stammdaten!$CC$3,MF37,1)-2),MF37))</f>
        <v>Drittes Gerät</v>
      </c>
      <c r="MP37" s="97" t="str">
        <f ca="1">IF(NOT(ISERROR(FIND(Stammdaten!$CA$4,MF37,1))),Stammdaten!$CA$4,IF(MQ37&lt;&gt;Stammdaten!$CC$3,MN37,""))</f>
        <v>nicht durchgeführt</v>
      </c>
      <c r="MQ37" s="91" t="str">
        <f ca="1">IF(MJ37=$A$2,Stammdaten!$CC$3,MK37)</f>
        <v/>
      </c>
      <c r="MR37" s="97">
        <f t="shared" ca="1" si="80"/>
        <v>0</v>
      </c>
      <c r="MS37" s="108">
        <f t="shared" ca="1" si="193"/>
        <v>0</v>
      </c>
      <c r="MT37" s="108">
        <f t="shared" ca="1" si="194"/>
        <v>0</v>
      </c>
      <c r="MU37" s="108">
        <f t="shared" ca="1" si="195"/>
        <v>0</v>
      </c>
      <c r="MV37" s="108" t="str">
        <f t="shared" ca="1" si="196"/>
        <v/>
      </c>
      <c r="MW37" s="97" t="str">
        <f ca="1">IF(MV37="",Stammdaten!$BZ$1,IF(AND(MS37+MT37=0,MU37&gt;=MV$25),$A$3,MR37))</f>
        <v>Zu wenige Werte</v>
      </c>
      <c r="MX37" s="97"/>
      <c r="MY37" s="91" t="str">
        <f t="shared" ca="1" si="81"/>
        <v/>
      </c>
      <c r="MZ37" s="96" t="str">
        <f>LEFT(Geschlecht[[#This Row],[Geschlecht (Skala)]],1)&amp;$MZ$27</f>
        <v>2</v>
      </c>
      <c r="NA37" s="96" t="str">
        <f t="shared" ca="1" si="82"/>
        <v>Geräteturnen_2[Resultat]</v>
      </c>
      <c r="NB37" s="97" t="str" cm="1">
        <f t="array" aca="1" ref="NB37" ca="1">IF(OR($MW37="",$MW37=Stammdaten!$BZ$1),"",IF($MW37=0,0,IF(OR($MW37=$A$2,$MW37=$A$3),$A$3,IFERROR(INDEX(INDIRECT(NA37),MATCH(INDIRECT(MY$3),INDIRECT(NA37),NA$25)),IFERROR(IF(NA$25=-1,MAX(INDIRECT(NA37)),IF(NA$25=1,MIN(INDIRECT(NA37)))),"")))))</f>
        <v/>
      </c>
      <c r="ND37" s="91" t="str">
        <f t="shared" ca="1" si="83"/>
        <v>Geräteturnen_2[Note]</v>
      </c>
      <c r="NE37" s="97" t="str" cm="1">
        <f t="array" aca="1" ref="NE37" ca="1">IFERROR(INDEX(INDIRECT(ND37),MATCH(INDIRECT(MY$5),INDIRECT(NA37),0)),IF(INDIRECT(MY$5)=0,1,""))</f>
        <v/>
      </c>
      <c r="NF37" s="97"/>
      <c r="NG37" s="307"/>
      <c r="NH37" s="96" t="str">
        <f>IFERROR(IFERROR(SUBSTITUTE(ParkourResultat[[#This Row],[Eingabe]],".",",")*1,SUBSTITUTE(ParkourResultat[[#This Row],[Eingabe]],",",".")*1),"")</f>
        <v/>
      </c>
      <c r="NI37" s="96" t="e">
        <f>INT(ParkourResultat[[#This Row],[Resultat]])=ParkourResultat[[#This Row],[Resultat]]</f>
        <v>#VALUE!</v>
      </c>
      <c r="NJ37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7" s="96"/>
      <c r="NL37" s="91" t="str" cm="1">
        <f t="array" aca="1" ref="NL37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7" s="96" t="str">
        <f ca="1">LEFT(Geschlecht[[#This Row],[Geschlecht (Skala)]],1)&amp;NR$4</f>
        <v>2</v>
      </c>
      <c r="NN37" s="96" t="str">
        <f t="shared" ca="1" si="84"/>
        <v>Parkour_2[Resultat]</v>
      </c>
      <c r="NO37" s="97" t="str" cm="1">
        <f t="array" aca="1" ref="NO37" ca="1">IF(INDIRECT(NL$1)="","",IF(INDIRECT(NL$2)=0,0,IF(OR(INDIRECT(NL$1)=$A$2,INDIRECT(NL$1)=$A$3),$A$3,IFERROR(INDEX(INDIRECT(NN37),MATCH(INDIRECT(NL$3),INDIRECT(NN37),NN$25)),IFERROR(IF(NN$25=-1,MAX(INDIRECT(NN37)),IF(NN$25=1,MIN(INDIRECT(NN37)))),"")))))</f>
        <v/>
      </c>
      <c r="NQ37" s="91" t="str">
        <f t="shared" ca="1" si="85"/>
        <v>Parkour_2[Note]</v>
      </c>
      <c r="NR37" s="97" t="str" cm="1">
        <f t="array" aca="1" ref="NR37" ca="1">IFERROR(INDEX(INDIRECT(NQ37),MATCH(INDIRECT(NL$5),INDIRECT(NN37),0)),IF(INDIRECT(NL$5)=0,1,""))</f>
        <v/>
      </c>
      <c r="NS37" s="97"/>
      <c r="NT37" s="97" t="str" cm="1">
        <f t="array" aca="1" ref="NT37" ca="1">INDIRECT(NT$5)</f>
        <v/>
      </c>
      <c r="NU37" s="97" t="str" cm="1">
        <f t="array" aca="1" ref="NU37" ca="1">INDIRECT(NU$5)</f>
        <v/>
      </c>
      <c r="NV37" s="97" t="str" cm="1">
        <f t="array" aca="1" ref="NV37" ca="1">INDIRECT(NV$5)</f>
        <v/>
      </c>
      <c r="NW37" s="97" t="str" cm="1">
        <f t="array" aca="1" ref="NW37" ca="1">INDIRECT(NW$5)</f>
        <v/>
      </c>
      <c r="NX37" s="97" t="str">
        <f t="shared" ca="1" si="86"/>
        <v>Parkour nicht durchgeführt</v>
      </c>
      <c r="NY37" s="97" t="str">
        <f t="shared" ca="1" si="197"/>
        <v/>
      </c>
      <c r="NZ37" s="97" t="str" cm="1">
        <f t="array" aca="1" ref="NZ37" ca="1">IFERROR(IF(INDIRECT(INDEX(INDIRECT(NZ$5),MATCH(NX37,INDIRECT(NZ$4),0)))&lt;&gt;"",INDEX(INDIRECT(NZ$5),MATCH(NX37,INDIRECT(NZ$4),0)),INDEX(INDIRECT(NZ$6),MATCH(NX37,INDIRECT(NZ$4),0))),"")</f>
        <v/>
      </c>
      <c r="OA37" s="97" t="str">
        <f t="shared" ca="1" si="198"/>
        <v/>
      </c>
      <c r="OB37" s="97" t="str" cm="1">
        <f t="array" aca="1" ref="OB37" ca="1">IFERROR(INDIRECT(NZ37),IF(NOT(ISERROR(FIND(Stammdaten!$CC$3,NX37,1))),$A$2,""))</f>
        <v/>
      </c>
      <c r="OC37" s="97" t="str">
        <f ca="1">IF(OB37="","",IF(AND(NY37=Stammdaten!$BX$20,OA37="0",OB37=1),SUBSTITUTE(TEXT(OB37,OA37)&amp;" "&amp;LEFT(NY37,LEN(NY37)-1),".",","),SUBSTITUTE(TEXT(OB37,OA37)&amp;" "&amp;NY37,".",",")))</f>
        <v/>
      </c>
      <c r="OD37" s="97" t="str">
        <f t="shared" ca="1" si="87"/>
        <v/>
      </c>
      <c r="OE37" s="97" t="str" cm="1">
        <f t="array" aca="1" ref="OE37" ca="1">IFERROR(LEFT(INDIRECT(OD37),1)&amp;"]","")</f>
        <v/>
      </c>
      <c r="OF37" s="97" t="str">
        <f t="shared" ca="1" si="88"/>
        <v/>
      </c>
      <c r="OG37" s="97" t="str">
        <f ca="1">IFERROR(LEFT(NX37,FIND(Stammdaten!$CA$4,NX37,1)-2),IFERROR(LEFT(NX37,FIND(Stammdaten!$CC$3,NX37,1)-2),NX37))</f>
        <v>Parkour</v>
      </c>
      <c r="OH37" s="97" t="str">
        <f ca="1">IF(NOT(ISERROR(FIND(Stammdaten!$CA$4,NX37,1))),Stammdaten!$CA$4,IF(OI37&lt;&gt;Stammdaten!$CC$3,OF37,""))</f>
        <v>nicht durchgeführt</v>
      </c>
      <c r="OI37" s="91" t="str">
        <f ca="1">IF(OB37=$A$2,Stammdaten!$CC$3,OC37)</f>
        <v/>
      </c>
      <c r="OJ37" s="97" t="str">
        <f t="shared" ca="1" si="89"/>
        <v/>
      </c>
      <c r="OK37" s="97" t="str">
        <f t="shared" ca="1" si="90"/>
        <v/>
      </c>
      <c r="OL37" s="97">
        <f t="shared" ca="1" si="199"/>
        <v>0</v>
      </c>
      <c r="OM37" s="108">
        <f t="shared" ca="1" si="91"/>
        <v>0</v>
      </c>
      <c r="ON37" s="108">
        <f t="shared" ca="1" si="92"/>
        <v>0</v>
      </c>
      <c r="OO37" s="108" t="str">
        <f t="shared" ca="1" si="200"/>
        <v/>
      </c>
      <c r="OP37" s="97" t="str">
        <f ca="1">IF(OO37="",Stammdaten!$BZ$1,IF(AND(OM37=0,ON37&gt;=OO$25),$A$3,ROUND(SUM(OL37/OO37)/OP$25,0)*OP$25))</f>
        <v>Zu wenige Werte</v>
      </c>
      <c r="OQ37" s="108">
        <f t="shared" ca="1" si="201"/>
        <v>6</v>
      </c>
      <c r="OR37" s="97" t="str">
        <f t="shared" ca="1" si="202"/>
        <v/>
      </c>
      <c r="OS37" s="97" t="str">
        <f t="shared" ca="1" si="203"/>
        <v/>
      </c>
      <c r="OT37" s="97" t="str">
        <f t="shared" ca="1" si="204"/>
        <v/>
      </c>
      <c r="OU37" s="97" t="str">
        <f t="shared" ca="1" si="205"/>
        <v>g</v>
      </c>
      <c r="OV37" s="97" t="str">
        <f t="shared" ca="1" si="206"/>
        <v/>
      </c>
      <c r="OW37" s="97">
        <f t="shared" ca="1" si="207"/>
        <v>1</v>
      </c>
      <c r="OX37" s="97" t="str">
        <f ca="1">IF(OR(Geschlecht[[#This Row],[Geschlecht (Skala)]]="",NOT(ISNUMBER(OO37))),"",OW37)</f>
        <v/>
      </c>
      <c r="OY37" s="97" t="str">
        <f t="shared" ca="1" si="208"/>
        <v/>
      </c>
      <c r="OZ37" s="97"/>
      <c r="PA37" s="308" t="str">
        <f t="shared" ca="1" si="209"/>
        <v>Zu wenige Werte</v>
      </c>
      <c r="PB37" s="97"/>
      <c r="PC37" s="307"/>
      <c r="PD37" s="96" t="str">
        <f>IFERROR(IFERROR(SUBSTITUTE(TanzenResultat[[#This Row],[Eingabe]],".",",")*1,SUBSTITUTE(TanzenResultat[[#This Row],[Eingabe]],",",".")*1),"")</f>
        <v/>
      </c>
      <c r="PE37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7" s="96"/>
      <c r="PG37" s="91" t="str" cm="1">
        <f t="array" aca="1" ref="PG37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7" s="96" t="str">
        <f ca="1">LEFT(Geschlecht[[#This Row],[Geschlecht (Skala)]],1)&amp;PM$4</f>
        <v>2</v>
      </c>
      <c r="PI37" s="96" t="str">
        <f t="shared" ca="1" si="93"/>
        <v>Tanzen_2[Resultat]</v>
      </c>
      <c r="PJ37" s="97" t="str" cm="1">
        <f t="array" aca="1" ref="PJ37" ca="1">IF(INDIRECT(PG$1)="","",IF(INDIRECT(PG$2)=0,0,IF(OR(INDIRECT(PG$1)=$A$2,INDIRECT(PG$1)=$A$3),$A$3,IFERROR(INDEX(INDIRECT(PI37),MATCH(INDIRECT(PG$3),INDIRECT(PI37),PI$25)),IFERROR(IF(PI$25=-1,MAX(INDIRECT(PI37)),IF(PI$25=1,MIN(INDIRECT(PI37)))),"")))))</f>
        <v/>
      </c>
      <c r="PL37" s="91" t="str">
        <f t="shared" ca="1" si="94"/>
        <v>Tanzen_2[Note]</v>
      </c>
      <c r="PM37" s="97" t="str" cm="1">
        <f t="array" aca="1" ref="PM37" ca="1">IFERROR(INDEX(INDIRECT(PL37),MATCH(INDIRECT(PG$5),INDIRECT(PI37),0)),IF(INDIRECT(PG$5)=0,1,""))</f>
        <v/>
      </c>
      <c r="PN37" s="97"/>
      <c r="PO37" s="307"/>
      <c r="PP37" s="96" t="str">
        <f>IFERROR(IFERROR(SUBSTITUTE(RopeSkippingResultat[[#This Row],[Eingabe]],".",",")*1,SUBSTITUTE(RopeSkippingResultat[[#This Row],[Eingabe]],",",".")*1),"")</f>
        <v/>
      </c>
      <c r="PQ37" s="96" t="e">
        <f>INT(RopeSkippingResultat[[#This Row],[Resultat]])=RopeSkippingResultat[[#This Row],[Resultat]]</f>
        <v>#VALUE!</v>
      </c>
      <c r="PR37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7" s="96"/>
      <c r="PT37" s="91" t="str" cm="1">
        <f t="array" aca="1" ref="PT37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7" s="96" t="str">
        <f ca="1">LEFT(Geschlecht[[#This Row],[Geschlecht (Skala)]],1)&amp;PZ$4</f>
        <v>2</v>
      </c>
      <c r="PV37" s="96" t="str">
        <f t="shared" ca="1" si="95"/>
        <v>RopeSkipping_2[Resultat]</v>
      </c>
      <c r="PW37" s="97" t="str" cm="1">
        <f t="array" aca="1" ref="PW37" ca="1">IF(INDIRECT(PT$1)="","",IF(INDIRECT(PT$2)=0,0,IF(OR(INDIRECT(PT$1)=$A$2,INDIRECT(PT$1)=$A$3),$A$3,IFERROR(INDEX(INDIRECT(PV37),MATCH(INDIRECT(PT$3),INDIRECT(PV37),PV$25)),IFERROR(IF(PV$25=-1,MAX(INDIRECT(PV37)),IF(PV$25=1,MIN(INDIRECT(PV37)))),"")))))</f>
        <v/>
      </c>
      <c r="PY37" s="91" t="str">
        <f t="shared" ca="1" si="96"/>
        <v>RopeSkipping_2[Note]</v>
      </c>
      <c r="PZ37" s="97" t="str" cm="1">
        <f t="array" aca="1" ref="PZ37" ca="1">IFERROR(INDEX(INDIRECT(PY37),MATCH(INDIRECT(PT$5),INDIRECT(PV37),0)),IF(INDIRECT(PT$5)=0,1,""))</f>
        <v/>
      </c>
      <c r="QA37" s="97"/>
      <c r="QB37" s="307"/>
      <c r="QC37" s="96" t="str">
        <f>IFERROR(IFERROR(SUBSTITUTE(AerobicResultat[[#This Row],[Eingabe]],".",",")*1,SUBSTITUTE(AerobicResultat[[#This Row],[Eingabe]],",",".")*1),"")</f>
        <v/>
      </c>
      <c r="QD37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7" s="96"/>
      <c r="QF37" s="91" t="str" cm="1">
        <f t="array" aca="1" ref="QF37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7" s="96" t="str">
        <f ca="1">LEFT(Geschlecht[[#This Row],[Geschlecht (Skala)]],1)&amp;QL$4</f>
        <v>2</v>
      </c>
      <c r="QH37" s="96" t="str">
        <f t="shared" ca="1" si="97"/>
        <v>Aerobic_2[Resultat]</v>
      </c>
      <c r="QI37" s="97" t="str" cm="1">
        <f t="array" aca="1" ref="QI37" ca="1">IF(INDIRECT(QF$1)="","",IF(INDIRECT(QF$2)=0,0,IF(OR(INDIRECT(QF$1)=$A$2,INDIRECT(QF$1)=$A$3),$A$3,IFERROR(INDEX(INDIRECT(QH37),MATCH(INDIRECT(QF$3),INDIRECT(QH37),QH$25)),IFERROR(IF(QH$25=-1,MAX(INDIRECT(QH37)),IF(QH$25=1,MIN(INDIRECT(QH37)))),"")))))</f>
        <v/>
      </c>
      <c r="QK37" s="91" t="str">
        <f t="shared" ca="1" si="98"/>
        <v>Aerobic_2[Note]</v>
      </c>
      <c r="QL37" s="97" t="str" cm="1">
        <f t="array" aca="1" ref="QL37" ca="1">IFERROR(INDEX(INDIRECT(QK37),MATCH(INDIRECT(QF$5),INDIRECT(QH37),0)),IF(INDIRECT(QF$5)=0,1,""))</f>
        <v/>
      </c>
      <c r="QM37" s="97"/>
      <c r="QN37" s="97" t="str" cm="1">
        <f t="array" aca="1" ref="QN37" ca="1">INDIRECT(QN$5)</f>
        <v/>
      </c>
      <c r="QO37" s="97" t="str" cm="1">
        <f t="array" aca="1" ref="QO37" ca="1">INDIRECT(QO$5)</f>
        <v/>
      </c>
      <c r="QP37" s="97" t="str" cm="1">
        <f t="array" aca="1" ref="QP37" ca="1">INDIRECT(QP$5)</f>
        <v/>
      </c>
      <c r="QQ37" s="97" t="str" cm="1">
        <f t="array" aca="1" ref="QQ37" ca="1">INDIRECT(QQ$5)</f>
        <v/>
      </c>
      <c r="QR37" s="97" t="str" cm="1">
        <f t="array" aca="1" ref="QR37" ca="1">INDIRECT(QR$5)</f>
        <v/>
      </c>
      <c r="QS37" s="97" t="str" cm="1">
        <f t="array" aca="1" ref="QS37" ca="1">INDIRECT(QS$5)</f>
        <v/>
      </c>
      <c r="QT37" s="97" t="str">
        <f t="shared" ca="1" si="99"/>
        <v>Darstellen und Tanzen nicht durchgeführt</v>
      </c>
      <c r="QU37" s="108">
        <f t="shared" ca="1" si="100"/>
        <v>0</v>
      </c>
      <c r="QV37" s="108">
        <f t="shared" ca="1" si="101"/>
        <v>0</v>
      </c>
      <c r="QW37" s="108" t="str">
        <f t="shared" ca="1" si="210"/>
        <v/>
      </c>
      <c r="QX37" s="97" t="str">
        <f t="shared" ca="1" si="211"/>
        <v>Darstellen und Tanzen nicht durchgeführt</v>
      </c>
      <c r="QY37" s="97" t="str">
        <f t="shared" ca="1" si="212"/>
        <v/>
      </c>
      <c r="QZ37" s="97" t="str" cm="1">
        <f t="array" aca="1" ref="QZ37" ca="1">IFERROR(IF(INDIRECT(INDEX(INDIRECT(QZ$5),MATCH(QX37,INDIRECT(QZ$4),0)))&lt;&gt;"",INDEX(INDIRECT(QZ$5),MATCH(QX37,INDIRECT(QZ$4),0)),INDEX(INDIRECT(QZ$6),MATCH(QX37,INDIRECT(QZ$4),0))),"")</f>
        <v/>
      </c>
      <c r="RA37" s="97" t="str">
        <f t="shared" ca="1" si="213"/>
        <v/>
      </c>
      <c r="RB37" s="97" t="str" cm="1">
        <f t="array" aca="1" ref="RB37" ca="1">IFERROR(INDIRECT(QZ37),IF(NOT(ISERROR(FIND(Stammdaten!$CC$3,QX37,1))),$A$2,""))</f>
        <v/>
      </c>
      <c r="RC37" s="97" t="str">
        <f ca="1">IF(RB37="","",IF(AND(QY37=Stammdaten!$BX$20,RA37="0",RB37=1),SUBSTITUTE(TEXT(RB37,RA37)&amp;" "&amp;LEFT(QY37,LEN(QY37)-1),".",","),SUBSTITUTE(TEXT(RB37,RA37)&amp;" "&amp;QY37,".",",")))</f>
        <v/>
      </c>
      <c r="RD37" s="97" t="str">
        <f t="shared" ca="1" si="102"/>
        <v/>
      </c>
      <c r="RE37" s="97" t="str" cm="1">
        <f t="array" aca="1" ref="RE37" ca="1">IFERROR(LEFT(INDIRECT(RD37),1)&amp;"]","")</f>
        <v/>
      </c>
      <c r="RF37" s="97" t="str">
        <f t="shared" ca="1" si="103"/>
        <v/>
      </c>
      <c r="RG37" s="97" t="str">
        <f ca="1">IFERROR(LEFT(QX37,FIND(Stammdaten!$CA$4,QX37,1)-2),IFERROR(LEFT(QX37,FIND(Stammdaten!$CC$3,QX37,1)-2),QX37))</f>
        <v>Darstellen und Tanzen</v>
      </c>
      <c r="RH37" s="97" t="str">
        <f ca="1">IF(NOT(ISERROR(FIND(Stammdaten!$CA$4,QX37,1))),Stammdaten!$CA$4,IF(RI37&lt;&gt;Stammdaten!$CC$3,RF37,""))</f>
        <v>nicht durchgeführt</v>
      </c>
      <c r="RI37" s="91" t="str">
        <f ca="1">IF(RB37=$A$2,Stammdaten!$CC$3,RC37)</f>
        <v/>
      </c>
      <c r="RJ37" s="108">
        <f t="shared" ca="1" si="214"/>
        <v>6</v>
      </c>
      <c r="RK37" s="97"/>
      <c r="RL37" s="308" t="str">
        <f ca="1">IF(QT37=$QT$4,Stammdaten!$BZ$1,IF(QT37=$QT$5,$A$3,QT37))</f>
        <v>Zu wenige Werte</v>
      </c>
      <c r="RM37" s="97"/>
      <c r="RN37" s="307"/>
      <c r="RO37" s="96" t="str">
        <f>IFERROR(IFERROR(SUBSTITUTE(BasketballResultat[[#This Row],[Eingabe]],".",",")*1,SUBSTITUTE(BasketballResultat[[#This Row],[Eingabe]],",",".")*1),"")</f>
        <v/>
      </c>
      <c r="RP37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7" s="96"/>
      <c r="RR37" s="91" t="str" cm="1">
        <f t="array" aca="1" ref="RR37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7" s="96" t="str">
        <f ca="1">LEFT(Geschlecht[[#This Row],[Geschlecht (Skala)]],1)&amp;RX$4</f>
        <v>2</v>
      </c>
      <c r="RT37" s="96" t="str">
        <f t="shared" ca="1" si="104"/>
        <v>Basketball_2[Resultat]</v>
      </c>
      <c r="RU37" s="97" t="str" cm="1">
        <f t="array" aca="1" ref="RU37" ca="1">IF(INDIRECT(RR$1)="","",IF(INDIRECT(RR$2)=0,0,IF(OR(INDIRECT(RR$1)=$A$2,INDIRECT(RR$1)=$A$3),$A$3,IFERROR(INDEX(INDIRECT(RT37),MATCH(INDIRECT(RR$3),INDIRECT(RT37),RT$25)),IFERROR(IF(RT$25=-1,MAX(INDIRECT(RT37)),IF(RT$25=1,MIN(INDIRECT(RT37)))),"")))))</f>
        <v/>
      </c>
      <c r="RW37" s="91" t="str">
        <f t="shared" ca="1" si="105"/>
        <v>Basketball_2[Note]</v>
      </c>
      <c r="RX37" s="97" t="str" cm="1">
        <f t="array" aca="1" ref="RX37" ca="1">IFERROR(INDEX(INDIRECT(RW37),MATCH(INDIRECT(RR$5),INDIRECT(RT37),0)),IF(INDIRECT(RR$5)=0,1,""))</f>
        <v/>
      </c>
      <c r="RY37" s="97"/>
      <c r="RZ37" s="307"/>
      <c r="SA37" s="96" t="str">
        <f>IFERROR(IFERROR(SUBSTITUTE(FussballResultat[[#This Row],[Eingabe]],".",",")*1,SUBSTITUTE(FussballResultat[[#This Row],[Eingabe]],",",".")*1),"")</f>
        <v/>
      </c>
      <c r="SB37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7" s="96"/>
      <c r="SD37" s="316" t="str" cm="1">
        <f t="array" aca="1" ref="SD37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7" s="96" t="str">
        <f ca="1">LEFT(Geschlecht[[#This Row],[Geschlecht (Skala)]],1)&amp;SJ$4</f>
        <v>2</v>
      </c>
      <c r="SF37" s="96" t="str">
        <f t="shared" ca="1" si="106"/>
        <v>Fussball_2[Resultat]</v>
      </c>
      <c r="SG37" s="97" t="str" cm="1">
        <f t="array" aca="1" ref="SG37" ca="1">IF(INDIRECT(SD$1)="","",IF(INDIRECT(SD$2)=0,0,IF(OR(INDIRECT(SD$1)=$A$2,INDIRECT(SD$1)=$A$3),$A$3,IFERROR(INDEX(INDIRECT(SF37),MATCH(INDIRECT(SD$3),INDIRECT(SF37),SF$25)),IFERROR(IF(SF$25=-1,MAX(INDIRECT(SF37)),IF(SF$25=1,MIN(INDIRECT(SF37)))),"")))))</f>
        <v/>
      </c>
      <c r="SI37" s="91" t="str">
        <f t="shared" ca="1" si="107"/>
        <v>Fussball_2[Note]</v>
      </c>
      <c r="SJ37" s="97" t="str" cm="1">
        <f t="array" aca="1" ref="SJ37" ca="1">IFERROR(INDEX(INDIRECT(SI37),MATCH(INDIRECT(SD$5),INDIRECT(SF37),0)),IF(INDIRECT(SD$5)=0,1,""))</f>
        <v/>
      </c>
      <c r="SK37" s="97"/>
      <c r="SL37" s="307"/>
      <c r="SM37" s="96" t="str">
        <f>IFERROR(IFERROR(SUBSTITUTE(HandballResultat[[#This Row],[Eingabe]],".",",")*1,SUBSTITUTE(HandballResultat[[#This Row],[Eingabe]],",",".")*1),"")</f>
        <v/>
      </c>
      <c r="SN37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7" s="96"/>
      <c r="SP37" s="91" t="str" cm="1">
        <f t="array" aca="1" ref="SP37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7" s="96" t="str">
        <f ca="1">LEFT(Geschlecht[[#This Row],[Geschlecht (Skala)]],1)&amp;SV$4</f>
        <v>2</v>
      </c>
      <c r="SR37" s="96" t="str">
        <f t="shared" ca="1" si="108"/>
        <v>Handball_2[Resultat]</v>
      </c>
      <c r="SS37" s="97" t="str" cm="1">
        <f t="array" aca="1" ref="SS37" ca="1">IF(INDIRECT(SP$1)="","",IF(INDIRECT(SP$2)=0,0,IF(OR(INDIRECT(SP$1)=$A$2,INDIRECT(SP$1)=$A$3),$A$3,IFERROR(INDEX(INDIRECT(SR37),MATCH(INDIRECT(SP$3),INDIRECT(SR37),SR$25)),IFERROR(IF(SR$25=-1,MAX(INDIRECT(SR37)),IF(SR$25=1,MIN(INDIRECT(SR37)))),"")))))</f>
        <v/>
      </c>
      <c r="SU37" s="91" t="str">
        <f t="shared" ca="1" si="109"/>
        <v>Handball_2[Note]</v>
      </c>
      <c r="SV37" s="97" t="str" cm="1">
        <f t="array" aca="1" ref="SV37" ca="1">IFERROR(INDEX(INDIRECT(SU37),MATCH(INDIRECT(SP$5),INDIRECT(SR37),0)),IF(INDIRECT(SP$5)=0,1,""))</f>
        <v/>
      </c>
      <c r="SW37" s="97"/>
      <c r="SX37" s="307"/>
      <c r="SY37" s="96" t="str">
        <f>IFERROR(IFERROR(SUBSTITUTE(UnihockeyResultat[[#This Row],[Eingabe]],".",",")*1,SUBSTITUTE(UnihockeyResultat[[#This Row],[Eingabe]],",",".")*1),"")</f>
        <v/>
      </c>
      <c r="SZ37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7" s="96"/>
      <c r="TB37" s="91" t="str" cm="1">
        <f t="array" aca="1" ref="TB37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7" s="96" t="str">
        <f ca="1">LEFT(Geschlecht[[#This Row],[Geschlecht (Skala)]],1)&amp;TH$4</f>
        <v>2</v>
      </c>
      <c r="TD37" s="96" t="str">
        <f t="shared" ca="1" si="110"/>
        <v>Unihockey_2[Resultat]</v>
      </c>
      <c r="TE37" s="97" t="str" cm="1">
        <f t="array" aca="1" ref="TE37" ca="1">IF(INDIRECT(TB$1)="","",IF(INDIRECT(TB$2)=0,0,IF(OR(INDIRECT(TB$1)=$A$2,INDIRECT(TB$1)=$A$3),$A$3,IFERROR(INDEX(INDIRECT(TD37),MATCH(INDIRECT(TB$3),INDIRECT(TD37),TD$25)),IFERROR(IF(TD$25=-1,MAX(INDIRECT(TD37)),IF(TD$25=1,MIN(INDIRECT(TD37)))),"")))))</f>
        <v/>
      </c>
      <c r="TG37" s="91" t="str">
        <f t="shared" ca="1" si="111"/>
        <v>Unihockey_2[Note]</v>
      </c>
      <c r="TH37" s="97" t="str" cm="1">
        <f t="array" aca="1" ref="TH37" ca="1">IFERROR(INDEX(INDIRECT(TG37),MATCH(INDIRECT(TB$5),INDIRECT(TD37),0)),IF(INDIRECT(TB$5)=0,1,""))</f>
        <v/>
      </c>
      <c r="TI37" s="97"/>
      <c r="TJ37" s="307"/>
      <c r="TK37" s="96" t="str">
        <f>IFERROR(IFERROR(SUBSTITUTE(VolleyballResultat[[#This Row],[Eingabe]],".",",")*1,SUBSTITUTE(VolleyballResultat[[#This Row],[Eingabe]],",",".")*1),"")</f>
        <v/>
      </c>
      <c r="TL37" s="96" t="e">
        <f>INT(VolleyballResultat[[#This Row],[Resultat]])=VolleyballResultat[[#This Row],[Resultat]]</f>
        <v>#VALUE!</v>
      </c>
      <c r="TM37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7" s="96"/>
      <c r="TO37" s="91" t="str" cm="1">
        <f t="array" aca="1" ref="TO37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7" s="96" t="str">
        <f ca="1">LEFT(Geschlecht[[#This Row],[Geschlecht (Skala)]],1)&amp;TU$4</f>
        <v>2</v>
      </c>
      <c r="TQ37" s="96" t="str">
        <f t="shared" ca="1" si="112"/>
        <v>Volleyball_2[Resultat]</v>
      </c>
      <c r="TR37" s="97" t="str" cm="1">
        <f t="array" aca="1" ref="TR37" ca="1">IF(INDIRECT(TO$1)="","",IF(INDIRECT(TO$2)=0,0,IF(OR(INDIRECT(TO$1)=$A$2,INDIRECT(TO$1)=$A$3),$A$3,IFERROR(INDEX(INDIRECT(TQ37),MATCH(INDIRECT(TO$3),INDIRECT(TQ37),TQ$25)),IFERROR(IF(TQ$25=-1,MAX(INDIRECT(TQ37)),IF(TQ$25=1,MIN(INDIRECT(TQ37)))),"")))))</f>
        <v/>
      </c>
      <c r="TT37" s="91" t="str">
        <f t="shared" ca="1" si="113"/>
        <v>Volleyball_2[Note]</v>
      </c>
      <c r="TU37" s="97" t="str" cm="1">
        <f t="array" aca="1" ref="TU37" ca="1">IFERROR(INDEX(INDIRECT(TT37),MATCH(INDIRECT(TO$5),INDIRECT(TQ37),0)),IF(INDIRECT(TO$5)=0,1,""))</f>
        <v/>
      </c>
      <c r="TV37" s="97"/>
      <c r="TW37" s="309" t="str" cm="1">
        <f t="array" aca="1" ref="TW37" ca="1">IF(AND(ISNUMBER(INDIRECT(TW$3)),INDIRECT(TW$3)&gt;1),INDIRECT(TW$3),"")</f>
        <v/>
      </c>
      <c r="TX37" s="309" t="str" cm="1">
        <f t="array" aca="1" ref="TX37" ca="1">IF(AND(ISNUMBER(INDIRECT(TX$3)),INDIRECT(TX$3)&gt;1),INDIRECT(TX$3),"")</f>
        <v/>
      </c>
      <c r="TY37" s="309" t="str" cm="1">
        <f t="array" aca="1" ref="TY37" ca="1">IF(AND(ISNUMBER(INDIRECT(TY$3)),INDIRECT(TY$3)&gt;1),INDIRECT(TY$3),"")</f>
        <v/>
      </c>
      <c r="TZ37" s="309" t="str" cm="1">
        <f t="array" aca="1" ref="TZ37" ca="1">IF(AND(ISNUMBER(INDIRECT(TZ$3)),INDIRECT(TZ$3)&gt;1),INDIRECT(TZ$3),"")</f>
        <v/>
      </c>
      <c r="UA37" s="309" t="str" cm="1">
        <f t="array" aca="1" ref="UA37" ca="1">IF(AND(ISNUMBER(INDIRECT(UA$3)),INDIRECT(UA$3)&gt;1),INDIRECT(UA$3),"")</f>
        <v/>
      </c>
      <c r="UB37" s="309" t="str">
        <f t="shared" ca="1" si="114"/>
        <v>x</v>
      </c>
      <c r="UC37" s="309" t="str">
        <f t="shared" ca="1" si="115"/>
        <v>y</v>
      </c>
      <c r="UD37" s="309" t="str">
        <f t="shared" ca="1" si="116"/>
        <v>z</v>
      </c>
      <c r="UE37" s="309" t="str">
        <f t="shared" ca="1" si="215"/>
        <v>a</v>
      </c>
      <c r="UF37" s="309" t="str" cm="1">
        <f t="array" aca="1" ref="UF37" ca="1">IF(UE37="a","",INDEX($TW$23:$UA$23,,MATCH(UE37,$TW37:$UA37,0)))</f>
        <v/>
      </c>
      <c r="UG37" s="309" t="str" cm="1">
        <f t="array" aca="1" ref="UG37" ca="1">IF(OR(UF37="",UF37&gt;=$UA$23),"",INDEX(INDIRECT(ADDRESS(ROW($TW$23),UF37+1)):$UA$23,,MATCH(UE37,INDIRECT(ADDRESS(ROW(),UF37+1)):$UA37,0)))</f>
        <v/>
      </c>
      <c r="UH37" s="309" t="str" cm="1">
        <f t="array" aca="1" ref="UH37" ca="1">IF(OR(UG37="",UG37&gt;=$UA$23),"",INDEX(INDIRECT(ADDRESS(ROW($TW$23),UG37+1)):$UA$23,,MATCH(UE37,INDIRECT(ADDRESS(ROW(),UG37+1)):$UA37,0)))</f>
        <v/>
      </c>
      <c r="UI37" s="309" t="str">
        <f t="shared" ca="1" si="216"/>
        <v>c</v>
      </c>
      <c r="UJ37" s="309" t="str" cm="1">
        <f t="array" aca="1" ref="UJ37" ca="1">IF(OR(UI37="b",UI37="c"),"",INDEX($TW$23:$UA$23,,MATCH(UI37,$TW37:$UA37,0)))</f>
        <v/>
      </c>
      <c r="UK37" s="309" t="str" cm="1">
        <f t="array" aca="1" ref="UK37" ca="1">IF(OR(UJ37="",UJ37&gt;=$UA$23),"",INDEX(INDIRECT(ADDRESS(ROW($TW$23),UJ37+1)):$UA$23,,MATCH(UI37,INDIRECT(ADDRESS(ROW(),UJ37+1)):$UA37,0)))</f>
        <v/>
      </c>
      <c r="UL37" s="309" t="str">
        <f t="shared" ca="1" si="117"/>
        <v/>
      </c>
      <c r="UM37" s="309" t="str">
        <f t="shared" ca="1" si="217"/>
        <v>e</v>
      </c>
      <c r="UN37" s="309" t="str">
        <f t="shared" ca="1" si="118"/>
        <v/>
      </c>
      <c r="UO37" s="309" t="str" cm="1">
        <f t="array" aca="1" ref="UO37" ca="1">IF(OR(UM37="d",UM37="e"),"",INDEX($TW$23:$UA$23,,MATCH(UM37,$TW37:$UA37,0)))</f>
        <v/>
      </c>
      <c r="UP37" s="309" t="str" cm="1">
        <f t="array" aca="1" ref="UP37" ca="1">IF(OR(UO37="",UO37&gt;=$UA$23),"",INDEX(INDIRECT(ADDRESS(ROW($TW$23),UO37+1)):$UA$23,,MATCH(UM37,INDIRECT(ADDRESS(ROW(),UO37+1)):$UA37,0)))</f>
        <v/>
      </c>
      <c r="UQ37" s="309" t="str" cm="1">
        <f t="array" aca="1" ref="UQ37" ca="1">IFERROR(IF(ISNUMBER(UF37),UF37,IF(ISNUMBER(UJ37),UJ37,IF(ISNUMBER(UN37),UN37,INDEX($TW$23:$UA$23,,MATCH(UB37,$TW37:$UA37,0))))),"x1")</f>
        <v>x1</v>
      </c>
      <c r="UR37" s="309" t="str" cm="1">
        <f t="array" aca="1" ref="UR37" ca="1">IFERROR(IF(ISNUMBER(UG37),UG37,IF(ISNUMBER(UK37),UK37,IF(ISNUMBER(UO37),UO37,INDEX($TW$23:$UA$23,,MATCH(UC37,$TW37:$UA37,0))))),IF(UQ37="x1","x2","x1"))</f>
        <v>x2</v>
      </c>
      <c r="US37" s="309" t="str" cm="1">
        <f t="array" aca="1" ref="US37" ca="1">IFERROR(IF(ISNUMBER(UH37),UH37,IF(ISNUMBER(UL37),UL37,IF(ISNUMBER(UP37),UP37,INDEX($TW$23:$UA$23,,MATCH(UD37,$TW37:$UA37,0))))),IF(UR37="x1","x2",IF(UR37="x2","x3","x1")))</f>
        <v>x3</v>
      </c>
      <c r="UT37" s="97" t="str" cm="1">
        <f t="array" aca="1" ref="UT37" ca="1">IF(OR(INDIRECT(UT$3)=$A$2,INDIRECT(UT$3)=$A$3),COLUMN(),"")</f>
        <v/>
      </c>
      <c r="UU37" s="97" t="str" cm="1">
        <f t="array" aca="1" ref="UU37" ca="1">IF(OR(INDIRECT(UU$3)=$A$2,INDIRECT(UU$3)=$A$3),COLUMN(),"")</f>
        <v/>
      </c>
      <c r="UV37" s="97" t="str" cm="1">
        <f t="array" aca="1" ref="UV37" ca="1">IF(OR(INDIRECT(UV$3)=$A$2,INDIRECT(UV$3)=$A$3),COLUMN(),"")</f>
        <v/>
      </c>
      <c r="UW37" s="97" t="str" cm="1">
        <f t="array" aca="1" ref="UW37" ca="1">IF(OR(INDIRECT(UW$3)=$A$2,INDIRECT(UW$3)=$A$3),COLUMN(),"")</f>
        <v/>
      </c>
      <c r="UX37" s="97" t="str" cm="1">
        <f t="array" aca="1" ref="UX37" ca="1">IF(OR(INDIRECT(UX$3)=$A$2,INDIRECT(UX$3)=$A$3),COLUMN(),"")</f>
        <v/>
      </c>
      <c r="UY37" s="97" t="str" cm="1">
        <f t="array" aca="1" ref="UY37" ca="1">IF(AND(ISNUMBER(INDIRECT(UY$3)),INDIRECT(UY$3)=0),COLUMN(),"")</f>
        <v/>
      </c>
      <c r="UZ37" s="97" t="str" cm="1">
        <f t="array" aca="1" ref="UZ37" ca="1">IF(AND(ISNUMBER(INDIRECT(UZ$3)),INDIRECT(UZ$3)=0),COLUMN(),"")</f>
        <v/>
      </c>
      <c r="VA37" s="97" t="str" cm="1">
        <f t="array" aca="1" ref="VA37" ca="1">IF(AND(ISNUMBER(INDIRECT(VA$3)),INDIRECT(VA$3)=0),COLUMN(),"")</f>
        <v/>
      </c>
      <c r="VB37" s="97" t="str" cm="1">
        <f t="array" aca="1" ref="VB37" ca="1">IF(AND(ISNUMBER(INDIRECT(VB$3)),INDIRECT(VB$3)=0),COLUMN(),"")</f>
        <v/>
      </c>
      <c r="VC37" s="97" t="str" cm="1">
        <f t="array" aca="1" ref="VC37" ca="1">IF(AND(ISNUMBER(INDIRECT(VC$3)),INDIRECT(VC$3)=0),COLUMN(),"")</f>
        <v/>
      </c>
      <c r="VD37" s="97" t="str">
        <f t="shared" ca="1" si="218"/>
        <v>x1</v>
      </c>
      <c r="VE37" s="97" t="str">
        <f t="shared" ca="1" si="219"/>
        <v>x2</v>
      </c>
      <c r="VF37" s="97" t="str">
        <f t="shared" ca="1" si="220"/>
        <v>x3</v>
      </c>
      <c r="VG37" s="97" t="str">
        <f ca="1">IFERROR(IF(ISNUMBER(VD37),VD37,SMALL($UY37:$VC37,VALUE(RIGHT(VD37,1)))),Stammdaten!$CB$17)</f>
        <v>Erste Spielsportart nicht durchgeführt</v>
      </c>
      <c r="VH37" s="97" t="str">
        <f ca="1">IFERROR(IF(ISNUMBER(VE37),VE37,SMALL($UY37:$VC37,VALUE(RIGHT(VE37,1)))),Stammdaten!$CB$18)</f>
        <v>Zweite Spielsportart nicht durchgeführt</v>
      </c>
      <c r="VI37" s="97" t="str">
        <f ca="1">IFERROR(IF(ISNUMBER(VF37),VF37,SMALL($UY37:$VC37,VALUE(RIGHT(VF37,1)))),Stammdaten!$CB$19)</f>
        <v>Dritte Spielsportart nicht durchgeführt</v>
      </c>
      <c r="VJ37" s="91" t="str" cm="1">
        <f t="array" aca="1" ref="VJ37" ca="1">IFERROR(INDIRECT(ADDRESS(ROW($TW$5),VG37)),VG37)</f>
        <v>Erste Spielsportart nicht durchgeführt</v>
      </c>
      <c r="VK37" s="97" t="str">
        <f t="shared" ca="1" si="221"/>
        <v/>
      </c>
      <c r="VL37" s="97" t="str" cm="1">
        <f t="array" aca="1" ref="VL37" ca="1">IFERROR(IF(INDIRECT(INDEX(INDIRECT(VL$5),MATCH(VJ37,INDIRECT(VL$4),0)))&lt;&gt;"",INDEX(INDIRECT(VL$5),MATCH(VJ37,INDIRECT(VL$4),0)),INDEX(INDIRECT(VL$6),MATCH(VJ37,INDIRECT(VL$4),0))),"")</f>
        <v/>
      </c>
      <c r="VM37" s="97" t="str">
        <f t="shared" ca="1" si="222"/>
        <v/>
      </c>
      <c r="VN37" s="97" t="str" cm="1">
        <f t="array" aca="1" ref="VN37" ca="1">IFERROR(INDIRECT(VL37),"")</f>
        <v/>
      </c>
      <c r="VO37" s="97" t="str">
        <f ca="1">IF(VN37="","",IF(AND(VK37=Stammdaten!$BX$20,VM37="0",VN37=1),SUBSTITUTE(TEXT(VN37,VM37)&amp;" "&amp;LEFT(VK37,LEN(VK37)-1),".",","),SUBSTITUTE(TEXT(VN37,VM37)&amp;" "&amp;VK37,".",",")))</f>
        <v/>
      </c>
      <c r="VP37" s="97" t="str">
        <f t="shared" ca="1" si="119"/>
        <v/>
      </c>
      <c r="VQ37" s="97" t="str" cm="1">
        <f t="array" aca="1" ref="VQ37" ca="1">IFERROR(LEFT(INDIRECT(VP37),1)&amp;"]","")</f>
        <v/>
      </c>
      <c r="VR37" s="97" t="str">
        <f t="shared" ca="1" si="120"/>
        <v/>
      </c>
      <c r="VS37" s="97" t="str">
        <f ca="1">IFERROR(LEFT(VJ37,FIND(Stammdaten!$CA$4,VJ37,1)-2),IFERROR(LEFT(VJ37,FIND(Stammdaten!$CC$3,VJ37,1)-2),VJ37))</f>
        <v>Erste Spielsportart</v>
      </c>
      <c r="VT37" s="97" t="str">
        <f ca="1">IF(NOT(ISERROR(FIND(Stammdaten!$CA$4,VJ37,1))),Stammdaten!$CA$4,IF(VU37&lt;&gt;Stammdaten!$CC$3,VR37,""))</f>
        <v>nicht durchgeführt</v>
      </c>
      <c r="VU37" s="91" t="str">
        <f ca="1">IF(VN37=$A$2,Stammdaten!$CC$3,VO37)</f>
        <v/>
      </c>
      <c r="VV37" s="91" t="str" cm="1">
        <f t="array" aca="1" ref="VV37" ca="1">IFERROR(INDIRECT(ADDRESS(ROW($TW$5),VH37)),VH37)</f>
        <v>Zweite Spielsportart nicht durchgeführt</v>
      </c>
      <c r="VW37" s="97" t="str">
        <f t="shared" ca="1" si="223"/>
        <v/>
      </c>
      <c r="VX37" s="97" t="str" cm="1">
        <f t="array" aca="1" ref="VX37" ca="1">IFERROR(IF(INDIRECT(INDEX(INDIRECT(VX$5),MATCH(VV37,INDIRECT(VX$4),0)))&lt;&gt;"",INDEX(INDIRECT(VX$5),MATCH(VV37,INDIRECT(VX$4),0)),INDEX(INDIRECT(VX$6),MATCH(VV37,INDIRECT(VX$4),0))),"")</f>
        <v/>
      </c>
      <c r="VY37" s="97" t="str">
        <f t="shared" ca="1" si="224"/>
        <v/>
      </c>
      <c r="VZ37" s="97" t="str" cm="1">
        <f t="array" aca="1" ref="VZ37" ca="1">IFERROR(INDIRECT(VX37),"")</f>
        <v/>
      </c>
      <c r="WA37" s="97" t="str">
        <f ca="1">IF(VZ37="","",IF(AND(VW37=Stammdaten!$BX$20,VY37="0",VZ37=1),SUBSTITUTE(TEXT(VZ37,VY37)&amp;" "&amp;LEFT(VW37,LEN(VW37)-1),".",","),SUBSTITUTE(TEXT(VZ37,VY37)&amp;" "&amp;VW37,".",",")))</f>
        <v/>
      </c>
      <c r="WB37" s="97" t="str">
        <f t="shared" ca="1" si="121"/>
        <v/>
      </c>
      <c r="WC37" s="97" t="str" cm="1">
        <f t="array" aca="1" ref="WC37" ca="1">IFERROR(LEFT(INDIRECT(WB37),1)&amp;"]","")</f>
        <v/>
      </c>
      <c r="WD37" s="97" t="str">
        <f t="shared" ca="1" si="122"/>
        <v/>
      </c>
      <c r="WE37" s="97" t="str">
        <f ca="1">IFERROR(LEFT(VV37,FIND(Stammdaten!$CA$4,VV37,1)-2),IFERROR(LEFT(VV37,FIND(Stammdaten!$CC$3,VV37,1)-2),VV37))</f>
        <v>Zweite Spielsportart</v>
      </c>
      <c r="WF37" s="97" t="str">
        <f ca="1">IF(NOT(ISERROR(FIND(Stammdaten!$CA$4,VV37,1))),Stammdaten!$CA$4,IF(WG37&lt;&gt;Stammdaten!$CC$3,WD37,""))</f>
        <v>nicht durchgeführt</v>
      </c>
      <c r="WG37" s="91" t="str">
        <f ca="1">IF(VZ37=$A$2,Stammdaten!$CC$3,WA37)</f>
        <v/>
      </c>
      <c r="WH37" s="91" t="str" cm="1">
        <f t="array" aca="1" ref="WH37" ca="1">IFERROR(INDIRECT(ADDRESS(ROW($TW$5),VI37)),VI37)</f>
        <v>Dritte Spielsportart nicht durchgeführt</v>
      </c>
      <c r="WI37" s="97" t="str">
        <f t="shared" ca="1" si="225"/>
        <v/>
      </c>
      <c r="WJ37" s="97" t="str" cm="1">
        <f t="array" aca="1" ref="WJ37" ca="1">IFERROR(IF(INDIRECT(INDEX(INDIRECT(WJ$5),MATCH(WH37,INDIRECT(WJ$4),0)))&lt;&gt;"",INDEX(INDIRECT(WJ$5),MATCH(WH37,INDIRECT(WJ$4),0)),INDEX(INDIRECT(WJ$6),MATCH(WH37,INDIRECT(WJ$4),0))),"")</f>
        <v/>
      </c>
      <c r="WK37" s="97" t="str">
        <f t="shared" ca="1" si="226"/>
        <v/>
      </c>
      <c r="WL37" s="97" t="str" cm="1">
        <f t="array" aca="1" ref="WL37" ca="1">IFERROR(INDIRECT(WJ37),"")</f>
        <v/>
      </c>
      <c r="WM37" s="97" t="str">
        <f ca="1">IF(WL37="","",IF(AND(WI37=Stammdaten!$BX$20,WK37="0",WL37=1),SUBSTITUTE(TEXT(WL37,WK37)&amp;" "&amp;LEFT(WI37,LEN(WI37)-1),".",","),SUBSTITUTE(TEXT(WL37,WK37)&amp;" "&amp;WI37,".",",")))</f>
        <v/>
      </c>
      <c r="WN37" s="97" t="str">
        <f t="shared" ca="1" si="123"/>
        <v/>
      </c>
      <c r="WO37" s="97" t="str" cm="1">
        <f t="array" aca="1" ref="WO37" ca="1">IFERROR(LEFT(INDIRECT(WN37),1)&amp;"]","")</f>
        <v/>
      </c>
      <c r="WP37" s="97" t="str">
        <f t="shared" ca="1" si="124"/>
        <v/>
      </c>
      <c r="WQ37" s="97" t="str">
        <f ca="1">IFERROR(LEFT(WH37,FIND(Stammdaten!$CA$4,WH37,1)-2),IFERROR(LEFT(WH37,FIND(Stammdaten!$CC$3,WH37,1)-2),WH37))</f>
        <v>Dritte Spielsportart</v>
      </c>
      <c r="WR37" s="97" t="str">
        <f ca="1">IF(NOT(ISERROR(FIND(Stammdaten!$CA$4,WH37,1))),Stammdaten!$CA$4,IF(WS37&lt;&gt;Stammdaten!$CC$3,WP37,""))</f>
        <v>nicht durchgeführt</v>
      </c>
      <c r="WS37" s="91" t="str">
        <f ca="1">IF(WL37=$A$2,Stammdaten!$CC$3,WM37)</f>
        <v/>
      </c>
      <c r="WT37" s="97" t="str" cm="1">
        <f t="array" aca="1" ref="WT37" ca="1">INDIRECT(WT$5)</f>
        <v/>
      </c>
      <c r="WU37" s="97" t="str" cm="1">
        <f t="array" aca="1" ref="WU37" ca="1">INDIRECT(WU$5)</f>
        <v/>
      </c>
      <c r="WV37" s="97" t="str" cm="1">
        <f t="array" aca="1" ref="WV37" ca="1">INDIRECT(WV$5)</f>
        <v/>
      </c>
      <c r="WW37" s="97" t="str" cm="1">
        <f t="array" aca="1" ref="WW37" ca="1">INDIRECT(WW$5)</f>
        <v/>
      </c>
      <c r="WX37" s="97" t="str" cm="1">
        <f t="array" aca="1" ref="WX37" ca="1">INDIRECT(WX$5)</f>
        <v/>
      </c>
      <c r="WY37" s="97" cm="1">
        <f t="array" aca="1" ref="WY37" ca="1">IF(INDIRECT(WY$5)&lt;&gt;"",INDIRECT(WY$5),0)</f>
        <v>0</v>
      </c>
      <c r="WZ37" s="97" cm="1">
        <f t="array" aca="1" ref="WZ37" ca="1">IF(INDIRECT(WZ$5)&lt;&gt;"",INDIRECT(WZ$5),0)</f>
        <v>0</v>
      </c>
      <c r="XA37" s="97" cm="1">
        <f t="array" aca="1" ref="XA37" ca="1">IF(INDIRECT(XA$5)&lt;&gt;"",INDIRECT(XA$5),0)</f>
        <v>0</v>
      </c>
      <c r="XB37" s="97" cm="1">
        <f t="array" aca="1" ref="XB37" ca="1">IF(INDIRECT(XB$5)&lt;&gt;"",INDIRECT(XB$5),0)</f>
        <v>0</v>
      </c>
      <c r="XC37" s="97" cm="1">
        <f t="array" aca="1" ref="XC37" ca="1">IF(INDIRECT(XC$5)&lt;&gt;"",INDIRECT(XC$5),0)</f>
        <v>0</v>
      </c>
      <c r="XD37" s="97">
        <f t="shared" ca="1" si="125"/>
        <v>0</v>
      </c>
      <c r="XE37" s="97">
        <f t="shared" ca="1" si="125"/>
        <v>0</v>
      </c>
      <c r="XF37" s="97">
        <f t="shared" ca="1" si="125"/>
        <v>0</v>
      </c>
      <c r="XG37" s="97">
        <f t="shared" ca="1" si="227"/>
        <v>0</v>
      </c>
      <c r="XH37" s="108">
        <f t="shared" ca="1" si="228"/>
        <v>0</v>
      </c>
      <c r="XI37" s="108">
        <f t="shared" ca="1" si="126"/>
        <v>0</v>
      </c>
      <c r="XJ37" s="108" t="str">
        <f t="shared" ca="1" si="229"/>
        <v/>
      </c>
      <c r="XK37" s="97" t="str">
        <f ca="1">IF(XJ37="",Stammdaten!$BZ$1,IF(AND(XH37=0,XI37&gt;=XJ$25),$A$3,ROUND(SUM(XG37/XJ37)/XK$25,0)*XK$25))</f>
        <v>Zu wenige Werte</v>
      </c>
      <c r="XL37" s="108">
        <f t="shared" ca="1" si="230"/>
        <v>6</v>
      </c>
      <c r="XM37" s="97" t="str">
        <f t="shared" ca="1" si="231"/>
        <v/>
      </c>
      <c r="XN37" s="97" t="str">
        <f t="shared" ca="1" si="232"/>
        <v/>
      </c>
      <c r="XO37" s="97" t="str">
        <f t="shared" ca="1" si="233"/>
        <v/>
      </c>
      <c r="XP37" s="97" t="str">
        <f t="shared" ca="1" si="234"/>
        <v/>
      </c>
      <c r="XQ37" s="97" t="str">
        <f t="shared" ca="1" si="235"/>
        <v>g</v>
      </c>
      <c r="XR37" s="97" t="str">
        <f t="shared" ca="1" si="236"/>
        <v/>
      </c>
      <c r="XS37" s="97">
        <f t="shared" ca="1" si="237"/>
        <v>1</v>
      </c>
      <c r="XT37" s="97" t="str">
        <f ca="1">IF(OR(Geschlecht[[#This Row],[Geschlecht (Skala)]]="",NOT(ISNUMBER(XJ37))),"",XS37)</f>
        <v/>
      </c>
      <c r="XU37" s="97" t="str">
        <f t="shared" ca="1" si="238"/>
        <v/>
      </c>
      <c r="XV37" s="97"/>
      <c r="XW37" s="308" t="str">
        <f t="shared" ca="1" si="127"/>
        <v>Zu wenige Werte</v>
      </c>
      <c r="XX37" s="97"/>
      <c r="XY37" s="97" t="str">
        <f t="shared" ca="1" si="128"/>
        <v>Zu wenige Werte</v>
      </c>
      <c r="XZ37" s="97" t="str">
        <f t="shared" ca="1" si="129"/>
        <v>Zu wenige Werte</v>
      </c>
      <c r="YA37" s="97" t="str">
        <f t="shared" ca="1" si="130"/>
        <v>Zu wenige Werte</v>
      </c>
      <c r="YB37" s="97" t="str">
        <f t="shared" ca="1" si="131"/>
        <v>Zu wenige Werte</v>
      </c>
      <c r="YC37" s="97">
        <f t="shared" ca="1" si="239"/>
        <v>0</v>
      </c>
      <c r="YD37" s="108">
        <f t="shared" ca="1" si="240"/>
        <v>0</v>
      </c>
      <c r="YE37" s="108">
        <f t="shared" ca="1" si="241"/>
        <v>0</v>
      </c>
      <c r="YF37" s="108" t="str">
        <f t="shared" ca="1" si="242"/>
        <v/>
      </c>
      <c r="YG37" s="97" t="str">
        <f ca="1">IF(YF37="",Stammdaten!$BZ$1,IF(YE37=YF$25,$A$3,ROUND(SUM(YC37/YF37)/YG$25,0)*YG$25))</f>
        <v>Zu wenige Werte</v>
      </c>
      <c r="YH37" s="97" t="str">
        <f ca="1">IF(NOT(ISNUMBER(XY37)),"",IF(YH$11&lt;&gt;"2+",TEXT(XY37,YH$11)&amp;" / ",IF(RIGHT(XY37*100,2)="00",TEXT(XY37,"0"&amp;Stammdaten!$AZ$3&amp;"0")&amp;" / ",XY37&amp;" / ")))</f>
        <v/>
      </c>
      <c r="YI37" s="97" t="str">
        <f ca="1">IF(NOT(ISNUMBER(XZ37)),"",IF(YI$11&lt;&gt;"2+",TEXT(XZ37,YI$11)&amp;" / ",IF(RIGHT(XZ37*100,2)="00",TEXT(XZ37,"0"&amp;Stammdaten!$AZ$3&amp;"0")&amp;" / ",XZ37&amp;" / ")))</f>
        <v/>
      </c>
      <c r="YJ37" s="97" t="str">
        <f ca="1">IF(NOT(ISNUMBER(YA37)),"",IF(YJ$11&lt;&gt;"2+",TEXT(YA37,YJ$11)&amp;" / ",IF(RIGHT(YA37*100,2)="00",TEXT(YA37,"0"&amp;Stammdaten!$AZ$3&amp;"0")&amp;" / ",YA37&amp;" / ")))</f>
        <v/>
      </c>
      <c r="YK37" s="97" t="str">
        <f ca="1">IF(NOT(ISNUMBER(YB37)),"",IF(YK$11&lt;&gt;"2+",TEXT(YB37,YK$11)&amp;" / ",IF(RIGHT(YB37*100,2)="00",TEXT(YB37,"0"&amp;Stammdaten!$AZ$3&amp;"0")&amp;" / ",YB37&amp;" / ")))</f>
        <v/>
      </c>
      <c r="YL37" s="97" t="str">
        <f t="shared" ca="1" si="243"/>
        <v/>
      </c>
      <c r="YM37" s="97" t="str">
        <f>IF(Geschlecht[[#This Row],[Geschlecht (Skala)]]="","",IF(ISNUMBER(XY37),1,IF(XY37=$A$3,$A$2,"R")))</f>
        <v/>
      </c>
      <c r="YN37" s="97" t="str">
        <f>IF(Geschlecht[[#This Row],[Geschlecht (Skala)]]="","",IF(ISNUMBER(XZ37),1,IF(XZ37=$A$3,$A$2,"R")))</f>
        <v/>
      </c>
      <c r="YO37" s="97" t="str">
        <f>IF(Geschlecht[[#This Row],[Geschlecht (Skala)]]="","",IF(ISNUMBER(YA37),1,IF(YA37=$A$3,$A$2,"R")))</f>
        <v/>
      </c>
      <c r="YP37" s="97" t="str">
        <f>IF(Geschlecht[[#This Row],[Geschlecht (Skala)]]="","",IF(ISNUMBER(YB37),1,IF(YB37=$A$3,$A$2,"R")))</f>
        <v/>
      </c>
      <c r="YQ37" s="97" t="str">
        <f t="shared" si="244"/>
        <v>g</v>
      </c>
      <c r="YR37" s="97" t="str">
        <f t="shared" ca="1" si="245"/>
        <v/>
      </c>
      <c r="YS37" s="97">
        <f t="shared" ca="1" si="246"/>
        <v>1</v>
      </c>
      <c r="YT37" s="97" t="str">
        <f ca="1">IF(OR(Geschlecht[[#This Row],[Geschlecht (Skala)]]="",NOT(ISNUMBER(YG37))),"",YS37)</f>
        <v/>
      </c>
      <c r="YU37" s="97"/>
      <c r="YV37" s="311" t="str">
        <f t="shared" si="247"/>
        <v>D</v>
      </c>
      <c r="YW37" s="302"/>
      <c r="YX37" s="311" t="str">
        <f t="shared" si="248"/>
        <v>D</v>
      </c>
      <c r="YY37" s="302"/>
      <c r="YZ37" s="311" t="str">
        <f t="shared" si="249"/>
        <v>D</v>
      </c>
      <c r="ZA37" s="302"/>
      <c r="ZB37" s="311" t="str">
        <f t="shared" si="250"/>
        <v>D</v>
      </c>
      <c r="ZC37" s="97"/>
      <c r="ZD37" s="97" t="str">
        <f t="shared" ca="1" si="132"/>
        <v/>
      </c>
      <c r="ZE37" s="97"/>
      <c r="ZF37" s="308" t="str">
        <f t="shared" ca="1" si="251"/>
        <v>Zu wenige Werte</v>
      </c>
      <c r="ZH37" s="317" t="s">
        <v>134</v>
      </c>
      <c r="ZJ37" s="91" t="str" cm="1">
        <f t="array" ref="ZJ37">IF(OR(Geschlecht[[#This Row],[Geschlecht (Skala)]]="",ZH37="",ZH37=Stammdaten!$BZ$5),"",REPLACE(INDEX(StdDisziplinen[TabÜberschriftNote],ZH$3),FIND("X",INDEX(StdDisziplinen[TabÜberschriftNote],ZH$3),1),1,Geschlecht[[#This Row],[Geschlecht (Skala)]]))</f>
        <v/>
      </c>
      <c r="ZK37" s="314"/>
      <c r="ZM37" s="315"/>
      <c r="ZN37" s="97" t="str">
        <f>IFERROR(IFERROR(SUBSTITUTE(SchwimmenResultatMin[[#This Row],[Min]],".",",")*1,SUBSTITUTE(SchwimmenResultatMin[[#This Row],[Min]],",",".")*1),"")</f>
        <v/>
      </c>
      <c r="ZO37" s="91" t="e">
        <f>INT(SchwimmenResultatMin[[#This Row],[Resultat]])=SchwimmenResultatMin[[#This Row],[Resultat]]</f>
        <v>#VALUE!</v>
      </c>
      <c r="ZP37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7" s="315"/>
      <c r="ZS37" s="97" t="str">
        <f>IFERROR(IFERROR(SUBSTITUTE(SchwimmenResultatSek[[#This Row],[Sek]],".",",")*1,SUBSTITUTE(SchwimmenResultatSek[[#This Row],[Sek]],",",".")*1),"")</f>
        <v/>
      </c>
      <c r="ZT37" s="108" t="e">
        <f>INT(SchwimmenResultatSek[[#This Row],[Resultat]])=SchwimmenResultatSek[[#This Row],[Resultat]]</f>
        <v>#VALUE!</v>
      </c>
      <c r="ZU37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7" s="97" t="str" cm="1">
        <f t="array" aca="1" ref="ZW37" ca="1">IF(AND(INDIRECT(ZW$2)="",INDIRECT(ZX$2)=""),"",IFERROR((INDIRECT(ZW$2)*$ZW$25)+INDIRECT(ZX$2),""))</f>
        <v/>
      </c>
      <c r="ZX37" s="91" t="str">
        <f ca="1">REPLACE(ZW$4,ZX$6,1,Geschlecht[[#This Row],[Geschlecht (Skala)]])</f>
        <v>Schwimmen_[Resultat]</v>
      </c>
      <c r="ZY37" s="91" t="str">
        <f ca="1">IFERROR(REPLACE($ZX37,FIND(Stammdaten!$V$2,$ZX37,1),LEN(Stammdaten!$V$2),Stammdaten!$BZ$9),"")</f>
        <v>Schwimmen_[Anzeige]</v>
      </c>
      <c r="ZZ37" s="97" t="str" cm="1">
        <f t="array" aca="1" ref="ZZ37" ca="1">IF(INDIRECT(ZW$3)="","",IF(INDIRECT(ZW$3)=0,0,IF(OR(INDIRECT(ZW$1)=$A$2,INDIRECT(ZW$1)=$A$3),$A$3,IFERROR(INDEX(INDIRECT(ZX37),MATCH(INDIRECT(ZW$3),INDIRECT(ZX37),ZY$25)),IFERROR(IF(ZY$25=-1,MAX(INDIRECT(ZX37)),IF(ZY$25=1,MIN(INDIRECT(ZX37)))),"")))))</f>
        <v/>
      </c>
      <c r="AAA37" s="97" t="str" cm="1">
        <f t="array" aca="1" ref="AAA37" ca="1">IF(INDIRECT(ZX$5)=0,0,IF(OR(INDIRECT(ZW$1)=$A$2,INDIRECT(ZW$1)=$A$3),$A$3,IFERROR(INDEX(INDIRECT($ZY37),MATCH(INDIRECT(ZX$5),INDIRECT($ZX37),0)),"")))</f>
        <v/>
      </c>
      <c r="AAC37" s="91" t="str">
        <f ca="1">REPLACE(ZW$6,ZX$6,1,Geschlecht[[#This Row],[Geschlecht (Skala)]])</f>
        <v>Schwimmen_[Note]</v>
      </c>
      <c r="AAD37" s="97" t="str" cm="1">
        <f t="array" aca="1" ref="AAD37" ca="1">IFERROR(INDEX(INDIRECT(AAC37),MATCH(INDIRECT(ZX$5),INDIRECT(ZX37),0)),IF(INDIRECT(ZX$5)=0,1,""))</f>
        <v/>
      </c>
      <c r="AAE37" s="97"/>
      <c r="AAF37" s="96" t="str">
        <f>ZwölfMinLaufHalleResultat[[#This Row],[Resultat]]</f>
        <v/>
      </c>
      <c r="AAG37" s="96"/>
      <c r="AAH37" s="97" t="str">
        <f ca="1">ZwölfMinLaufHalleSkalawert[[#This Row],[Skala-Wert]]</f>
        <v/>
      </c>
      <c r="AAJ37" s="97" t="str">
        <f ca="1">ZwölfMinLaufHalleNote[[#This Row],[Note]]</f>
        <v/>
      </c>
      <c r="AAK37" s="97"/>
      <c r="AAL37" s="96" t="str">
        <f>ZwölfMinLaufimFreienResultat[[#This Row],[Resultat]]</f>
        <v/>
      </c>
      <c r="AAM37" s="96"/>
      <c r="AAN37" s="97" t="str">
        <f ca="1">ZwölfMinLaufimFreienSkalawert[[#This Row],[Skala-Wert]]</f>
        <v/>
      </c>
      <c r="AAP37" s="97" t="str">
        <f ca="1">ZwölfMinLaufimFreienNote[[#This Row],[Note]]</f>
        <v/>
      </c>
      <c r="AAQ37" s="97"/>
      <c r="AAR37" s="307"/>
      <c r="AAS37" s="96" t="str">
        <f>IFERROR(IFERROR(SUBSTITUTE(BeweglichkeitResultat[[#This Row],[Eingabe]],".",",")*1,SUBSTITUTE(BeweglichkeitResultat[[#This Row],[Eingabe]],",",".")*1),"")</f>
        <v/>
      </c>
      <c r="AAT37" s="96" t="e">
        <f>INT(BeweglichkeitResultat[[#This Row],[Resultat]])=BeweglichkeitResultat[[#This Row],[Resultat]]</f>
        <v>#VALUE!</v>
      </c>
      <c r="AAU37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7" s="96"/>
      <c r="AAW37" s="91" t="str" cm="1">
        <f t="array" aca="1" ref="AAW37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7" s="96" t="str">
        <f ca="1">REPLACE(AAW$4,AAX$6,1,Geschlecht[[#This Row],[Geschlecht (Skala)]])</f>
        <v>Beweglichkeit_[Resultat]</v>
      </c>
      <c r="AAY37" s="96" t="str" cm="1">
        <f t="array" aca="1" ref="AAY37" ca="1">IF(OR(INDIRECT(AAW$1)=$A$2,INDIRECT(AAW$1)=$A$3),$A$3,IF(OR(INDIRECT(AAW$2)="",AND(Geschlecht[[#This Row],[Geschlecht (Skala)]]=Stammdaten!$D$7,INDIRECT(AAW$2)&lt;0)),"",IFERROR(INDEX(INDIRECT(AAX37),MATCH(INDIRECT(AAW$3),INDIRECT(AAX37),AAX$25)),IFERROR(IF(AAX$25=-1,MAX(INDIRECT(AAX37)),IF(AAX$25=1,MIN(INDIRECT(AAX37)))),""))))</f>
        <v/>
      </c>
      <c r="AAZ37" s="97" t="str" cm="1">
        <f t="array" aca="1" ref="AAZ37" ca="1">IF(INDIRECT(AAW$1)="","",IF(INDIRECT(AAW$1)=0,0,IF(OR(INDIRECT(AAW$1)=$A$2,INDIRECT(AAW$1)=$A$3),$A$3,IFERROR(INDEX(INDIRECT(AAY37),MATCH(INDIRECT(AAW$3),INDIRECT(AAY37),AAY$27)),IFERROR(IF(AAY$27=-1,MAX(INDIRECT(AAY37)),IF(AAY$27=1,MIN(INDIRECT(AAY37)))),"")))))</f>
        <v/>
      </c>
      <c r="ABA37" s="96" t="str">
        <f ca="1">REPLACE(AAW$6,AAX$6,1,Geschlecht[[#This Row],[Geschlecht (Skala)]])</f>
        <v>Beweglichkeit_[Note]</v>
      </c>
      <c r="ABB37" s="91" t="str" cm="1">
        <f t="array" aca="1" ref="ABB37" ca="1">IFERROR(INDEX(INDIRECT(ABA37),MATCH(INDIRECT(AAW$5),INDIRECT(AAX37),0)),"")</f>
        <v/>
      </c>
      <c r="ABC37" s="97" t="str" cm="1">
        <f t="array" aca="1" ref="ABC37" ca="1">IFERROR(INDEX(INDIRECT(ABB37),MATCH(INDIRECT(AAW$5),INDIRECT(AAY37),0)),"")</f>
        <v/>
      </c>
      <c r="ABD37" s="307"/>
      <c r="ABE37" s="96" t="str">
        <f>IFERROR(IFERROR(SUBSTITUTE(RumpfkraftResultat[[#This Row],[Eingabe]],".",",")*1,SUBSTITUTE(RumpfkraftResultat[[#This Row],[Eingabe]],",",".")*1),"")</f>
        <v/>
      </c>
      <c r="ABF37" s="96" t="e">
        <f>INT(RumpfkraftResultat[[#This Row],[Resultat]])=RumpfkraftResultat[[#This Row],[Resultat]]</f>
        <v>#VALUE!</v>
      </c>
      <c r="ABG37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7" s="96"/>
      <c r="ABI37" s="91" t="str" cm="1">
        <f t="array" aca="1" ref="ABI37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7" s="96" t="str">
        <f ca="1">REPLACE(ABI$4,ABJ$6,1,Geschlecht[[#This Row],[Geschlecht (Skala)]])</f>
        <v>Rumpfkraft_[Resultat]</v>
      </c>
      <c r="ABK37" s="97" t="str" cm="1">
        <f t="array" aca="1" ref="ABK37" ca="1">IF(INDIRECT(ABI$1)="","",IF(OR(INDIRECT(ABI$1)=$A$2,INDIRECT(ABI$1)=$A$3),$A$3,IFERROR(INDEX(INDIRECT(ABJ37),MATCH(INDIRECT(ABI$3),INDIRECT(ABJ37),ABJ$25)),IFERROR(IF(ABJ$25=-1,MAX(INDIRECT(ABJ37)),IF(ABJ$25=1,MIN(INDIRECT(ABJ37)))),""))))</f>
        <v/>
      </c>
      <c r="ABM37" s="91" t="str">
        <f ca="1">REPLACE(ABI$6,ABJ$6,1,Geschlecht[[#This Row],[Geschlecht (Skala)]])</f>
        <v>Rumpfkraft_[Note]</v>
      </c>
      <c r="ABN37" s="97" t="str" cm="1">
        <f t="array" aca="1" ref="ABN37" ca="1">IFERROR(INDEX(INDIRECT(ABM37),MATCH(INDIRECT(ABI$5),INDIRECT(ABJ37),0)),"")</f>
        <v/>
      </c>
      <c r="ABO37" s="97"/>
      <c r="ABP37" s="96" t="str">
        <f>SechzigmLaufResultat[[#This Row],[Resultat]]</f>
        <v/>
      </c>
      <c r="ABQ37" s="96"/>
      <c r="ABR37" s="97" t="str">
        <f ca="1">SechzigmLaufSkalawert[[#This Row],[Skala-Wert]]</f>
        <v/>
      </c>
      <c r="ABT37" s="97" t="str">
        <f ca="1">SechzigmLaufNote[[#This Row],[Note]]</f>
        <v/>
      </c>
      <c r="ABU37" s="97"/>
      <c r="ABV37" s="96" t="str">
        <f>AchtzigmLaufResultat[[#This Row],[Resultat]]</f>
        <v/>
      </c>
      <c r="ABW37" s="96"/>
      <c r="ABX37" s="97" t="str">
        <f ca="1">AchtzigmLaufSkalawert[[#This Row],[Skala-Wert]]</f>
        <v/>
      </c>
      <c r="ABZ37" s="97" t="str">
        <f ca="1">AchtzigmLaufNote[[#This Row],[Note]]</f>
        <v/>
      </c>
      <c r="ACA37" s="97"/>
      <c r="ACB37" s="307"/>
      <c r="ACC37" s="96" t="str">
        <f>IFERROR(IFERROR(SUBSTITUTE(KonditionsparcoursResultat[[#This Row],[Eingabe]],".",",")*1,SUBSTITUTE(KonditionsparcoursResultat[[#This Row],[Eingabe]],",",".")*1),"")</f>
        <v/>
      </c>
      <c r="ACD37" s="96" t="e">
        <f>INT(KonditionsparcoursResultat[[#This Row],[Resultat]])=KonditionsparcoursResultat[[#This Row],[Resultat]]</f>
        <v>#VALUE!</v>
      </c>
      <c r="ACE37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7" s="96"/>
      <c r="ACG37" s="91" t="str" cm="1">
        <f t="array" aca="1" ref="ACG37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7" s="96" t="str">
        <f ca="1">LEFT(Geschlecht[[#This Row],[Geschlecht (Skala)]],1)&amp;ACM$4</f>
        <v>2</v>
      </c>
      <c r="ACI37" s="96" t="str">
        <f t="shared" ca="1" si="133"/>
        <v>Konditionsparcours_2[Resultat]</v>
      </c>
      <c r="ACJ37" s="97" t="str" cm="1">
        <f t="array" aca="1" ref="ACJ37" ca="1">IF(INDIRECT(ACG$1)="","",IF(OR(INDIRECT(ACG$1)=$A$2,INDIRECT(ACG$1)=$A$3),$A$3,IFERROR(INDEX(INDIRECT(ACI37),MATCH(INDIRECT(ACG$3),INDIRECT(ACI37),ACI$25)),IFERROR(IF(ACI$25=-1,MAX(INDIRECT(ACI37)),IF(ACI$25=1,MIN(INDIRECT(ACI37)))),""))))</f>
        <v/>
      </c>
      <c r="ACL37" s="91" t="str">
        <f t="shared" ca="1" si="134"/>
        <v>Konditionsparcours_2[Note]</v>
      </c>
      <c r="ACM37" s="97" t="str" cm="1">
        <f t="array" aca="1" ref="ACM37" ca="1">IFERROR(INDEX(INDIRECT(ACL37),MATCH(INDIRECT(ACG$5),INDIRECT(ACI37),0)),"")</f>
        <v/>
      </c>
      <c r="ACN37" s="102"/>
    </row>
    <row r="38" spans="1:768">
      <c r="A38" s="305">
        <v>11</v>
      </c>
      <c r="B38" s="133"/>
      <c r="C38" s="133"/>
      <c r="E38" s="306"/>
      <c r="G38" s="307"/>
      <c r="H38" s="96" t="str">
        <f>IFERROR(IFERROR(SUBSTITUTE(SechzigmLaufResultat[[#This Row],[Eingabe]],".",",")*1,SUBSTITUTE(SechzigmLaufResultat[[#This Row],[Eingabe]],",",".")*1),"")</f>
        <v/>
      </c>
      <c r="I38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8" s="96"/>
      <c r="K38" s="91" t="str" cm="1">
        <f t="array" aca="1" ref="K38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8" s="96" t="str">
        <f ca="1">LEFT(Geschlecht[[#This Row],[Geschlecht (Skala)]],1)&amp;Q$4</f>
        <v>2</v>
      </c>
      <c r="M38" s="96" t="str">
        <f t="shared" ca="1" si="37"/>
        <v>SechzigmLauf_2[Resultat]</v>
      </c>
      <c r="N38" s="97" t="str" cm="1">
        <f t="array" aca="1" ref="N38" ca="1">IF(INDIRECT(K$1)="","",IF(INDIRECT(K$2)=0,0,IF(OR(INDIRECT(K$1)=$A$2,INDIRECT(K$1)=$A$3),$A$3,IFERROR(INDEX(INDIRECT(M38),MATCH(INDIRECT(K$3),INDIRECT(M38),M$25)),IFERROR(IF(M$25=-1,MAX(INDIRECT(M38)),IF(M$25=1,MIN(INDIRECT(M38)))),"")))))</f>
        <v/>
      </c>
      <c r="P38" s="91" t="str">
        <f t="shared" ca="1" si="38"/>
        <v>SechzigmLauf_2[Note]</v>
      </c>
      <c r="Q38" s="97" t="str" cm="1">
        <f t="array" aca="1" ref="Q38" ca="1">IFERROR(INDEX(INDIRECT(P38),MATCH(INDIRECT(K$5),INDIRECT(M38),0)),IF(INDIRECT(K$5)=0,1,""))</f>
        <v/>
      </c>
      <c r="R38" s="97"/>
      <c r="S38" s="307"/>
      <c r="T38" s="96" t="str">
        <f>IFERROR(IFERROR(SUBSTITUTE(AchtzigmLaufResultat[[#This Row],[Eingabe]],".",",")*1,SUBSTITUTE(AchtzigmLaufResultat[[#This Row],[Eingabe]],",",".")*1),"")</f>
        <v/>
      </c>
      <c r="U38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8" s="96"/>
      <c r="W38" s="91" t="str" cm="1">
        <f t="array" aca="1" ref="W38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8" s="96" t="str">
        <f ca="1">LEFT(Geschlecht[[#This Row],[Geschlecht (Skala)]],1)&amp;AC$4</f>
        <v>2</v>
      </c>
      <c r="Y38" s="96" t="str">
        <f t="shared" ca="1" si="39"/>
        <v>AchtzigmLauf_2[Resultat]</v>
      </c>
      <c r="Z38" s="97" t="str" cm="1">
        <f t="array" aca="1" ref="Z38" ca="1">IF(INDIRECT(W$1)="","",IF(INDIRECT(W$2)=0,0,IF(OR(INDIRECT(W$1)=$A$2,INDIRECT(W$1)=$A$3),$A$3,IFERROR(INDEX(INDIRECT(Y38),MATCH(INDIRECT(W$3),INDIRECT(Y38),Y$25)),IFERROR(IF(Y$25=-1,MAX(INDIRECT(Y38)),IF(Y$25=1,MIN(INDIRECT(Y38)))),"")))))</f>
        <v/>
      </c>
      <c r="AB38" s="91" t="str">
        <f t="shared" ca="1" si="40"/>
        <v>AchtzigmLauf_2[Note]</v>
      </c>
      <c r="AC38" s="97" t="str" cm="1">
        <f t="array" aca="1" ref="AC38" ca="1">IFERROR(INDEX(INDIRECT(AB38),MATCH(INDIRECT(W$5),INDIRECT(Y38),0)),IF(INDIRECT(W$5)=0,1,""))</f>
        <v/>
      </c>
      <c r="AD38" s="97"/>
      <c r="AE38" s="307"/>
      <c r="AF38" s="96" t="str">
        <f>IFERROR(IFERROR(SUBSTITUTE(ZwölfMinLaufHalleResultat[[#This Row],[Eingabe]],".",",")*1,SUBSTITUTE(ZwölfMinLaufHalleResultat[[#This Row],[Eingabe]],",",".")*1),"")</f>
        <v/>
      </c>
      <c r="AG38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8" s="96"/>
      <c r="AI38" s="91" t="str" cm="1">
        <f t="array" aca="1" ref="AI38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8" s="96" t="str">
        <f ca="1">LEFT(Geschlecht[[#This Row],[Geschlecht (Skala)]],1)&amp;AO$4</f>
        <v>2</v>
      </c>
      <c r="AK38" s="96" t="str">
        <f t="shared" ca="1" si="41"/>
        <v>ZwölfMinLaufHalle_2[Resultat]</v>
      </c>
      <c r="AL38" s="97" t="str" cm="1">
        <f t="array" aca="1" ref="AL38" ca="1">IF(INDIRECT(AI$1)="","",IF(INDIRECT(AI$2)=0,0,IF(OR(INDIRECT(AI$1)=$A$2,INDIRECT(AI$1)=$A$3),$A$3,IFERROR(INDEX(INDIRECT(AK38),MATCH(INDIRECT(AI$3),INDIRECT(AK38),AK$25)),IFERROR(IF(AK$25=-1,MAX(INDIRECT(AK38)),IF(AK$25=1,MIN(INDIRECT(AK38)))),"")))))</f>
        <v/>
      </c>
      <c r="AN38" s="91" t="str">
        <f t="shared" ca="1" si="42"/>
        <v>ZwölfMinLaufHalle_2[Note]</v>
      </c>
      <c r="AO38" s="97" t="str" cm="1">
        <f t="array" aca="1" ref="AO38" ca="1">IFERROR(INDEX(INDIRECT(AN38),MATCH(INDIRECT(AI$5),INDIRECT(AK38),0)),IF(INDIRECT(AI$5)=0,1,""))</f>
        <v/>
      </c>
      <c r="AP38" s="97"/>
      <c r="AQ38" s="307"/>
      <c r="AR38" s="96" t="str">
        <f>IFERROR(IFERROR(SUBSTITUTE(ZwölfMinLaufimFreienResultat[[#This Row],[Eingabe]],".",",")*1,SUBSTITUTE(ZwölfMinLaufimFreienResultat[[#This Row],[Eingabe]],",",".")*1),"")</f>
        <v/>
      </c>
      <c r="AS38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8" s="96"/>
      <c r="AU38" s="91" t="str" cm="1">
        <f t="array" aca="1" ref="AU38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8" s="96" t="str">
        <f ca="1">LEFT(Geschlecht[[#This Row],[Geschlecht (Skala)]],1)&amp;BA$4</f>
        <v>2</v>
      </c>
      <c r="AW38" s="96" t="str">
        <f t="shared" ca="1" si="43"/>
        <v>ZwölfMinLaufimFreien_2[Resultat]</v>
      </c>
      <c r="AX38" s="97" t="str" cm="1">
        <f t="array" aca="1" ref="AX38" ca="1">IF(INDIRECT(AU$1)="","",IF(INDIRECT(AU$2)=0,0,IF(OR(INDIRECT(AU$1)=$A$2,INDIRECT(AU$1)=$A$3),$A$3,IFERROR(INDEX(INDIRECT(AW38),MATCH(INDIRECT(AU$3),INDIRECT(AW38),AW$25)),IFERROR(IF(AW$25=-1,MAX(INDIRECT(AW38)),IF(AW$25=1,MIN(INDIRECT(AW38)))),"")))))</f>
        <v/>
      </c>
      <c r="AZ38" s="91" t="str">
        <f t="shared" ca="1" si="44"/>
        <v>ZwölfMinLaufimFreien_2[Note]</v>
      </c>
      <c r="BA38" s="97" t="str" cm="1">
        <f t="array" aca="1" ref="BA38" ca="1">IFERROR(INDEX(INDIRECT(AZ38),MATCH(INDIRECT(AU$5),INDIRECT(AW38),0)),IF(INDIRECT(AU$5)=0,1,""))</f>
        <v/>
      </c>
      <c r="BB38" s="97"/>
      <c r="BC38" s="307"/>
      <c r="BD38" s="96" t="str">
        <f>IFERROR(IFERROR(SUBSTITUTE(HochsprungResultat[[#This Row],[Eingabe]],".",",")*1,SUBSTITUTE(HochsprungResultat[[#This Row],[Eingabe]],",",".")*1),"")</f>
        <v/>
      </c>
      <c r="BE38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8" s="96"/>
      <c r="BG38" s="91" t="str" cm="1">
        <f t="array" aca="1" ref="BG38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8" s="96" t="str">
        <f ca="1">LEFT(Geschlecht[[#This Row],[Geschlecht (Skala)]],1)&amp;BM$4</f>
        <v>2</v>
      </c>
      <c r="BI38" s="96" t="str">
        <f t="shared" ca="1" si="45"/>
        <v>Hochsprung_2[Resultat]</v>
      </c>
      <c r="BJ38" s="97" t="str" cm="1">
        <f t="array" aca="1" ref="BJ38" ca="1">IF(INDIRECT(BG$1)="","",IF(INDIRECT(BG$2)=0,0,IF(OR(INDIRECT(BG$1)=$A$2,INDIRECT(BG$1)=$A$3),$A$3,IFERROR(INDEX(INDIRECT(BI38),MATCH(INDIRECT(BG$3),INDIRECT(BI38),BI$25)),IFERROR(IF(BI$25=-1,MAX(INDIRECT(BI38)),IF(BI$25=1,MIN(INDIRECT(BI38)))),"")))))</f>
        <v/>
      </c>
      <c r="BL38" s="91" t="str">
        <f t="shared" ca="1" si="46"/>
        <v>Hochsprung_2[Note]</v>
      </c>
      <c r="BM38" s="97" t="str" cm="1">
        <f t="array" aca="1" ref="BM38" ca="1">IFERROR(INDEX(INDIRECT(BL38),MATCH(INDIRECT(BG$5),INDIRECT(BI38),0)),IF(INDIRECT(BG$5)=0,1,""))</f>
        <v/>
      </c>
      <c r="BN38" s="97"/>
      <c r="BO38" s="307"/>
      <c r="BP38" s="96" t="str">
        <f>IFERROR(IFERROR(SUBSTITUTE(WeitsprungResultat[[#This Row],[Eingabe]],".",",")*1,SUBSTITUTE(WeitsprungResultat[[#This Row],[Eingabe]],",",".")*1),"")</f>
        <v/>
      </c>
      <c r="BQ38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8" s="96"/>
      <c r="BS38" s="91" t="str" cm="1">
        <f t="array" aca="1" ref="BS38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8" s="96" t="str">
        <f ca="1">LEFT(Geschlecht[[#This Row],[Geschlecht (Skala)]],1)&amp;BY$4</f>
        <v>2</v>
      </c>
      <c r="BU38" s="96" t="str">
        <f t="shared" ca="1" si="47"/>
        <v>Weitsprung_2[Resultat]</v>
      </c>
      <c r="BV38" s="97" t="str" cm="1">
        <f t="array" aca="1" ref="BV38" ca="1">IF(INDIRECT(BS$1)="","",IF(INDIRECT(BS$2)=0,0,IF(OR(INDIRECT(BS$1)=$A$2,INDIRECT(BS$1)=$A$3),$A$3,IFERROR(INDEX(INDIRECT(BU38),MATCH(INDIRECT(BS$3),INDIRECT(BU38),BU$25)),IFERROR(IF(BU$25=-1,MAX(INDIRECT(BU38)),IF(BU$25=1,MIN(INDIRECT(BU38)))),"")))))</f>
        <v/>
      </c>
      <c r="BX38" s="91" t="str">
        <f t="shared" ca="1" si="48"/>
        <v>Weitsprung_2[Note]</v>
      </c>
      <c r="BY38" s="97" t="str" cm="1">
        <f t="array" aca="1" ref="BY38" ca="1">IFERROR(INDEX(INDIRECT(BX38),MATCH(INDIRECT(BS$5),INDIRECT(BU38),0)),IF(INDIRECT(BS$5)=0,1,""))</f>
        <v/>
      </c>
      <c r="BZ38" s="97"/>
      <c r="CA38" s="307"/>
      <c r="CB38" s="96" t="str">
        <f>IFERROR(IFERROR(SUBSTITUTE(BallwurfResultat[[#This Row],[Eingabe]],".",",")*1,SUBSTITUTE(BallwurfResultat[[#This Row],[Eingabe]],",",".")*1),"")</f>
        <v/>
      </c>
      <c r="CC38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8" s="96"/>
      <c r="CE38" s="91" t="str" cm="1">
        <f t="array" aca="1" ref="CE38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8" s="96" t="str">
        <f ca="1">LEFT(Geschlecht[[#This Row],[Geschlecht (Skala)]],1)&amp;CK$4</f>
        <v>2</v>
      </c>
      <c r="CG38" s="96" t="str">
        <f t="shared" ca="1" si="49"/>
        <v>Ballwurf_2[Resultat]</v>
      </c>
      <c r="CH38" s="97" t="str" cm="1">
        <f t="array" aca="1" ref="CH38" ca="1">IF(INDIRECT(CE$1)="","",IF(INDIRECT(CE$2)=0,0,IF(OR(INDIRECT(CE$1)=$A$2,INDIRECT(CE$1)=$A$3),$A$3,IFERROR(INDEX(INDIRECT(CG38),MATCH(INDIRECT(CE$3),INDIRECT(CG38),CG$25)),IFERROR(IF(CG$25=-1,MAX(INDIRECT(CG38)),IF(CG$25=1,MIN(INDIRECT(CG38)))),"")))))</f>
        <v/>
      </c>
      <c r="CJ38" s="91" t="str">
        <f t="shared" ca="1" si="50"/>
        <v>Ballwurf_2[Note]</v>
      </c>
      <c r="CK38" s="97" t="str" cm="1">
        <f t="array" aca="1" ref="CK38" ca="1">IFERROR(INDEX(INDIRECT(CJ38),MATCH(INDIRECT(CE$5),INDIRECT(CG38),0)),IF(INDIRECT(CE$5)=0,1,""))</f>
        <v/>
      </c>
      <c r="CL38" s="97"/>
      <c r="CM38" s="307"/>
      <c r="CN38" s="96" t="str">
        <f>IFERROR(IFERROR(SUBSTITUTE(KugelstossenResultat[[#This Row],[Eingabe]],".",",")*1,SUBSTITUTE(KugelstossenResultat[[#This Row],[Eingabe]],",",".")*1),"")</f>
        <v/>
      </c>
      <c r="CO38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8" s="96"/>
      <c r="CQ38" s="91" t="str" cm="1">
        <f t="array" aca="1" ref="CQ38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8" s="96" t="str">
        <f ca="1">LEFT(Geschlecht[[#This Row],[Geschlecht (Skala)]],1)&amp;CW$4</f>
        <v>2</v>
      </c>
      <c r="CS38" s="96" t="str">
        <f t="shared" ca="1" si="51"/>
        <v>Kugelstossen_2[Resultat]</v>
      </c>
      <c r="CT38" s="97" t="str" cm="1">
        <f t="array" aca="1" ref="CT38" ca="1">IF(INDIRECT(CQ$1)="","",IF(INDIRECT(CQ$2)=0,0,IF(OR(INDIRECT(CQ$1)=$A$2,INDIRECT(CQ$1)=$A$3),$A$3,IFERROR(INDEX(INDIRECT(CS38),MATCH(INDIRECT(CQ$3),INDIRECT(CS38),CS$25)),IFERROR(IF(CS$25=-1,MAX(INDIRECT(CS38)),IF(CS$25=1,MIN(INDIRECT(CS38)))),"")))))</f>
        <v/>
      </c>
      <c r="CV38" s="91" t="str">
        <f t="shared" ca="1" si="52"/>
        <v>Kugelstossen_2[Note]</v>
      </c>
      <c r="CW38" s="97" t="str" cm="1">
        <f t="array" aca="1" ref="CW38" ca="1">IFERROR(INDEX(INDIRECT(CV38),MATCH(INDIRECT(CQ$5),INDIRECT(CS38),0)),IF(INDIRECT(CQ$5)=0,1,""))</f>
        <v/>
      </c>
      <c r="CX38" s="97"/>
      <c r="CY38" s="307"/>
      <c r="CZ38" s="96" t="str">
        <f>IFERROR(IFERROR(SUBSTITUTE(SpeerwurfResultat[[#This Row],[Eingabe]],".",",")*1,SUBSTITUTE(SpeerwurfResultat[[#This Row],[Eingabe]],",",".")*1),"")</f>
        <v/>
      </c>
      <c r="DA38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8" s="96"/>
      <c r="DC38" s="91" t="str" cm="1">
        <f t="array" aca="1" ref="DC38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8" s="96" t="str">
        <f ca="1">LEFT(Geschlecht[[#This Row],[Geschlecht (Skala)]],1)&amp;DI$4</f>
        <v>2</v>
      </c>
      <c r="DE38" s="96" t="str">
        <f t="shared" ca="1" si="53"/>
        <v>Speerwurf_2[Resultat]</v>
      </c>
      <c r="DF38" s="97" t="str" cm="1">
        <f t="array" aca="1" ref="DF38" ca="1">IF(INDIRECT(DC$1)="","",IF(INDIRECT(DC$2)=0,0,IF(OR(INDIRECT(DC$1)=$A$2,INDIRECT(DC$1)=$A$3),$A$3,IFERROR(INDEX(INDIRECT(DE38),MATCH(INDIRECT(DC$3),INDIRECT(DE38),DE$25)),IFERROR(IF(DE$25=-1,MAX(INDIRECT(DE38)),IF(DE$25=1,MIN(INDIRECT(DE38)))),"")))))</f>
        <v/>
      </c>
      <c r="DH38" s="91" t="str">
        <f t="shared" ca="1" si="54"/>
        <v>Speerwurf_2[Note]</v>
      </c>
      <c r="DI38" s="97" t="str" cm="1">
        <f t="array" aca="1" ref="DI38" ca="1">IFERROR(INDEX(INDIRECT(DH38),MATCH(INDIRECT(DC$5),INDIRECT(DE38),0)),IF(INDIRECT(DC$5)=0,1,""))</f>
        <v/>
      </c>
      <c r="DJ38" s="97"/>
      <c r="DK38" s="97" t="str" cm="1">
        <f t="array" aca="1" ref="DK38" ca="1">INDIRECT(DK$5)</f>
        <v/>
      </c>
      <c r="DL38" s="97" t="str" cm="1">
        <f t="array" aca="1" ref="DL38" ca="1">INDIRECT(DL$5)</f>
        <v/>
      </c>
      <c r="DM38" s="97" t="str" cm="1">
        <f t="array" aca="1" ref="DM38" ca="1">INDIRECT(DM$5)</f>
        <v/>
      </c>
      <c r="DN38" s="97" t="str" cm="1">
        <f t="array" aca="1" ref="DN38" ca="1">INDIRECT(DN$5)</f>
        <v/>
      </c>
      <c r="DO38" s="97" t="str">
        <f t="shared" ca="1" si="135"/>
        <v>Sprintdisziplinen nicht durchgeführt</v>
      </c>
      <c r="DP38" s="97" t="str">
        <f t="shared" ca="1" si="136"/>
        <v/>
      </c>
      <c r="DQ38" s="108">
        <f t="shared" ca="1" si="137"/>
        <v>0</v>
      </c>
      <c r="DR38" s="108">
        <f t="shared" ca="1" si="138"/>
        <v>0</v>
      </c>
      <c r="DS38" s="108" t="str">
        <f t="shared" ca="1" si="139"/>
        <v/>
      </c>
      <c r="DT38" s="97" t="str">
        <f t="shared" ca="1" si="140"/>
        <v>Sprintdisziplinen nicht durchgeführt</v>
      </c>
      <c r="DU38" s="97" t="str">
        <f t="shared" ca="1" si="141"/>
        <v/>
      </c>
      <c r="DV38" s="97" t="str" cm="1">
        <f t="array" aca="1" ref="DV38" ca="1">IFERROR(IF(INDIRECT(INDEX(INDIRECT(DV$5),MATCH(DT38,INDIRECT(DV$4),0)))&lt;&gt;"",INDEX(INDIRECT(DV$5),MATCH(DT38,INDIRECT(DV$4),0)),INDEX(INDIRECT(DV$6),MATCH(DT38,INDIRECT(DV$4),0))),"")</f>
        <v/>
      </c>
      <c r="DW38" s="97" t="str">
        <f t="shared" ca="1" si="142"/>
        <v/>
      </c>
      <c r="DX38" s="97" t="str" cm="1">
        <f t="array" aca="1" ref="DX38" ca="1">IFERROR(INDIRECT(DV38),IF(NOT(ISERROR(FIND(Stammdaten!$CC$3,DT38,1))),$A$2,""))</f>
        <v/>
      </c>
      <c r="DY38" s="97" t="str">
        <f ca="1">IF(DX38="","",IF(AND(DU38=Stammdaten!$BX$20,DW38="0",DX38=1),SUBSTITUTE(TEXT(DX38,DW38)&amp;" "&amp;LEFT(DU38,LEN(DU38)-1),".",","),SUBSTITUTE(TEXT(DX38,DW38)&amp;" "&amp;DU38,".",",")))</f>
        <v/>
      </c>
      <c r="DZ38" s="97" t="str">
        <f t="shared" ca="1" si="55"/>
        <v/>
      </c>
      <c r="EA38" s="97" t="str" cm="1">
        <f t="array" aca="1" ref="EA38" ca="1">IFERROR(LEFT(INDIRECT(DZ38),1)&amp;"]","")</f>
        <v/>
      </c>
      <c r="EB38" s="97" t="str">
        <f t="shared" ca="1" si="56"/>
        <v/>
      </c>
      <c r="EC38" s="97" t="str">
        <f ca="1">IFERROR(LEFT(DT38,FIND(Stammdaten!$CA$4,DT38,1)-2),IFERROR(LEFT(DT38,FIND(Stammdaten!$CC$3,DT38,1)-2),DT38))</f>
        <v>Sprintdisziplinen</v>
      </c>
      <c r="ED38" s="97" t="str">
        <f ca="1">IF(NOT(ISERROR(FIND(Stammdaten!$CA$4,DT38,1))),Stammdaten!$CA$4,IF(EE38&lt;&gt;Stammdaten!$CC$3,EB38,""))</f>
        <v>nicht durchgeführt</v>
      </c>
      <c r="EE38" s="91" t="str">
        <f ca="1">IF(DX38=$A$2,Stammdaten!$CC$3,DY38)</f>
        <v/>
      </c>
      <c r="EF38" s="97" t="str" cm="1">
        <f t="array" aca="1" ref="EF38" ca="1">INDIRECT(EF$5)</f>
        <v/>
      </c>
      <c r="EG38" s="97" t="str" cm="1">
        <f t="array" aca="1" ref="EG38" ca="1">INDIRECT(EG$5)</f>
        <v/>
      </c>
      <c r="EH38" s="97" t="str" cm="1">
        <f t="array" aca="1" ref="EH38" ca="1">INDIRECT(EH$5)</f>
        <v/>
      </c>
      <c r="EI38" s="97" t="str" cm="1">
        <f t="array" aca="1" ref="EI38" ca="1">INDIRECT(EI$5)</f>
        <v/>
      </c>
      <c r="EJ38" s="97" t="str">
        <f t="shared" ca="1" si="143"/>
        <v>Ausdauerdisziplinen nicht durchgeführt</v>
      </c>
      <c r="EK38" s="97" t="str">
        <f t="shared" ca="1" si="144"/>
        <v/>
      </c>
      <c r="EL38" s="108">
        <f t="shared" ca="1" si="145"/>
        <v>0</v>
      </c>
      <c r="EM38" s="108">
        <f t="shared" ca="1" si="146"/>
        <v>0</v>
      </c>
      <c r="EN38" s="108" t="str">
        <f t="shared" ca="1" si="147"/>
        <v/>
      </c>
      <c r="EO38" s="97" t="str">
        <f t="shared" ca="1" si="148"/>
        <v>Ausdauerdisziplinen nicht durchgeführt</v>
      </c>
      <c r="EP38" s="97" t="str">
        <f t="shared" ca="1" si="149"/>
        <v/>
      </c>
      <c r="EQ38" s="97" t="str" cm="1">
        <f t="array" aca="1" ref="EQ38" ca="1">IFERROR(IF(INDIRECT(INDEX(INDIRECT(EQ$5),MATCH(EO38,INDIRECT(EQ$4),0)))&lt;&gt;"",INDEX(INDIRECT(EQ$5),MATCH(EO38,INDIRECT(EQ$4),0)),INDEX(INDIRECT(EQ$6),MATCH(EO38,INDIRECT(EQ$4),0))),"")</f>
        <v/>
      </c>
      <c r="ER38" s="97" t="str">
        <f t="shared" ca="1" si="150"/>
        <v/>
      </c>
      <c r="ES38" s="97" t="str" cm="1">
        <f t="array" aca="1" ref="ES38" ca="1">IFERROR(INDIRECT(EQ38),IF(NOT(ISERROR(FIND(Stammdaten!$CC$3,EO38,1))),$A$2,""))</f>
        <v/>
      </c>
      <c r="ET38" s="97" t="str">
        <f ca="1">IF(ES38="","",IF(AND(EP38=Stammdaten!$BX$20,ER38="0",ES38=1),SUBSTITUTE(TEXT(ES38,ER38)&amp;" "&amp;LEFT(EP38,LEN(EP38)-1),".",","),SUBSTITUTE(TEXT(ES38,ER38)&amp;" "&amp;EP38,".",",")))</f>
        <v/>
      </c>
      <c r="EU38" s="97" t="str">
        <f t="shared" ca="1" si="57"/>
        <v/>
      </c>
      <c r="EV38" s="97" t="str" cm="1">
        <f t="array" aca="1" ref="EV38" ca="1">IFERROR(LEFT(INDIRECT(EU38),1)&amp;"]","")</f>
        <v/>
      </c>
      <c r="EW38" s="97" t="str">
        <f t="shared" ca="1" si="58"/>
        <v/>
      </c>
      <c r="EX38" s="97" t="str">
        <f ca="1">IFERROR(LEFT(EO38,FIND(Stammdaten!$CA$4,EO38,1)-2),IFERROR(LEFT(EO38,FIND(Stammdaten!$CC$3,EO38,1)-2),EO38))</f>
        <v>Ausdauerdisziplinen</v>
      </c>
      <c r="EY38" s="97" t="str">
        <f ca="1">IF(NOT(ISERROR(FIND(Stammdaten!$CA$4,EO38,1))),Stammdaten!$CA$4,IF(EZ38&lt;&gt;Stammdaten!$CC$3,EW38,""))</f>
        <v>nicht durchgeführt</v>
      </c>
      <c r="EZ38" s="91" t="str">
        <f ca="1">IF(ES38=$A$2,Stammdaten!$CC$3,ET38)</f>
        <v/>
      </c>
      <c r="FA38" s="97" t="str" cm="1">
        <f t="array" aca="1" ref="FA38" ca="1">INDIRECT(FA$5)</f>
        <v/>
      </c>
      <c r="FB38" s="97" t="str" cm="1">
        <f t="array" aca="1" ref="FB38" ca="1">INDIRECT(FB$5)</f>
        <v/>
      </c>
      <c r="FC38" s="97" t="str" cm="1">
        <f t="array" aca="1" ref="FC38" ca="1">INDIRECT(FC$5)</f>
        <v/>
      </c>
      <c r="FD38" s="97" t="str" cm="1">
        <f t="array" aca="1" ref="FD38" ca="1">INDIRECT(FD$5)</f>
        <v/>
      </c>
      <c r="FE38" s="97" t="str">
        <f t="shared" ca="1" si="151"/>
        <v>Sprungdisziplinen nicht durchgeführt</v>
      </c>
      <c r="FF38" s="97" t="str">
        <f t="shared" ca="1" si="152"/>
        <v/>
      </c>
      <c r="FG38" s="108">
        <f t="shared" ca="1" si="153"/>
        <v>0</v>
      </c>
      <c r="FH38" s="108">
        <f t="shared" ca="1" si="154"/>
        <v>0</v>
      </c>
      <c r="FI38" s="108" t="str">
        <f t="shared" ca="1" si="155"/>
        <v/>
      </c>
      <c r="FJ38" s="97" t="str">
        <f t="shared" ca="1" si="156"/>
        <v>Sprungdisziplinen nicht durchgeführt</v>
      </c>
      <c r="FK38" s="97" t="str">
        <f t="shared" ca="1" si="157"/>
        <v/>
      </c>
      <c r="FL38" s="97" t="str" cm="1">
        <f t="array" aca="1" ref="FL38" ca="1">IFERROR(IF(INDIRECT(INDEX(INDIRECT(FL$5),MATCH(FJ38,INDIRECT(FL$4),0)))&lt;&gt;"",INDEX(INDIRECT(FL$5),MATCH(FJ38,INDIRECT(FL$4),0)),INDEX(INDIRECT(FL$6),MATCH(FJ38,INDIRECT(FL$4),0))),"")</f>
        <v/>
      </c>
      <c r="FM38" s="97" t="str">
        <f t="shared" ca="1" si="158"/>
        <v/>
      </c>
      <c r="FN38" s="97" t="str" cm="1">
        <f t="array" aca="1" ref="FN38" ca="1">IFERROR(INDIRECT(FL38),IF(NOT(ISERROR(FIND(Stammdaten!$CC$3,FJ38,1))),$A$2,""))</f>
        <v/>
      </c>
      <c r="FO38" s="97" t="str">
        <f ca="1">IF(FN38="","",IF(AND(FK38=Stammdaten!$BX$20,FM38="0",FN38=1),SUBSTITUTE(TEXT(FN38,FM38)&amp;" "&amp;LEFT(FK38,LEN(FK38)-1),".",","),SUBSTITUTE(TEXT(FN38,FM38)&amp;" "&amp;FK38,".",",")))</f>
        <v/>
      </c>
      <c r="FP38" s="97" t="str">
        <f t="shared" ca="1" si="59"/>
        <v/>
      </c>
      <c r="FQ38" s="97" t="str" cm="1">
        <f t="array" aca="1" ref="FQ38" ca="1">IFERROR(LEFT(INDIRECT(FP38),1)&amp;"]","")</f>
        <v/>
      </c>
      <c r="FR38" s="97" t="str">
        <f t="shared" ca="1" si="60"/>
        <v/>
      </c>
      <c r="FS38" s="97" t="str">
        <f ca="1">IFERROR(LEFT(FJ38,FIND(Stammdaten!$CA$4,FJ38,1)-2),IFERROR(LEFT(FJ38,FIND(Stammdaten!$CC$3,FJ38,1)-2),FJ38))</f>
        <v>Sprungdisziplinen</v>
      </c>
      <c r="FT38" s="97" t="str">
        <f ca="1">IF(NOT(ISERROR(FIND(Stammdaten!$CA$4,FJ38,1))),Stammdaten!$CA$4,IF(FU38&lt;&gt;Stammdaten!$CC$3,FR38,""))</f>
        <v>nicht durchgeführt</v>
      </c>
      <c r="FU38" s="91" t="str">
        <f ca="1">IF(FN38=$A$2,Stammdaten!$CC$3,FO38)</f>
        <v/>
      </c>
      <c r="FV38" s="97" t="str" cm="1">
        <f t="array" aca="1" ref="FV38" ca="1">INDIRECT(FV$5)</f>
        <v/>
      </c>
      <c r="FW38" s="97" t="str" cm="1">
        <f t="array" aca="1" ref="FW38" ca="1">INDIRECT(FW$5)</f>
        <v/>
      </c>
      <c r="FX38" s="97" t="str" cm="1">
        <f t="array" aca="1" ref="FX38" ca="1">INDIRECT(FX$5)</f>
        <v/>
      </c>
      <c r="FY38" s="97" t="str" cm="1">
        <f t="array" aca="1" ref="FY38" ca="1">INDIRECT(FY$5)</f>
        <v/>
      </c>
      <c r="FZ38" s="97" t="str" cm="1">
        <f t="array" aca="1" ref="FZ38" ca="1">INDIRECT(FZ$5)</f>
        <v/>
      </c>
      <c r="GA38" s="97" t="str" cm="1">
        <f t="array" aca="1" ref="GA38" ca="1">INDIRECT(GA$5)</f>
        <v/>
      </c>
      <c r="GB38" s="97" t="str">
        <f t="shared" ca="1" si="159"/>
        <v>Wurfdisziplinen nicht durchgeführt</v>
      </c>
      <c r="GC38" s="97" t="str">
        <f t="shared" ca="1" si="160"/>
        <v/>
      </c>
      <c r="GD38" s="108">
        <f t="shared" ca="1" si="161"/>
        <v>0</v>
      </c>
      <c r="GE38" s="108">
        <f t="shared" ca="1" si="162"/>
        <v>0</v>
      </c>
      <c r="GF38" s="108" t="str">
        <f t="shared" ca="1" si="163"/>
        <v/>
      </c>
      <c r="GG38" s="97" t="str">
        <f t="shared" ca="1" si="164"/>
        <v>Wurfdisziplinen nicht durchgeführt</v>
      </c>
      <c r="GH38" s="97" t="str">
        <f t="shared" ca="1" si="165"/>
        <v/>
      </c>
      <c r="GI38" s="97" t="str" cm="1">
        <f t="array" aca="1" ref="GI38" ca="1">IFERROR(IF(INDIRECT(INDEX(INDIRECT(GI$5),MATCH(GG38,INDIRECT(GI$4),0)))&lt;&gt;"",INDEX(INDIRECT(GI$5),MATCH(GG38,INDIRECT(GI$4),0)),INDEX(INDIRECT(GI$6),MATCH(GG38,INDIRECT(GI$4),0))),"")</f>
        <v/>
      </c>
      <c r="GJ38" s="97" t="str">
        <f t="shared" ca="1" si="166"/>
        <v/>
      </c>
      <c r="GK38" s="97" t="str" cm="1">
        <f t="array" aca="1" ref="GK38" ca="1">IFERROR(INDIRECT(GI38),IF(NOT(ISERROR(FIND(Stammdaten!$CC$3,GG38,1))),$A$2,""))</f>
        <v/>
      </c>
      <c r="GL38" s="97" t="str">
        <f ca="1">IF(GK38="","",IF(AND(GH38=Stammdaten!$BX$20,GJ38="0",GK38=1),SUBSTITUTE(TEXT(GK38,GJ38)&amp;" "&amp;LEFT(GH38,LEN(GH38)-1),".",","),SUBSTITUTE(TEXT(GK38,GJ38)&amp;" "&amp;GH38,".",",")))</f>
        <v/>
      </c>
      <c r="GM38" s="97" t="str">
        <f t="shared" ca="1" si="61"/>
        <v/>
      </c>
      <c r="GN38" s="97" t="str" cm="1">
        <f t="array" aca="1" ref="GN38" ca="1">IFERROR(LEFT(INDIRECT(GM38),1)&amp;"]","")</f>
        <v/>
      </c>
      <c r="GO38" s="97" t="str">
        <f t="shared" ca="1" si="62"/>
        <v/>
      </c>
      <c r="GP38" s="97" t="str">
        <f ca="1">IFERROR(LEFT(GG38,FIND(Stammdaten!$CA$4,GG38,1)-2),IFERROR(LEFT(GG38,FIND(Stammdaten!$CC$3,GG38,1)-2),GG38))</f>
        <v>Wurfdisziplinen</v>
      </c>
      <c r="GQ38" s="97" t="str">
        <f ca="1">IF(NOT(ISERROR(FIND(Stammdaten!$CA$4,GG38,1))),Stammdaten!$CA$4,IF(GR38&lt;&gt;Stammdaten!$CC$3,GO38,""))</f>
        <v>nicht durchgeführt</v>
      </c>
      <c r="GR38" s="91" t="str">
        <f ca="1">IF(GK38=$A$2,Stammdaten!$CC$3,GL38)</f>
        <v/>
      </c>
      <c r="GS38" s="97" t="str">
        <f t="shared" ca="1" si="63"/>
        <v/>
      </c>
      <c r="GT38" s="97" t="str">
        <f t="shared" ca="1" si="64"/>
        <v/>
      </c>
      <c r="GU38" s="97" t="str">
        <f t="shared" ca="1" si="65"/>
        <v/>
      </c>
      <c r="GV38" s="97" t="str">
        <f t="shared" ca="1" si="66"/>
        <v/>
      </c>
      <c r="GW38" s="97">
        <f t="shared" ca="1" si="167"/>
        <v>0</v>
      </c>
      <c r="GX38" s="108">
        <f t="shared" ca="1" si="168"/>
        <v>0</v>
      </c>
      <c r="GY38" s="108">
        <f t="shared" ca="1" si="169"/>
        <v>0</v>
      </c>
      <c r="GZ38" s="108" t="str">
        <f t="shared" ca="1" si="170"/>
        <v/>
      </c>
      <c r="HA38" s="97" t="str">
        <f ca="1">IF(GZ38="",Stammdaten!$BZ$1,IF(AND(GX38=0,GY38&gt;=GZ$25),$A$3,ROUND(SUM(GW38/GZ38)/HA$25,0)*HA$25))</f>
        <v>Zu wenige Werte</v>
      </c>
      <c r="HB38" s="108">
        <f t="shared" ca="1" si="171"/>
        <v>6</v>
      </c>
      <c r="HC38" s="97" t="str">
        <f t="shared" ca="1" si="172"/>
        <v/>
      </c>
      <c r="HD38" s="97" t="str">
        <f t="shared" ca="1" si="173"/>
        <v/>
      </c>
      <c r="HE38" s="97" t="str">
        <f t="shared" ca="1" si="174"/>
        <v/>
      </c>
      <c r="HF38" s="97" t="str">
        <f t="shared" ca="1" si="175"/>
        <v/>
      </c>
      <c r="HG38" s="97" t="str">
        <f t="shared" ca="1" si="176"/>
        <v/>
      </c>
      <c r="HH38" s="97" t="str">
        <f t="shared" ca="1" si="177"/>
        <v>g</v>
      </c>
      <c r="HI38" s="97" t="str">
        <f t="shared" ca="1" si="178"/>
        <v/>
      </c>
      <c r="HJ38" s="97">
        <f t="shared" ca="1" si="179"/>
        <v>1</v>
      </c>
      <c r="HK38" s="97" t="str">
        <f ca="1">IF(OR(Geschlecht[[#This Row],[Geschlecht (Skala)]]="",NOT(ISNUMBER(GZ38))),"",HJ38)</f>
        <v/>
      </c>
      <c r="HL38" s="97" t="str">
        <f t="shared" ca="1" si="180"/>
        <v/>
      </c>
      <c r="HM38" s="97"/>
      <c r="HN38" s="308" t="str">
        <f t="shared" ca="1" si="68"/>
        <v>Zu wenige Werte</v>
      </c>
      <c r="HO38" s="97"/>
      <c r="HP38" s="307"/>
      <c r="HQ38" s="96" t="str">
        <f>IFERROR(IFERROR(SUBSTITUTE(ReckResultat[[#This Row],[Eingabe]],".",",")*1,SUBSTITUTE(ReckResultat[[#This Row],[Eingabe]],",",".")*1),"")</f>
        <v/>
      </c>
      <c r="HR38" s="96" t="e">
        <f>INT(ReckResultat[[#This Row],[Resultat]])=ReckResultat[[#This Row],[Resultat]]</f>
        <v>#VALUE!</v>
      </c>
      <c r="HS38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8" s="96"/>
      <c r="HX38" s="97"/>
      <c r="HY38" s="307"/>
      <c r="HZ38" s="96" t="str">
        <f>IFERROR(IFERROR(SUBSTITUTE(BodenResultat[[#This Row],[Eingabe]],".",",")*1,SUBSTITUTE(BodenResultat[[#This Row],[Eingabe]],",",".")*1),"")</f>
        <v/>
      </c>
      <c r="IA38" s="96" t="e">
        <f>INT(BodenResultat[[#This Row],[Resultat]])=BodenResultat[[#This Row],[Resultat]]</f>
        <v>#VALUE!</v>
      </c>
      <c r="IB38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8" s="96"/>
      <c r="IG38" s="97"/>
      <c r="IH38" s="307"/>
      <c r="II38" s="96" t="str">
        <f>IFERROR(IFERROR(SUBSTITUTE(StufenbarrenResultat[[#This Row],[Eingabe]],".",",")*1,SUBSTITUTE(StufenbarrenResultat[[#This Row],[Eingabe]],",",".")*1),"")</f>
        <v/>
      </c>
      <c r="IJ38" s="96" t="e">
        <f>INT(StufenbarrenResultat[[#This Row],[Resultat]])=StufenbarrenResultat[[#This Row],[Resultat]]</f>
        <v>#VALUE!</v>
      </c>
      <c r="IK38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8" s="96"/>
      <c r="IP38" s="97"/>
      <c r="IQ38" s="307"/>
      <c r="IR38" s="96" t="str">
        <f>IFERROR(IFERROR(SUBSTITUTE(ParallelbarrenResultat[[#This Row],[Eingabe]],".",",")*1,SUBSTITUTE(ParallelbarrenResultat[[#This Row],[Eingabe]],",",".")*1),"")</f>
        <v/>
      </c>
      <c r="IS38" s="96" t="e">
        <f>INT(ParallelbarrenResultat[[#This Row],[Resultat]])=ParallelbarrenResultat[[#This Row],[Resultat]]</f>
        <v>#VALUE!</v>
      </c>
      <c r="IT38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8" s="96"/>
      <c r="IY38" s="97"/>
      <c r="IZ38" s="307"/>
      <c r="JA38" s="96" t="str">
        <f>IFERROR(IFERROR(SUBSTITUTE(SchaukelringeResultat[[#This Row],[Eingabe]],".",",")*1,SUBSTITUTE(SchaukelringeResultat[[#This Row],[Eingabe]],",",".")*1),"")</f>
        <v/>
      </c>
      <c r="JB38" s="96" t="e">
        <f>INT(SchaukelringeResultat[[#This Row],[Resultat]])=SchaukelringeResultat[[#This Row],[Resultat]]</f>
        <v>#VALUE!</v>
      </c>
      <c r="JC38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8" s="96"/>
      <c r="JH38" s="97"/>
      <c r="JI38" s="307"/>
      <c r="JJ38" s="96" t="str">
        <f>IFERROR(IFERROR(SUBSTITUTE(SprungResultat[[#This Row],[Eingabe]],".",",")*1,SUBSTITUTE(SprungResultat[[#This Row],[Eingabe]],",",".")*1),"")</f>
        <v/>
      </c>
      <c r="JK38" s="96" t="e">
        <f>INT(SprungResultat[[#This Row],[Resultat]])=SprungResultat[[#This Row],[Resultat]]</f>
        <v>#VALUE!</v>
      </c>
      <c r="JL38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8" s="96"/>
      <c r="JQ38" s="97"/>
      <c r="JR38" s="309" t="str" cm="1">
        <f t="array" aca="1" ref="JR38" ca="1">IF(AND(ISNUMBER(INDIRECT(JR$3)),INDIRECT(JR$3)&gt;0),INDIRECT(JR$3),"")</f>
        <v/>
      </c>
      <c r="JS38" s="309" t="str" cm="1">
        <f t="array" aca="1" ref="JS38" ca="1">IF(AND(ISNUMBER(INDIRECT(JS$3)),INDIRECT(JS$3)&gt;0),INDIRECT(JS$3),"")</f>
        <v/>
      </c>
      <c r="JT38" s="309" t="str" cm="1">
        <f t="array" aca="1" ref="JT38" ca="1">IF(AND(ISNUMBER(INDIRECT(JT$3)),INDIRECT(JT$3)&gt;0),INDIRECT(JT$3),"")</f>
        <v/>
      </c>
      <c r="JU38" s="309" t="str" cm="1">
        <f t="array" aca="1" ref="JU38" ca="1">IF(AND(ISNUMBER(INDIRECT(JU$3)),INDIRECT(JU$3)&gt;0),INDIRECT(JU$3),"")</f>
        <v/>
      </c>
      <c r="JV38" s="309" t="str" cm="1">
        <f t="array" aca="1" ref="JV38" ca="1">IF(AND(ISNUMBER(INDIRECT(JV$3)),INDIRECT(JV$3)&gt;0),INDIRECT(JV$3),"")</f>
        <v/>
      </c>
      <c r="JW38" s="309" t="str" cm="1">
        <f t="array" aca="1" ref="JW38" ca="1">IF(AND(ISNUMBER(INDIRECT(JW$3)),INDIRECT(JW$3)&gt;0),INDIRECT(JW$3),"")</f>
        <v/>
      </c>
      <c r="JX38" s="309" t="str">
        <f t="shared" ca="1" si="69"/>
        <v>x</v>
      </c>
      <c r="JY38" s="309" t="str">
        <f t="shared" ca="1" si="70"/>
        <v>y</v>
      </c>
      <c r="JZ38" s="309" t="str">
        <f t="shared" ca="1" si="71"/>
        <v>z</v>
      </c>
      <c r="KA38" s="309" t="str">
        <f t="shared" ca="1" si="181"/>
        <v>a</v>
      </c>
      <c r="KB38" s="309" t="str" cm="1">
        <f t="array" aca="1" ref="KB38" ca="1">IF(KA38="a","",INDEX($JR$23:$JW$23,,MATCH(KA38,$JR38:$JW38,0)))</f>
        <v/>
      </c>
      <c r="KC38" s="309" t="str" cm="1">
        <f t="array" aca="1" ref="KC38" ca="1">IF(OR(KB38="",KB38&gt;=$JW$23),"",INDEX(INDIRECT(ADDRESS(ROW($JR$23),KB38+1)):$JW$23,,MATCH(KA38,INDIRECT(ADDRESS(ROW(),KB38+1)):$JW38,0)))</f>
        <v/>
      </c>
      <c r="KD38" s="309" t="str" cm="1">
        <f t="array" aca="1" ref="KD38" ca="1">IF(OR(KC38="",KC38&gt;=$JW$23),"",INDEX(INDIRECT(ADDRESS(ROW($JR$23),KC38+1)):$JW$23,,MATCH(KA38,INDIRECT(ADDRESS(ROW(),KC38+1)):$JW38,0)))</f>
        <v/>
      </c>
      <c r="KE38" s="309" t="str">
        <f t="shared" ca="1" si="182"/>
        <v>c</v>
      </c>
      <c r="KF38" s="309" t="str" cm="1">
        <f t="array" aca="1" ref="KF38" ca="1">IF(OR(KE38="b",KE38="c"),"",INDEX($JR$23:$JW$23,,MATCH(KE38,$JR38:$JW38,0)))</f>
        <v/>
      </c>
      <c r="KG38" s="309" t="str" cm="1">
        <f t="array" aca="1" ref="KG38" ca="1">IF(OR(KF38="",KF38&gt;=$JW$23),"",INDEX(INDIRECT(ADDRESS(ROW($JR$23),KF38+1)):$JW$23,,MATCH(KE38,INDIRECT(ADDRESS(ROW(),KF38+1)):$JW38,0)))</f>
        <v/>
      </c>
      <c r="KH38" s="309" t="str">
        <f t="shared" ca="1" si="72"/>
        <v/>
      </c>
      <c r="KI38" s="309" t="str">
        <f t="shared" ca="1" si="183"/>
        <v>e</v>
      </c>
      <c r="KJ38" s="309" t="str">
        <f t="shared" ca="1" si="73"/>
        <v/>
      </c>
      <c r="KK38" s="309" t="str" cm="1">
        <f t="array" aca="1" ref="KK38" ca="1">IF(OR(KI38="d",KI38="e"),"",INDEX($JR$23:$JW$23,,MATCH(KI38,$JR38:$JW38,0)))</f>
        <v/>
      </c>
      <c r="KL38" s="309" t="str" cm="1">
        <f t="array" aca="1" ref="KL38" ca="1">IF(OR(KK38="",KK38&gt;=$JW$23),"",INDEX(INDIRECT(ADDRESS(ROW($JR$23),KK38+1)):$JW$23,,MATCH(KI38,INDIRECT(ADDRESS(ROW(),KK38+1)):$JW38,0)))</f>
        <v/>
      </c>
      <c r="KM38" s="309" t="str" cm="1">
        <f t="array" aca="1" ref="KM38" ca="1">IFERROR(IF(ISNUMBER(KB38),KB38,IF(ISNUMBER(KF38),KF38,IF(ISNUMBER(KJ38),KJ38,INDEX($JR$23:$JW$23,,MATCH(JX38,$JR38:$JW38,0))))),"x1")</f>
        <v>x1</v>
      </c>
      <c r="KN38" s="309" t="str" cm="1">
        <f t="array" aca="1" ref="KN38" ca="1">IFERROR(IF(ISNUMBER(KC38),KC38,IF(ISNUMBER(KG38),KG38,IF(ISNUMBER(KK38),KK38,INDEX($JR$23:$JW$23,,MATCH(JY38,$JR38:$JW38,0))))),IF(KM38="x1","x2","x1"))</f>
        <v>x2</v>
      </c>
      <c r="KO38" s="309" t="str" cm="1">
        <f t="array" aca="1" ref="KO38" ca="1">IFERROR(IF(ISNUMBER(KD38),KD38,IF(ISNUMBER(KH38),KH38,IF(ISNUMBER(KL38),KL38,INDEX($JR$23:$JW$23,,MATCH(JZ38,$JR38:$JW38,0))))),IF(KN38="x1","x2",IF(KN38="x2","x3","x1")))</f>
        <v>x3</v>
      </c>
      <c r="KP38" s="97" t="str" cm="1">
        <f t="array" aca="1" ref="KP38" ca="1">IF(OR(INDIRECT(KP$3)=$A$2,INDIRECT(KP$3)=$A$3),COLUMN(),"")</f>
        <v/>
      </c>
      <c r="KQ38" s="97" t="str" cm="1">
        <f t="array" aca="1" ref="KQ38" ca="1">IF(OR(INDIRECT(KQ$3)=$A$2,INDIRECT(KQ$3)=$A$3),COLUMN(),"")</f>
        <v/>
      </c>
      <c r="KR38" s="97" t="str" cm="1">
        <f t="array" aca="1" ref="KR38" ca="1">IF(OR(INDIRECT(KR$3)=$A$2,INDIRECT(KR$3)=$A$3),COLUMN(),"")</f>
        <v/>
      </c>
      <c r="KS38" s="97" t="str" cm="1">
        <f t="array" aca="1" ref="KS38" ca="1">IF(OR(INDIRECT(KS$3)=$A$2,INDIRECT(KS$3)=$A$3),COLUMN(),"")</f>
        <v/>
      </c>
      <c r="KT38" s="97" t="str" cm="1">
        <f t="array" aca="1" ref="KT38" ca="1">IF(OR(INDIRECT(KT$3)=$A$2,INDIRECT(KT$3)=$A$3),COLUMN(),"")</f>
        <v/>
      </c>
      <c r="KU38" s="97" t="str" cm="1">
        <f t="array" aca="1" ref="KU38" ca="1">IF(OR(INDIRECT(KU$3)=$A$2,INDIRECT(KU$3)=$A$3),COLUMN(),"")</f>
        <v/>
      </c>
      <c r="KV38" s="97" t="str" cm="1">
        <f t="array" aca="1" ref="KV38" ca="1">IF(AND(ISNUMBER(INDIRECT(KV$3)),INDIRECT(KV$3)=0),COLUMN(),"")</f>
        <v/>
      </c>
      <c r="KW38" s="97" t="str" cm="1">
        <f t="array" aca="1" ref="KW38" ca="1">IF(AND(ISNUMBER(INDIRECT(KW$3)),INDIRECT(KW$3)=0),COLUMN(),"")</f>
        <v/>
      </c>
      <c r="KX38" s="97" t="str" cm="1">
        <f t="array" aca="1" ref="KX38" ca="1">IF(AND(ISNUMBER(INDIRECT(KX$3)),INDIRECT(KX$3)=0),COLUMN(),"")</f>
        <v/>
      </c>
      <c r="KY38" s="97" t="str" cm="1">
        <f t="array" aca="1" ref="KY38" ca="1">IF(AND(ISNUMBER(INDIRECT(KY$3)),INDIRECT(KY$3)=0),COLUMN(),"")</f>
        <v/>
      </c>
      <c r="KZ38" s="97" t="str" cm="1">
        <f t="array" aca="1" ref="KZ38" ca="1">IF(AND(ISNUMBER(INDIRECT(KZ$3)),INDIRECT(KZ$3)=0),COLUMN(),"")</f>
        <v/>
      </c>
      <c r="LA38" s="97" t="str" cm="1">
        <f t="array" aca="1" ref="LA38" ca="1">IF(AND(ISNUMBER(INDIRECT(LA$3)),INDIRECT(LA$3)=0),COLUMN(),"")</f>
        <v/>
      </c>
      <c r="LB38" s="97" t="str">
        <f t="shared" ca="1" si="184"/>
        <v>x1</v>
      </c>
      <c r="LC38" s="97" t="str">
        <f t="shared" ca="1" si="185"/>
        <v>x2</v>
      </c>
      <c r="LD38" s="97" t="str">
        <f t="shared" ca="1" si="186"/>
        <v>x3</v>
      </c>
      <c r="LE38" s="97" t="str">
        <f ca="1">IFERROR(IF(ISNUMBER(LB38),LB38,SMALL($KV38:$LA38,VALUE(RIGHT(LB38,1)))),Stammdaten!$CA$17)</f>
        <v>Erstes Gerät nicht durchgeführt</v>
      </c>
      <c r="LF38" s="97" t="str">
        <f ca="1">IFERROR(IF(ISNUMBER(LC38),LC38,SMALL($KV38:$LA38,VALUE(RIGHT(LC38,1)))),Stammdaten!$CA$18)</f>
        <v>Zweites Gerät nicht durchgeführt</v>
      </c>
      <c r="LG38" s="97" t="str">
        <f ca="1">IFERROR(IF(ISNUMBER(LD38),LD38,SMALL($KV38:$LA38,VALUE(RIGHT(LD38,1)))),Stammdaten!$CA$19)</f>
        <v>Drittes Gerät nicht durchgeführt</v>
      </c>
      <c r="LH38" s="91" t="str" cm="1">
        <f t="array" aca="1" ref="LH38" ca="1">IFERROR(INDIRECT(ADDRESS(ROW($JR$5),LE38)),LE38)</f>
        <v>Erstes Gerät nicht durchgeführt</v>
      </c>
      <c r="LI38" s="97" t="str">
        <f t="shared" ca="1" si="187"/>
        <v/>
      </c>
      <c r="LJ38" s="97" t="str" cm="1">
        <f t="array" aca="1" ref="LJ38" ca="1">IFERROR(IF(INDIRECT(INDEX(INDIRECT(LJ$5),MATCH(LH38,INDIRECT(LJ$4),0)))&lt;&gt;"",INDEX(INDIRECT(LJ$5),MATCH(LH38,INDIRECT(LJ$4),0)),INDEX(INDIRECT(LJ$6),MATCH(LH38,INDIRECT(LJ$4),0))),"")</f>
        <v/>
      </c>
      <c r="LK38" s="97" t="str">
        <f t="shared" ca="1" si="188"/>
        <v/>
      </c>
      <c r="LL38" s="97" t="str" cm="1">
        <f t="array" aca="1" ref="LL38" ca="1">IFERROR(INDIRECT(LJ38),"")</f>
        <v/>
      </c>
      <c r="LM38" s="97" t="str">
        <f ca="1">IF(LL38="","",IF(AND(LI38=Stammdaten!$BX$20,LK38="0",LL38=1),SUBSTITUTE(TEXT(LL38,LK38)&amp;" "&amp;LEFT(LI38,LEN(LI38)-1),".",","),SUBSTITUTE(TEXT(LL38,LK38)&amp;" "&amp;LI38,".",",")))</f>
        <v/>
      </c>
      <c r="LN38" s="97" t="str">
        <f t="shared" ca="1" si="74"/>
        <v/>
      </c>
      <c r="LO38" s="97" t="str" cm="1">
        <f t="array" aca="1" ref="LO38" ca="1">IFERROR(LEFT(INDIRECT(LN38),1)&amp;"]","")</f>
        <v/>
      </c>
      <c r="LP38" s="97" t="str">
        <f t="shared" ca="1" si="75"/>
        <v/>
      </c>
      <c r="LQ38" s="97" t="str">
        <f ca="1">IFERROR(LEFT(LH38,FIND(Stammdaten!$CA$4,LH38,1)-2),IFERROR(LEFT(LH38,FIND(Stammdaten!$CC$3,LH38,1)-2),LH38))</f>
        <v>Erstes Gerät</v>
      </c>
      <c r="LR38" s="97" t="str">
        <f ca="1">IF(NOT(ISERROR(FIND(Stammdaten!$CA$4,LH38,1))),Stammdaten!$CA$4,IF(LS38&lt;&gt;Stammdaten!$CC$3,LP38,""))</f>
        <v>nicht durchgeführt</v>
      </c>
      <c r="LS38" s="91" t="str">
        <f ca="1">IF(LL38=$A$2,Stammdaten!$CC$3,LM38)</f>
        <v/>
      </c>
      <c r="LT38" s="91" t="str" cm="1">
        <f t="array" aca="1" ref="LT38" ca="1">IFERROR(INDIRECT(ADDRESS(ROW($JR$5),LF38)),LF38)</f>
        <v>Zweites Gerät nicht durchgeführt</v>
      </c>
      <c r="LU38" s="97" t="str">
        <f t="shared" ca="1" si="189"/>
        <v/>
      </c>
      <c r="LV38" s="97" t="str" cm="1">
        <f t="array" aca="1" ref="LV38" ca="1">IFERROR(IF(INDIRECT(INDEX(INDIRECT(LV$5),MATCH(LT38,INDIRECT(LV$4),0)))&lt;&gt;"",INDEX(INDIRECT(LV$5),MATCH(LT38,INDIRECT(LV$4),0)),INDEX(INDIRECT(LV$6),MATCH(LT38,INDIRECT(LV$4),0))),"")</f>
        <v/>
      </c>
      <c r="LW38" s="97" t="str">
        <f t="shared" ca="1" si="190"/>
        <v/>
      </c>
      <c r="LX38" s="97" t="str" cm="1">
        <f t="array" aca="1" ref="LX38" ca="1">IFERROR(INDIRECT(LV38),"")</f>
        <v/>
      </c>
      <c r="LY38" s="97" t="str">
        <f ca="1">IF(LX38="","",IF(AND(LU38=Stammdaten!$BX$20,LW38="0",LX38=1),SUBSTITUTE(TEXT(LX38,LW38)&amp;" "&amp;LEFT(LU38,LEN(LU38)-1),".",","),SUBSTITUTE(TEXT(LX38,LW38)&amp;" "&amp;LU38,".",",")))</f>
        <v/>
      </c>
      <c r="LZ38" s="97" t="str">
        <f t="shared" ca="1" si="76"/>
        <v/>
      </c>
      <c r="MA38" s="97" t="str" cm="1">
        <f t="array" aca="1" ref="MA38" ca="1">IFERROR(LEFT(INDIRECT(LZ38),1)&amp;"]","")</f>
        <v/>
      </c>
      <c r="MB38" s="97" t="str">
        <f t="shared" ca="1" si="77"/>
        <v/>
      </c>
      <c r="MC38" s="97" t="str">
        <f ca="1">IFERROR(LEFT(LT38,FIND(Stammdaten!$CA$4,LT38,1)-2),IFERROR(LEFT(LT38,FIND(Stammdaten!$CC$3,LT38,1)-2),LT38))</f>
        <v>Zweites Gerät</v>
      </c>
      <c r="MD38" s="97" t="str">
        <f ca="1">IF(NOT(ISERROR(FIND(Stammdaten!$CA$4,LT38,1))),Stammdaten!$CA$4,IF(ME38&lt;&gt;Stammdaten!$CC$3,MB38,""))</f>
        <v>nicht durchgeführt</v>
      </c>
      <c r="ME38" s="91" t="str">
        <f ca="1">IF(LX38=$A$2,Stammdaten!$CC$3,LY38)</f>
        <v/>
      </c>
      <c r="MF38" s="91" t="str" cm="1">
        <f t="array" aca="1" ref="MF38" ca="1">IFERROR(INDIRECT(ADDRESS(ROW($JR$5),LG38)),LG38)</f>
        <v>Drittes Gerät nicht durchgeführt</v>
      </c>
      <c r="MG38" s="97" t="str">
        <f t="shared" ca="1" si="191"/>
        <v/>
      </c>
      <c r="MH38" s="97" t="str" cm="1">
        <f t="array" aca="1" ref="MH38" ca="1">IFERROR(IF(INDIRECT(INDEX(INDIRECT(MH$5),MATCH(MF38,INDIRECT(MH$4),0)))&lt;&gt;"",INDEX(INDIRECT(MH$5),MATCH(MF38,INDIRECT(MH$4),0)),INDEX(INDIRECT(MH$6),MATCH(MF38,INDIRECT(MH$4),0))),"")</f>
        <v/>
      </c>
      <c r="MI38" s="97" t="str">
        <f t="shared" ca="1" si="192"/>
        <v/>
      </c>
      <c r="MJ38" s="97" t="str" cm="1">
        <f t="array" aca="1" ref="MJ38" ca="1">IFERROR(INDIRECT(MH38),"")</f>
        <v/>
      </c>
      <c r="MK38" s="97" t="str">
        <f ca="1">IF(MJ38="","",IF(AND(MG38=Stammdaten!$BX$20,MI38="0",MJ38=1),SUBSTITUTE(TEXT(MJ38,MI38)&amp;" "&amp;LEFT(MG38,LEN(MG38)-1),".",","),SUBSTITUTE(TEXT(MJ38,MI38)&amp;" "&amp;MG38,".",",")))</f>
        <v/>
      </c>
      <c r="ML38" s="97" t="str">
        <f t="shared" ca="1" si="78"/>
        <v/>
      </c>
      <c r="MM38" s="97" t="str" cm="1">
        <f t="array" aca="1" ref="MM38" ca="1">IFERROR(LEFT(INDIRECT(ML38),1)&amp;"]","")</f>
        <v/>
      </c>
      <c r="MN38" s="97" t="str">
        <f t="shared" ca="1" si="79"/>
        <v/>
      </c>
      <c r="MO38" s="97" t="str">
        <f ca="1">IFERROR(LEFT(MF38,FIND(Stammdaten!$CA$4,MF38,1)-2),IFERROR(LEFT(MF38,FIND(Stammdaten!$CC$3,MF38,1)-2),MF38))</f>
        <v>Drittes Gerät</v>
      </c>
      <c r="MP38" s="97" t="str">
        <f ca="1">IF(NOT(ISERROR(FIND(Stammdaten!$CA$4,MF38,1))),Stammdaten!$CA$4,IF(MQ38&lt;&gt;Stammdaten!$CC$3,MN38,""))</f>
        <v>nicht durchgeführt</v>
      </c>
      <c r="MQ38" s="91" t="str">
        <f ca="1">IF(MJ38=$A$2,Stammdaten!$CC$3,MK38)</f>
        <v/>
      </c>
      <c r="MR38" s="97">
        <f t="shared" ca="1" si="80"/>
        <v>0</v>
      </c>
      <c r="MS38" s="108">
        <f t="shared" ca="1" si="193"/>
        <v>0</v>
      </c>
      <c r="MT38" s="108">
        <f t="shared" ca="1" si="194"/>
        <v>0</v>
      </c>
      <c r="MU38" s="108">
        <f t="shared" ca="1" si="195"/>
        <v>0</v>
      </c>
      <c r="MV38" s="108" t="str">
        <f t="shared" ca="1" si="196"/>
        <v/>
      </c>
      <c r="MW38" s="97" t="str">
        <f ca="1">IF(MV38="",Stammdaten!$BZ$1,IF(AND(MS38+MT38=0,MU38&gt;=MV$25),$A$3,MR38))</f>
        <v>Zu wenige Werte</v>
      </c>
      <c r="MX38" s="97"/>
      <c r="MY38" s="91" t="str">
        <f t="shared" ca="1" si="81"/>
        <v/>
      </c>
      <c r="MZ38" s="96" t="str">
        <f>LEFT(Geschlecht[[#This Row],[Geschlecht (Skala)]],1)&amp;$MZ$27</f>
        <v>2</v>
      </c>
      <c r="NA38" s="96" t="str">
        <f t="shared" ca="1" si="82"/>
        <v>Geräteturnen_2[Resultat]</v>
      </c>
      <c r="NB38" s="97" t="str" cm="1">
        <f t="array" aca="1" ref="NB38" ca="1">IF(OR($MW38="",$MW38=Stammdaten!$BZ$1),"",IF($MW38=0,0,IF(OR($MW38=$A$2,$MW38=$A$3),$A$3,IFERROR(INDEX(INDIRECT(NA38),MATCH(INDIRECT(MY$3),INDIRECT(NA38),NA$25)),IFERROR(IF(NA$25=-1,MAX(INDIRECT(NA38)),IF(NA$25=1,MIN(INDIRECT(NA38)))),"")))))</f>
        <v/>
      </c>
      <c r="ND38" s="91" t="str">
        <f t="shared" ca="1" si="83"/>
        <v>Geräteturnen_2[Note]</v>
      </c>
      <c r="NE38" s="97" t="str" cm="1">
        <f t="array" aca="1" ref="NE38" ca="1">IFERROR(INDEX(INDIRECT(ND38),MATCH(INDIRECT(MY$5),INDIRECT(NA38),0)),IF(INDIRECT(MY$5)=0,1,""))</f>
        <v/>
      </c>
      <c r="NF38" s="97"/>
      <c r="NG38" s="307"/>
      <c r="NH38" s="96" t="str">
        <f>IFERROR(IFERROR(SUBSTITUTE(ParkourResultat[[#This Row],[Eingabe]],".",",")*1,SUBSTITUTE(ParkourResultat[[#This Row],[Eingabe]],",",".")*1),"")</f>
        <v/>
      </c>
      <c r="NI38" s="96" t="e">
        <f>INT(ParkourResultat[[#This Row],[Resultat]])=ParkourResultat[[#This Row],[Resultat]]</f>
        <v>#VALUE!</v>
      </c>
      <c r="NJ38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8" s="96"/>
      <c r="NL38" s="91" t="str" cm="1">
        <f t="array" aca="1" ref="NL38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8" s="96" t="str">
        <f ca="1">LEFT(Geschlecht[[#This Row],[Geschlecht (Skala)]],1)&amp;NR$4</f>
        <v>2</v>
      </c>
      <c r="NN38" s="96" t="str">
        <f t="shared" ca="1" si="84"/>
        <v>Parkour_2[Resultat]</v>
      </c>
      <c r="NO38" s="97" t="str" cm="1">
        <f t="array" aca="1" ref="NO38" ca="1">IF(INDIRECT(NL$1)="","",IF(INDIRECT(NL$2)=0,0,IF(OR(INDIRECT(NL$1)=$A$2,INDIRECT(NL$1)=$A$3),$A$3,IFERROR(INDEX(INDIRECT(NN38),MATCH(INDIRECT(NL$3),INDIRECT(NN38),NN$25)),IFERROR(IF(NN$25=-1,MAX(INDIRECT(NN38)),IF(NN$25=1,MIN(INDIRECT(NN38)))),"")))))</f>
        <v/>
      </c>
      <c r="NQ38" s="91" t="str">
        <f t="shared" ca="1" si="85"/>
        <v>Parkour_2[Note]</v>
      </c>
      <c r="NR38" s="97" t="str" cm="1">
        <f t="array" aca="1" ref="NR38" ca="1">IFERROR(INDEX(INDIRECT(NQ38),MATCH(INDIRECT(NL$5),INDIRECT(NN38),0)),IF(INDIRECT(NL$5)=0,1,""))</f>
        <v/>
      </c>
      <c r="NS38" s="97"/>
      <c r="NT38" s="97" t="str" cm="1">
        <f t="array" aca="1" ref="NT38" ca="1">INDIRECT(NT$5)</f>
        <v/>
      </c>
      <c r="NU38" s="97" t="str" cm="1">
        <f t="array" aca="1" ref="NU38" ca="1">INDIRECT(NU$5)</f>
        <v/>
      </c>
      <c r="NV38" s="97" t="str" cm="1">
        <f t="array" aca="1" ref="NV38" ca="1">INDIRECT(NV$5)</f>
        <v/>
      </c>
      <c r="NW38" s="97" t="str" cm="1">
        <f t="array" aca="1" ref="NW38" ca="1">INDIRECT(NW$5)</f>
        <v/>
      </c>
      <c r="NX38" s="97" t="str">
        <f t="shared" ca="1" si="86"/>
        <v>Parkour nicht durchgeführt</v>
      </c>
      <c r="NY38" s="97" t="str">
        <f t="shared" ca="1" si="197"/>
        <v/>
      </c>
      <c r="NZ38" s="97" t="str" cm="1">
        <f t="array" aca="1" ref="NZ38" ca="1">IFERROR(IF(INDIRECT(INDEX(INDIRECT(NZ$5),MATCH(NX38,INDIRECT(NZ$4),0)))&lt;&gt;"",INDEX(INDIRECT(NZ$5),MATCH(NX38,INDIRECT(NZ$4),0)),INDEX(INDIRECT(NZ$6),MATCH(NX38,INDIRECT(NZ$4),0))),"")</f>
        <v/>
      </c>
      <c r="OA38" s="97" t="str">
        <f t="shared" ca="1" si="198"/>
        <v/>
      </c>
      <c r="OB38" s="97" t="str" cm="1">
        <f t="array" aca="1" ref="OB38" ca="1">IFERROR(INDIRECT(NZ38),IF(NOT(ISERROR(FIND(Stammdaten!$CC$3,NX38,1))),$A$2,""))</f>
        <v/>
      </c>
      <c r="OC38" s="97" t="str">
        <f ca="1">IF(OB38="","",IF(AND(NY38=Stammdaten!$BX$20,OA38="0",OB38=1),SUBSTITUTE(TEXT(OB38,OA38)&amp;" "&amp;LEFT(NY38,LEN(NY38)-1),".",","),SUBSTITUTE(TEXT(OB38,OA38)&amp;" "&amp;NY38,".",",")))</f>
        <v/>
      </c>
      <c r="OD38" s="97" t="str">
        <f t="shared" ca="1" si="87"/>
        <v/>
      </c>
      <c r="OE38" s="97" t="str" cm="1">
        <f t="array" aca="1" ref="OE38" ca="1">IFERROR(LEFT(INDIRECT(OD38),1)&amp;"]","")</f>
        <v/>
      </c>
      <c r="OF38" s="97" t="str">
        <f t="shared" ca="1" si="88"/>
        <v/>
      </c>
      <c r="OG38" s="97" t="str">
        <f ca="1">IFERROR(LEFT(NX38,FIND(Stammdaten!$CA$4,NX38,1)-2),IFERROR(LEFT(NX38,FIND(Stammdaten!$CC$3,NX38,1)-2),NX38))</f>
        <v>Parkour</v>
      </c>
      <c r="OH38" s="97" t="str">
        <f ca="1">IF(NOT(ISERROR(FIND(Stammdaten!$CA$4,NX38,1))),Stammdaten!$CA$4,IF(OI38&lt;&gt;Stammdaten!$CC$3,OF38,""))</f>
        <v>nicht durchgeführt</v>
      </c>
      <c r="OI38" s="91" t="str">
        <f ca="1">IF(OB38=$A$2,Stammdaten!$CC$3,OC38)</f>
        <v/>
      </c>
      <c r="OJ38" s="97" t="str">
        <f t="shared" ca="1" si="89"/>
        <v/>
      </c>
      <c r="OK38" s="97" t="str">
        <f t="shared" ca="1" si="90"/>
        <v/>
      </c>
      <c r="OL38" s="97">
        <f t="shared" ca="1" si="199"/>
        <v>0</v>
      </c>
      <c r="OM38" s="108">
        <f t="shared" ca="1" si="91"/>
        <v>0</v>
      </c>
      <c r="ON38" s="108">
        <f t="shared" ca="1" si="92"/>
        <v>0</v>
      </c>
      <c r="OO38" s="108" t="str">
        <f t="shared" ca="1" si="200"/>
        <v/>
      </c>
      <c r="OP38" s="97" t="str">
        <f ca="1">IF(OO38="",Stammdaten!$BZ$1,IF(AND(OM38=0,ON38&gt;=OO$25),$A$3,ROUND(SUM(OL38/OO38)/OP$25,0)*OP$25))</f>
        <v>Zu wenige Werte</v>
      </c>
      <c r="OQ38" s="108">
        <f t="shared" ca="1" si="201"/>
        <v>6</v>
      </c>
      <c r="OR38" s="97" t="str">
        <f t="shared" ca="1" si="202"/>
        <v/>
      </c>
      <c r="OS38" s="97" t="str">
        <f t="shared" ca="1" si="203"/>
        <v/>
      </c>
      <c r="OT38" s="97" t="str">
        <f t="shared" ca="1" si="204"/>
        <v/>
      </c>
      <c r="OU38" s="97" t="str">
        <f t="shared" ca="1" si="205"/>
        <v>g</v>
      </c>
      <c r="OV38" s="97" t="str">
        <f t="shared" ca="1" si="206"/>
        <v/>
      </c>
      <c r="OW38" s="97">
        <f t="shared" ca="1" si="207"/>
        <v>1</v>
      </c>
      <c r="OX38" s="97" t="str">
        <f ca="1">IF(OR(Geschlecht[[#This Row],[Geschlecht (Skala)]]="",NOT(ISNUMBER(OO38))),"",OW38)</f>
        <v/>
      </c>
      <c r="OY38" s="97" t="str">
        <f t="shared" ca="1" si="208"/>
        <v/>
      </c>
      <c r="OZ38" s="97"/>
      <c r="PA38" s="308" t="str">
        <f t="shared" ca="1" si="209"/>
        <v>Zu wenige Werte</v>
      </c>
      <c r="PB38" s="97"/>
      <c r="PC38" s="307"/>
      <c r="PD38" s="96" t="str">
        <f>IFERROR(IFERROR(SUBSTITUTE(TanzenResultat[[#This Row],[Eingabe]],".",",")*1,SUBSTITUTE(TanzenResultat[[#This Row],[Eingabe]],",",".")*1),"")</f>
        <v/>
      </c>
      <c r="PE38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8" s="96"/>
      <c r="PG38" s="91" t="str" cm="1">
        <f t="array" aca="1" ref="PG38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8" s="96" t="str">
        <f ca="1">LEFT(Geschlecht[[#This Row],[Geschlecht (Skala)]],1)&amp;PM$4</f>
        <v>2</v>
      </c>
      <c r="PI38" s="96" t="str">
        <f t="shared" ca="1" si="93"/>
        <v>Tanzen_2[Resultat]</v>
      </c>
      <c r="PJ38" s="97" t="str" cm="1">
        <f t="array" aca="1" ref="PJ38" ca="1">IF(INDIRECT(PG$1)="","",IF(INDIRECT(PG$2)=0,0,IF(OR(INDIRECT(PG$1)=$A$2,INDIRECT(PG$1)=$A$3),$A$3,IFERROR(INDEX(INDIRECT(PI38),MATCH(INDIRECT(PG$3),INDIRECT(PI38),PI$25)),IFERROR(IF(PI$25=-1,MAX(INDIRECT(PI38)),IF(PI$25=1,MIN(INDIRECT(PI38)))),"")))))</f>
        <v/>
      </c>
      <c r="PL38" s="91" t="str">
        <f t="shared" ca="1" si="94"/>
        <v>Tanzen_2[Note]</v>
      </c>
      <c r="PM38" s="97" t="str" cm="1">
        <f t="array" aca="1" ref="PM38" ca="1">IFERROR(INDEX(INDIRECT(PL38),MATCH(INDIRECT(PG$5),INDIRECT(PI38),0)),IF(INDIRECT(PG$5)=0,1,""))</f>
        <v/>
      </c>
      <c r="PN38" s="97"/>
      <c r="PO38" s="307"/>
      <c r="PP38" s="96" t="str">
        <f>IFERROR(IFERROR(SUBSTITUTE(RopeSkippingResultat[[#This Row],[Eingabe]],".",",")*1,SUBSTITUTE(RopeSkippingResultat[[#This Row],[Eingabe]],",",".")*1),"")</f>
        <v/>
      </c>
      <c r="PQ38" s="96" t="e">
        <f>INT(RopeSkippingResultat[[#This Row],[Resultat]])=RopeSkippingResultat[[#This Row],[Resultat]]</f>
        <v>#VALUE!</v>
      </c>
      <c r="PR38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8" s="96"/>
      <c r="PT38" s="91" t="str" cm="1">
        <f t="array" aca="1" ref="PT38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8" s="96" t="str">
        <f ca="1">LEFT(Geschlecht[[#This Row],[Geschlecht (Skala)]],1)&amp;PZ$4</f>
        <v>2</v>
      </c>
      <c r="PV38" s="96" t="str">
        <f t="shared" ca="1" si="95"/>
        <v>RopeSkipping_2[Resultat]</v>
      </c>
      <c r="PW38" s="97" t="str" cm="1">
        <f t="array" aca="1" ref="PW38" ca="1">IF(INDIRECT(PT$1)="","",IF(INDIRECT(PT$2)=0,0,IF(OR(INDIRECT(PT$1)=$A$2,INDIRECT(PT$1)=$A$3),$A$3,IFERROR(INDEX(INDIRECT(PV38),MATCH(INDIRECT(PT$3),INDIRECT(PV38),PV$25)),IFERROR(IF(PV$25=-1,MAX(INDIRECT(PV38)),IF(PV$25=1,MIN(INDIRECT(PV38)))),"")))))</f>
        <v/>
      </c>
      <c r="PY38" s="91" t="str">
        <f t="shared" ca="1" si="96"/>
        <v>RopeSkipping_2[Note]</v>
      </c>
      <c r="PZ38" s="97" t="str" cm="1">
        <f t="array" aca="1" ref="PZ38" ca="1">IFERROR(INDEX(INDIRECT(PY38),MATCH(INDIRECT(PT$5),INDIRECT(PV38),0)),IF(INDIRECT(PT$5)=0,1,""))</f>
        <v/>
      </c>
      <c r="QA38" s="97"/>
      <c r="QB38" s="307"/>
      <c r="QC38" s="96" t="str">
        <f>IFERROR(IFERROR(SUBSTITUTE(AerobicResultat[[#This Row],[Eingabe]],".",",")*1,SUBSTITUTE(AerobicResultat[[#This Row],[Eingabe]],",",".")*1),"")</f>
        <v/>
      </c>
      <c r="QD38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8" s="96"/>
      <c r="QF38" s="91" t="str" cm="1">
        <f t="array" aca="1" ref="QF38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8" s="96" t="str">
        <f ca="1">LEFT(Geschlecht[[#This Row],[Geschlecht (Skala)]],1)&amp;QL$4</f>
        <v>2</v>
      </c>
      <c r="QH38" s="96" t="str">
        <f t="shared" ca="1" si="97"/>
        <v>Aerobic_2[Resultat]</v>
      </c>
      <c r="QI38" s="97" t="str" cm="1">
        <f t="array" aca="1" ref="QI38" ca="1">IF(INDIRECT(QF$1)="","",IF(INDIRECT(QF$2)=0,0,IF(OR(INDIRECT(QF$1)=$A$2,INDIRECT(QF$1)=$A$3),$A$3,IFERROR(INDEX(INDIRECT(QH38),MATCH(INDIRECT(QF$3),INDIRECT(QH38),QH$25)),IFERROR(IF(QH$25=-1,MAX(INDIRECT(QH38)),IF(QH$25=1,MIN(INDIRECT(QH38)))),"")))))</f>
        <v/>
      </c>
      <c r="QK38" s="91" t="str">
        <f t="shared" ca="1" si="98"/>
        <v>Aerobic_2[Note]</v>
      </c>
      <c r="QL38" s="97" t="str" cm="1">
        <f t="array" aca="1" ref="QL38" ca="1">IFERROR(INDEX(INDIRECT(QK38),MATCH(INDIRECT(QF$5),INDIRECT(QH38),0)),IF(INDIRECT(QF$5)=0,1,""))</f>
        <v/>
      </c>
      <c r="QM38" s="97"/>
      <c r="QN38" s="97" t="str" cm="1">
        <f t="array" aca="1" ref="QN38" ca="1">INDIRECT(QN$5)</f>
        <v/>
      </c>
      <c r="QO38" s="97" t="str" cm="1">
        <f t="array" aca="1" ref="QO38" ca="1">INDIRECT(QO$5)</f>
        <v/>
      </c>
      <c r="QP38" s="97" t="str" cm="1">
        <f t="array" aca="1" ref="QP38" ca="1">INDIRECT(QP$5)</f>
        <v/>
      </c>
      <c r="QQ38" s="97" t="str" cm="1">
        <f t="array" aca="1" ref="QQ38" ca="1">INDIRECT(QQ$5)</f>
        <v/>
      </c>
      <c r="QR38" s="97" t="str" cm="1">
        <f t="array" aca="1" ref="QR38" ca="1">INDIRECT(QR$5)</f>
        <v/>
      </c>
      <c r="QS38" s="97" t="str" cm="1">
        <f t="array" aca="1" ref="QS38" ca="1">INDIRECT(QS$5)</f>
        <v/>
      </c>
      <c r="QT38" s="97" t="str">
        <f t="shared" ca="1" si="99"/>
        <v>Darstellen und Tanzen nicht durchgeführt</v>
      </c>
      <c r="QU38" s="108">
        <f t="shared" ca="1" si="100"/>
        <v>0</v>
      </c>
      <c r="QV38" s="108">
        <f t="shared" ca="1" si="101"/>
        <v>0</v>
      </c>
      <c r="QW38" s="108" t="str">
        <f t="shared" ca="1" si="210"/>
        <v/>
      </c>
      <c r="QX38" s="97" t="str">
        <f t="shared" ca="1" si="211"/>
        <v>Darstellen und Tanzen nicht durchgeführt</v>
      </c>
      <c r="QY38" s="97" t="str">
        <f t="shared" ca="1" si="212"/>
        <v/>
      </c>
      <c r="QZ38" s="97" t="str" cm="1">
        <f t="array" aca="1" ref="QZ38" ca="1">IFERROR(IF(INDIRECT(INDEX(INDIRECT(QZ$5),MATCH(QX38,INDIRECT(QZ$4),0)))&lt;&gt;"",INDEX(INDIRECT(QZ$5),MATCH(QX38,INDIRECT(QZ$4),0)),INDEX(INDIRECT(QZ$6),MATCH(QX38,INDIRECT(QZ$4),0))),"")</f>
        <v/>
      </c>
      <c r="RA38" s="97" t="str">
        <f t="shared" ca="1" si="213"/>
        <v/>
      </c>
      <c r="RB38" s="97" t="str" cm="1">
        <f t="array" aca="1" ref="RB38" ca="1">IFERROR(INDIRECT(QZ38),IF(NOT(ISERROR(FIND(Stammdaten!$CC$3,QX38,1))),$A$2,""))</f>
        <v/>
      </c>
      <c r="RC38" s="97" t="str">
        <f ca="1">IF(RB38="","",IF(AND(QY38=Stammdaten!$BX$20,RA38="0",RB38=1),SUBSTITUTE(TEXT(RB38,RA38)&amp;" "&amp;LEFT(QY38,LEN(QY38)-1),".",","),SUBSTITUTE(TEXT(RB38,RA38)&amp;" "&amp;QY38,".",",")))</f>
        <v/>
      </c>
      <c r="RD38" s="97" t="str">
        <f t="shared" ca="1" si="102"/>
        <v/>
      </c>
      <c r="RE38" s="97" t="str" cm="1">
        <f t="array" aca="1" ref="RE38" ca="1">IFERROR(LEFT(INDIRECT(RD38),1)&amp;"]","")</f>
        <v/>
      </c>
      <c r="RF38" s="97" t="str">
        <f t="shared" ca="1" si="103"/>
        <v/>
      </c>
      <c r="RG38" s="97" t="str">
        <f ca="1">IFERROR(LEFT(QX38,FIND(Stammdaten!$CA$4,QX38,1)-2),IFERROR(LEFT(QX38,FIND(Stammdaten!$CC$3,QX38,1)-2),QX38))</f>
        <v>Darstellen und Tanzen</v>
      </c>
      <c r="RH38" s="97" t="str">
        <f ca="1">IF(NOT(ISERROR(FIND(Stammdaten!$CA$4,QX38,1))),Stammdaten!$CA$4,IF(RI38&lt;&gt;Stammdaten!$CC$3,RF38,""))</f>
        <v>nicht durchgeführt</v>
      </c>
      <c r="RI38" s="91" t="str">
        <f ca="1">IF(RB38=$A$2,Stammdaten!$CC$3,RC38)</f>
        <v/>
      </c>
      <c r="RJ38" s="108">
        <f t="shared" ca="1" si="214"/>
        <v>6</v>
      </c>
      <c r="RK38" s="97"/>
      <c r="RL38" s="308" t="str">
        <f ca="1">IF(QT38=$QT$4,Stammdaten!$BZ$1,IF(QT38=$QT$5,$A$3,QT38))</f>
        <v>Zu wenige Werte</v>
      </c>
      <c r="RM38" s="97"/>
      <c r="RN38" s="307"/>
      <c r="RO38" s="96" t="str">
        <f>IFERROR(IFERROR(SUBSTITUTE(BasketballResultat[[#This Row],[Eingabe]],".",",")*1,SUBSTITUTE(BasketballResultat[[#This Row],[Eingabe]],",",".")*1),"")</f>
        <v/>
      </c>
      <c r="RP38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8" s="96"/>
      <c r="RR38" s="91" t="str" cm="1">
        <f t="array" aca="1" ref="RR38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8" s="96" t="str">
        <f ca="1">LEFT(Geschlecht[[#This Row],[Geschlecht (Skala)]],1)&amp;RX$4</f>
        <v>2</v>
      </c>
      <c r="RT38" s="96" t="str">
        <f t="shared" ca="1" si="104"/>
        <v>Basketball_2[Resultat]</v>
      </c>
      <c r="RU38" s="97" t="str" cm="1">
        <f t="array" aca="1" ref="RU38" ca="1">IF(INDIRECT(RR$1)="","",IF(INDIRECT(RR$2)=0,0,IF(OR(INDIRECT(RR$1)=$A$2,INDIRECT(RR$1)=$A$3),$A$3,IFERROR(INDEX(INDIRECT(RT38),MATCH(INDIRECT(RR$3),INDIRECT(RT38),RT$25)),IFERROR(IF(RT$25=-1,MAX(INDIRECT(RT38)),IF(RT$25=1,MIN(INDIRECT(RT38)))),"")))))</f>
        <v/>
      </c>
      <c r="RW38" s="91" t="str">
        <f t="shared" ca="1" si="105"/>
        <v>Basketball_2[Note]</v>
      </c>
      <c r="RX38" s="97" t="str" cm="1">
        <f t="array" aca="1" ref="RX38" ca="1">IFERROR(INDEX(INDIRECT(RW38),MATCH(INDIRECT(RR$5),INDIRECT(RT38),0)),IF(INDIRECT(RR$5)=0,1,""))</f>
        <v/>
      </c>
      <c r="RY38" s="97"/>
      <c r="RZ38" s="307"/>
      <c r="SA38" s="96" t="str">
        <f>IFERROR(IFERROR(SUBSTITUTE(FussballResultat[[#This Row],[Eingabe]],".",",")*1,SUBSTITUTE(FussballResultat[[#This Row],[Eingabe]],",",".")*1),"")</f>
        <v/>
      </c>
      <c r="SB38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8" s="96"/>
      <c r="SD38" s="316" t="str" cm="1">
        <f t="array" aca="1" ref="SD38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8" s="96" t="str">
        <f ca="1">LEFT(Geschlecht[[#This Row],[Geschlecht (Skala)]],1)&amp;SJ$4</f>
        <v>2</v>
      </c>
      <c r="SF38" s="96" t="str">
        <f t="shared" ca="1" si="106"/>
        <v>Fussball_2[Resultat]</v>
      </c>
      <c r="SG38" s="97" t="str" cm="1">
        <f t="array" aca="1" ref="SG38" ca="1">IF(INDIRECT(SD$1)="","",IF(INDIRECT(SD$2)=0,0,IF(OR(INDIRECT(SD$1)=$A$2,INDIRECT(SD$1)=$A$3),$A$3,IFERROR(INDEX(INDIRECT(SF38),MATCH(INDIRECT(SD$3),INDIRECT(SF38),SF$25)),IFERROR(IF(SF$25=-1,MAX(INDIRECT(SF38)),IF(SF$25=1,MIN(INDIRECT(SF38)))),"")))))</f>
        <v/>
      </c>
      <c r="SI38" s="91" t="str">
        <f t="shared" ca="1" si="107"/>
        <v>Fussball_2[Note]</v>
      </c>
      <c r="SJ38" s="97" t="str" cm="1">
        <f t="array" aca="1" ref="SJ38" ca="1">IFERROR(INDEX(INDIRECT(SI38),MATCH(INDIRECT(SD$5),INDIRECT(SF38),0)),IF(INDIRECT(SD$5)=0,1,""))</f>
        <v/>
      </c>
      <c r="SK38" s="97"/>
      <c r="SL38" s="307"/>
      <c r="SM38" s="96" t="str">
        <f>IFERROR(IFERROR(SUBSTITUTE(HandballResultat[[#This Row],[Eingabe]],".",",")*1,SUBSTITUTE(HandballResultat[[#This Row],[Eingabe]],",",".")*1),"")</f>
        <v/>
      </c>
      <c r="SN38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8" s="96"/>
      <c r="SP38" s="91" t="str" cm="1">
        <f t="array" aca="1" ref="SP38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8" s="96" t="str">
        <f ca="1">LEFT(Geschlecht[[#This Row],[Geschlecht (Skala)]],1)&amp;SV$4</f>
        <v>2</v>
      </c>
      <c r="SR38" s="96" t="str">
        <f t="shared" ca="1" si="108"/>
        <v>Handball_2[Resultat]</v>
      </c>
      <c r="SS38" s="97" t="str" cm="1">
        <f t="array" aca="1" ref="SS38" ca="1">IF(INDIRECT(SP$1)="","",IF(INDIRECT(SP$2)=0,0,IF(OR(INDIRECT(SP$1)=$A$2,INDIRECT(SP$1)=$A$3),$A$3,IFERROR(INDEX(INDIRECT(SR38),MATCH(INDIRECT(SP$3),INDIRECT(SR38),SR$25)),IFERROR(IF(SR$25=-1,MAX(INDIRECT(SR38)),IF(SR$25=1,MIN(INDIRECT(SR38)))),"")))))</f>
        <v/>
      </c>
      <c r="SU38" s="91" t="str">
        <f t="shared" ca="1" si="109"/>
        <v>Handball_2[Note]</v>
      </c>
      <c r="SV38" s="97" t="str" cm="1">
        <f t="array" aca="1" ref="SV38" ca="1">IFERROR(INDEX(INDIRECT(SU38),MATCH(INDIRECT(SP$5),INDIRECT(SR38),0)),IF(INDIRECT(SP$5)=0,1,""))</f>
        <v/>
      </c>
      <c r="SW38" s="97"/>
      <c r="SX38" s="307"/>
      <c r="SY38" s="96" t="str">
        <f>IFERROR(IFERROR(SUBSTITUTE(UnihockeyResultat[[#This Row],[Eingabe]],".",",")*1,SUBSTITUTE(UnihockeyResultat[[#This Row],[Eingabe]],",",".")*1),"")</f>
        <v/>
      </c>
      <c r="SZ38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8" s="96"/>
      <c r="TB38" s="91" t="str" cm="1">
        <f t="array" aca="1" ref="TB38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8" s="96" t="str">
        <f ca="1">LEFT(Geschlecht[[#This Row],[Geschlecht (Skala)]],1)&amp;TH$4</f>
        <v>2</v>
      </c>
      <c r="TD38" s="96" t="str">
        <f t="shared" ca="1" si="110"/>
        <v>Unihockey_2[Resultat]</v>
      </c>
      <c r="TE38" s="97" t="str" cm="1">
        <f t="array" aca="1" ref="TE38" ca="1">IF(INDIRECT(TB$1)="","",IF(INDIRECT(TB$2)=0,0,IF(OR(INDIRECT(TB$1)=$A$2,INDIRECT(TB$1)=$A$3),$A$3,IFERROR(INDEX(INDIRECT(TD38),MATCH(INDIRECT(TB$3),INDIRECT(TD38),TD$25)),IFERROR(IF(TD$25=-1,MAX(INDIRECT(TD38)),IF(TD$25=1,MIN(INDIRECT(TD38)))),"")))))</f>
        <v/>
      </c>
      <c r="TG38" s="91" t="str">
        <f t="shared" ca="1" si="111"/>
        <v>Unihockey_2[Note]</v>
      </c>
      <c r="TH38" s="97" t="str" cm="1">
        <f t="array" aca="1" ref="TH38" ca="1">IFERROR(INDEX(INDIRECT(TG38),MATCH(INDIRECT(TB$5),INDIRECT(TD38),0)),IF(INDIRECT(TB$5)=0,1,""))</f>
        <v/>
      </c>
      <c r="TI38" s="97"/>
      <c r="TJ38" s="307"/>
      <c r="TK38" s="96" t="str">
        <f>IFERROR(IFERROR(SUBSTITUTE(VolleyballResultat[[#This Row],[Eingabe]],".",",")*1,SUBSTITUTE(VolleyballResultat[[#This Row],[Eingabe]],",",".")*1),"")</f>
        <v/>
      </c>
      <c r="TL38" s="96" t="e">
        <f>INT(VolleyballResultat[[#This Row],[Resultat]])=VolleyballResultat[[#This Row],[Resultat]]</f>
        <v>#VALUE!</v>
      </c>
      <c r="TM38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8" s="96"/>
      <c r="TO38" s="91" t="str" cm="1">
        <f t="array" aca="1" ref="TO38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8" s="96" t="str">
        <f ca="1">LEFT(Geschlecht[[#This Row],[Geschlecht (Skala)]],1)&amp;TU$4</f>
        <v>2</v>
      </c>
      <c r="TQ38" s="96" t="str">
        <f t="shared" ca="1" si="112"/>
        <v>Volleyball_2[Resultat]</v>
      </c>
      <c r="TR38" s="97" t="str" cm="1">
        <f t="array" aca="1" ref="TR38" ca="1">IF(INDIRECT(TO$1)="","",IF(INDIRECT(TO$2)=0,0,IF(OR(INDIRECT(TO$1)=$A$2,INDIRECT(TO$1)=$A$3),$A$3,IFERROR(INDEX(INDIRECT(TQ38),MATCH(INDIRECT(TO$3),INDIRECT(TQ38),TQ$25)),IFERROR(IF(TQ$25=-1,MAX(INDIRECT(TQ38)),IF(TQ$25=1,MIN(INDIRECT(TQ38)))),"")))))</f>
        <v/>
      </c>
      <c r="TT38" s="91" t="str">
        <f t="shared" ca="1" si="113"/>
        <v>Volleyball_2[Note]</v>
      </c>
      <c r="TU38" s="97" t="str" cm="1">
        <f t="array" aca="1" ref="TU38" ca="1">IFERROR(INDEX(INDIRECT(TT38),MATCH(INDIRECT(TO$5),INDIRECT(TQ38),0)),IF(INDIRECT(TO$5)=0,1,""))</f>
        <v/>
      </c>
      <c r="TV38" s="97"/>
      <c r="TW38" s="309" t="str" cm="1">
        <f t="array" aca="1" ref="TW38" ca="1">IF(AND(ISNUMBER(INDIRECT(TW$3)),INDIRECT(TW$3)&gt;1),INDIRECT(TW$3),"")</f>
        <v/>
      </c>
      <c r="TX38" s="309" t="str" cm="1">
        <f t="array" aca="1" ref="TX38" ca="1">IF(AND(ISNUMBER(INDIRECT(TX$3)),INDIRECT(TX$3)&gt;1),INDIRECT(TX$3),"")</f>
        <v/>
      </c>
      <c r="TY38" s="309" t="str" cm="1">
        <f t="array" aca="1" ref="TY38" ca="1">IF(AND(ISNUMBER(INDIRECT(TY$3)),INDIRECT(TY$3)&gt;1),INDIRECT(TY$3),"")</f>
        <v/>
      </c>
      <c r="TZ38" s="309" t="str" cm="1">
        <f t="array" aca="1" ref="TZ38" ca="1">IF(AND(ISNUMBER(INDIRECT(TZ$3)),INDIRECT(TZ$3)&gt;1),INDIRECT(TZ$3),"")</f>
        <v/>
      </c>
      <c r="UA38" s="309" t="str" cm="1">
        <f t="array" aca="1" ref="UA38" ca="1">IF(AND(ISNUMBER(INDIRECT(UA$3)),INDIRECT(UA$3)&gt;1),INDIRECT(UA$3),"")</f>
        <v/>
      </c>
      <c r="UB38" s="309" t="str">
        <f t="shared" ca="1" si="114"/>
        <v>x</v>
      </c>
      <c r="UC38" s="309" t="str">
        <f t="shared" ca="1" si="115"/>
        <v>y</v>
      </c>
      <c r="UD38" s="309" t="str">
        <f t="shared" ca="1" si="116"/>
        <v>z</v>
      </c>
      <c r="UE38" s="309" t="str">
        <f t="shared" ca="1" si="215"/>
        <v>a</v>
      </c>
      <c r="UF38" s="309" t="str" cm="1">
        <f t="array" aca="1" ref="UF38" ca="1">IF(UE38="a","",INDEX($TW$23:$UA$23,,MATCH(UE38,$TW38:$UA38,0)))</f>
        <v/>
      </c>
      <c r="UG38" s="309" t="str" cm="1">
        <f t="array" aca="1" ref="UG38" ca="1">IF(OR(UF38="",UF38&gt;=$UA$23),"",INDEX(INDIRECT(ADDRESS(ROW($TW$23),UF38+1)):$UA$23,,MATCH(UE38,INDIRECT(ADDRESS(ROW(),UF38+1)):$UA38,0)))</f>
        <v/>
      </c>
      <c r="UH38" s="309" t="str" cm="1">
        <f t="array" aca="1" ref="UH38" ca="1">IF(OR(UG38="",UG38&gt;=$UA$23),"",INDEX(INDIRECT(ADDRESS(ROW($TW$23),UG38+1)):$UA$23,,MATCH(UE38,INDIRECT(ADDRESS(ROW(),UG38+1)):$UA38,0)))</f>
        <v/>
      </c>
      <c r="UI38" s="309" t="str">
        <f t="shared" ca="1" si="216"/>
        <v>c</v>
      </c>
      <c r="UJ38" s="309" t="str" cm="1">
        <f t="array" aca="1" ref="UJ38" ca="1">IF(OR(UI38="b",UI38="c"),"",INDEX($TW$23:$UA$23,,MATCH(UI38,$TW38:$UA38,0)))</f>
        <v/>
      </c>
      <c r="UK38" s="309" t="str" cm="1">
        <f t="array" aca="1" ref="UK38" ca="1">IF(OR(UJ38="",UJ38&gt;=$UA$23),"",INDEX(INDIRECT(ADDRESS(ROW($TW$23),UJ38+1)):$UA$23,,MATCH(UI38,INDIRECT(ADDRESS(ROW(),UJ38+1)):$UA38,0)))</f>
        <v/>
      </c>
      <c r="UL38" s="309" t="str">
        <f t="shared" ca="1" si="117"/>
        <v/>
      </c>
      <c r="UM38" s="309" t="str">
        <f t="shared" ca="1" si="217"/>
        <v>e</v>
      </c>
      <c r="UN38" s="309" t="str">
        <f t="shared" ca="1" si="118"/>
        <v/>
      </c>
      <c r="UO38" s="309" t="str" cm="1">
        <f t="array" aca="1" ref="UO38" ca="1">IF(OR(UM38="d",UM38="e"),"",INDEX($TW$23:$UA$23,,MATCH(UM38,$TW38:$UA38,0)))</f>
        <v/>
      </c>
      <c r="UP38" s="309" t="str" cm="1">
        <f t="array" aca="1" ref="UP38" ca="1">IF(OR(UO38="",UO38&gt;=$UA$23),"",INDEX(INDIRECT(ADDRESS(ROW($TW$23),UO38+1)):$UA$23,,MATCH(UM38,INDIRECT(ADDRESS(ROW(),UO38+1)):$UA38,0)))</f>
        <v/>
      </c>
      <c r="UQ38" s="309" t="str" cm="1">
        <f t="array" aca="1" ref="UQ38" ca="1">IFERROR(IF(ISNUMBER(UF38),UF38,IF(ISNUMBER(UJ38),UJ38,IF(ISNUMBER(UN38),UN38,INDEX($TW$23:$UA$23,,MATCH(UB38,$TW38:$UA38,0))))),"x1")</f>
        <v>x1</v>
      </c>
      <c r="UR38" s="309" t="str" cm="1">
        <f t="array" aca="1" ref="UR38" ca="1">IFERROR(IF(ISNUMBER(UG38),UG38,IF(ISNUMBER(UK38),UK38,IF(ISNUMBER(UO38),UO38,INDEX($TW$23:$UA$23,,MATCH(UC38,$TW38:$UA38,0))))),IF(UQ38="x1","x2","x1"))</f>
        <v>x2</v>
      </c>
      <c r="US38" s="309" t="str" cm="1">
        <f t="array" aca="1" ref="US38" ca="1">IFERROR(IF(ISNUMBER(UH38),UH38,IF(ISNUMBER(UL38),UL38,IF(ISNUMBER(UP38),UP38,INDEX($TW$23:$UA$23,,MATCH(UD38,$TW38:$UA38,0))))),IF(UR38="x1","x2",IF(UR38="x2","x3","x1")))</f>
        <v>x3</v>
      </c>
      <c r="UT38" s="97" t="str" cm="1">
        <f t="array" aca="1" ref="UT38" ca="1">IF(OR(INDIRECT(UT$3)=$A$2,INDIRECT(UT$3)=$A$3),COLUMN(),"")</f>
        <v/>
      </c>
      <c r="UU38" s="97" t="str" cm="1">
        <f t="array" aca="1" ref="UU38" ca="1">IF(OR(INDIRECT(UU$3)=$A$2,INDIRECT(UU$3)=$A$3),COLUMN(),"")</f>
        <v/>
      </c>
      <c r="UV38" s="97" t="str" cm="1">
        <f t="array" aca="1" ref="UV38" ca="1">IF(OR(INDIRECT(UV$3)=$A$2,INDIRECT(UV$3)=$A$3),COLUMN(),"")</f>
        <v/>
      </c>
      <c r="UW38" s="97" t="str" cm="1">
        <f t="array" aca="1" ref="UW38" ca="1">IF(OR(INDIRECT(UW$3)=$A$2,INDIRECT(UW$3)=$A$3),COLUMN(),"")</f>
        <v/>
      </c>
      <c r="UX38" s="97" t="str" cm="1">
        <f t="array" aca="1" ref="UX38" ca="1">IF(OR(INDIRECT(UX$3)=$A$2,INDIRECT(UX$3)=$A$3),COLUMN(),"")</f>
        <v/>
      </c>
      <c r="UY38" s="97" t="str" cm="1">
        <f t="array" aca="1" ref="UY38" ca="1">IF(AND(ISNUMBER(INDIRECT(UY$3)),INDIRECT(UY$3)=0),COLUMN(),"")</f>
        <v/>
      </c>
      <c r="UZ38" s="97" t="str" cm="1">
        <f t="array" aca="1" ref="UZ38" ca="1">IF(AND(ISNUMBER(INDIRECT(UZ$3)),INDIRECT(UZ$3)=0),COLUMN(),"")</f>
        <v/>
      </c>
      <c r="VA38" s="97" t="str" cm="1">
        <f t="array" aca="1" ref="VA38" ca="1">IF(AND(ISNUMBER(INDIRECT(VA$3)),INDIRECT(VA$3)=0),COLUMN(),"")</f>
        <v/>
      </c>
      <c r="VB38" s="97" t="str" cm="1">
        <f t="array" aca="1" ref="VB38" ca="1">IF(AND(ISNUMBER(INDIRECT(VB$3)),INDIRECT(VB$3)=0),COLUMN(),"")</f>
        <v/>
      </c>
      <c r="VC38" s="97" t="str" cm="1">
        <f t="array" aca="1" ref="VC38" ca="1">IF(AND(ISNUMBER(INDIRECT(VC$3)),INDIRECT(VC$3)=0),COLUMN(),"")</f>
        <v/>
      </c>
      <c r="VD38" s="97" t="str">
        <f t="shared" ca="1" si="218"/>
        <v>x1</v>
      </c>
      <c r="VE38" s="97" t="str">
        <f t="shared" ca="1" si="219"/>
        <v>x2</v>
      </c>
      <c r="VF38" s="97" t="str">
        <f t="shared" ca="1" si="220"/>
        <v>x3</v>
      </c>
      <c r="VG38" s="97" t="str">
        <f ca="1">IFERROR(IF(ISNUMBER(VD38),VD38,SMALL($UY38:$VC38,VALUE(RIGHT(VD38,1)))),Stammdaten!$CB$17)</f>
        <v>Erste Spielsportart nicht durchgeführt</v>
      </c>
      <c r="VH38" s="97" t="str">
        <f ca="1">IFERROR(IF(ISNUMBER(VE38),VE38,SMALL($UY38:$VC38,VALUE(RIGHT(VE38,1)))),Stammdaten!$CB$18)</f>
        <v>Zweite Spielsportart nicht durchgeführt</v>
      </c>
      <c r="VI38" s="97" t="str">
        <f ca="1">IFERROR(IF(ISNUMBER(VF38),VF38,SMALL($UY38:$VC38,VALUE(RIGHT(VF38,1)))),Stammdaten!$CB$19)</f>
        <v>Dritte Spielsportart nicht durchgeführt</v>
      </c>
      <c r="VJ38" s="91" t="str" cm="1">
        <f t="array" aca="1" ref="VJ38" ca="1">IFERROR(INDIRECT(ADDRESS(ROW($TW$5),VG38)),VG38)</f>
        <v>Erste Spielsportart nicht durchgeführt</v>
      </c>
      <c r="VK38" s="97" t="str">
        <f t="shared" ca="1" si="221"/>
        <v/>
      </c>
      <c r="VL38" s="97" t="str" cm="1">
        <f t="array" aca="1" ref="VL38" ca="1">IFERROR(IF(INDIRECT(INDEX(INDIRECT(VL$5),MATCH(VJ38,INDIRECT(VL$4),0)))&lt;&gt;"",INDEX(INDIRECT(VL$5),MATCH(VJ38,INDIRECT(VL$4),0)),INDEX(INDIRECT(VL$6),MATCH(VJ38,INDIRECT(VL$4),0))),"")</f>
        <v/>
      </c>
      <c r="VM38" s="97" t="str">
        <f t="shared" ca="1" si="222"/>
        <v/>
      </c>
      <c r="VN38" s="97" t="str" cm="1">
        <f t="array" aca="1" ref="VN38" ca="1">IFERROR(INDIRECT(VL38),"")</f>
        <v/>
      </c>
      <c r="VO38" s="97" t="str">
        <f ca="1">IF(VN38="","",IF(AND(VK38=Stammdaten!$BX$20,VM38="0",VN38=1),SUBSTITUTE(TEXT(VN38,VM38)&amp;" "&amp;LEFT(VK38,LEN(VK38)-1),".",","),SUBSTITUTE(TEXT(VN38,VM38)&amp;" "&amp;VK38,".",",")))</f>
        <v/>
      </c>
      <c r="VP38" s="97" t="str">
        <f t="shared" ca="1" si="119"/>
        <v/>
      </c>
      <c r="VQ38" s="97" t="str" cm="1">
        <f t="array" aca="1" ref="VQ38" ca="1">IFERROR(LEFT(INDIRECT(VP38),1)&amp;"]","")</f>
        <v/>
      </c>
      <c r="VR38" s="97" t="str">
        <f t="shared" ca="1" si="120"/>
        <v/>
      </c>
      <c r="VS38" s="97" t="str">
        <f ca="1">IFERROR(LEFT(VJ38,FIND(Stammdaten!$CA$4,VJ38,1)-2),IFERROR(LEFT(VJ38,FIND(Stammdaten!$CC$3,VJ38,1)-2),VJ38))</f>
        <v>Erste Spielsportart</v>
      </c>
      <c r="VT38" s="97" t="str">
        <f ca="1">IF(NOT(ISERROR(FIND(Stammdaten!$CA$4,VJ38,1))),Stammdaten!$CA$4,IF(VU38&lt;&gt;Stammdaten!$CC$3,VR38,""))</f>
        <v>nicht durchgeführt</v>
      </c>
      <c r="VU38" s="91" t="str">
        <f ca="1">IF(VN38=$A$2,Stammdaten!$CC$3,VO38)</f>
        <v/>
      </c>
      <c r="VV38" s="91" t="str" cm="1">
        <f t="array" aca="1" ref="VV38" ca="1">IFERROR(INDIRECT(ADDRESS(ROW($TW$5),VH38)),VH38)</f>
        <v>Zweite Spielsportart nicht durchgeführt</v>
      </c>
      <c r="VW38" s="97" t="str">
        <f t="shared" ca="1" si="223"/>
        <v/>
      </c>
      <c r="VX38" s="97" t="str" cm="1">
        <f t="array" aca="1" ref="VX38" ca="1">IFERROR(IF(INDIRECT(INDEX(INDIRECT(VX$5),MATCH(VV38,INDIRECT(VX$4),0)))&lt;&gt;"",INDEX(INDIRECT(VX$5),MATCH(VV38,INDIRECT(VX$4),0)),INDEX(INDIRECT(VX$6),MATCH(VV38,INDIRECT(VX$4),0))),"")</f>
        <v/>
      </c>
      <c r="VY38" s="97" t="str">
        <f t="shared" ca="1" si="224"/>
        <v/>
      </c>
      <c r="VZ38" s="97" t="str" cm="1">
        <f t="array" aca="1" ref="VZ38" ca="1">IFERROR(INDIRECT(VX38),"")</f>
        <v/>
      </c>
      <c r="WA38" s="97" t="str">
        <f ca="1">IF(VZ38="","",IF(AND(VW38=Stammdaten!$BX$20,VY38="0",VZ38=1),SUBSTITUTE(TEXT(VZ38,VY38)&amp;" "&amp;LEFT(VW38,LEN(VW38)-1),".",","),SUBSTITUTE(TEXT(VZ38,VY38)&amp;" "&amp;VW38,".",",")))</f>
        <v/>
      </c>
      <c r="WB38" s="97" t="str">
        <f t="shared" ca="1" si="121"/>
        <v/>
      </c>
      <c r="WC38" s="97" t="str" cm="1">
        <f t="array" aca="1" ref="WC38" ca="1">IFERROR(LEFT(INDIRECT(WB38),1)&amp;"]","")</f>
        <v/>
      </c>
      <c r="WD38" s="97" t="str">
        <f t="shared" ca="1" si="122"/>
        <v/>
      </c>
      <c r="WE38" s="97" t="str">
        <f ca="1">IFERROR(LEFT(VV38,FIND(Stammdaten!$CA$4,VV38,1)-2),IFERROR(LEFT(VV38,FIND(Stammdaten!$CC$3,VV38,1)-2),VV38))</f>
        <v>Zweite Spielsportart</v>
      </c>
      <c r="WF38" s="97" t="str">
        <f ca="1">IF(NOT(ISERROR(FIND(Stammdaten!$CA$4,VV38,1))),Stammdaten!$CA$4,IF(WG38&lt;&gt;Stammdaten!$CC$3,WD38,""))</f>
        <v>nicht durchgeführt</v>
      </c>
      <c r="WG38" s="91" t="str">
        <f ca="1">IF(VZ38=$A$2,Stammdaten!$CC$3,WA38)</f>
        <v/>
      </c>
      <c r="WH38" s="91" t="str" cm="1">
        <f t="array" aca="1" ref="WH38" ca="1">IFERROR(INDIRECT(ADDRESS(ROW($TW$5),VI38)),VI38)</f>
        <v>Dritte Spielsportart nicht durchgeführt</v>
      </c>
      <c r="WI38" s="97" t="str">
        <f t="shared" ca="1" si="225"/>
        <v/>
      </c>
      <c r="WJ38" s="97" t="str" cm="1">
        <f t="array" aca="1" ref="WJ38" ca="1">IFERROR(IF(INDIRECT(INDEX(INDIRECT(WJ$5),MATCH(WH38,INDIRECT(WJ$4),0)))&lt;&gt;"",INDEX(INDIRECT(WJ$5),MATCH(WH38,INDIRECT(WJ$4),0)),INDEX(INDIRECT(WJ$6),MATCH(WH38,INDIRECT(WJ$4),0))),"")</f>
        <v/>
      </c>
      <c r="WK38" s="97" t="str">
        <f t="shared" ca="1" si="226"/>
        <v/>
      </c>
      <c r="WL38" s="97" t="str" cm="1">
        <f t="array" aca="1" ref="WL38" ca="1">IFERROR(INDIRECT(WJ38),"")</f>
        <v/>
      </c>
      <c r="WM38" s="97" t="str">
        <f ca="1">IF(WL38="","",IF(AND(WI38=Stammdaten!$BX$20,WK38="0",WL38=1),SUBSTITUTE(TEXT(WL38,WK38)&amp;" "&amp;LEFT(WI38,LEN(WI38)-1),".",","),SUBSTITUTE(TEXT(WL38,WK38)&amp;" "&amp;WI38,".",",")))</f>
        <v/>
      </c>
      <c r="WN38" s="97" t="str">
        <f t="shared" ca="1" si="123"/>
        <v/>
      </c>
      <c r="WO38" s="97" t="str" cm="1">
        <f t="array" aca="1" ref="WO38" ca="1">IFERROR(LEFT(INDIRECT(WN38),1)&amp;"]","")</f>
        <v/>
      </c>
      <c r="WP38" s="97" t="str">
        <f t="shared" ca="1" si="124"/>
        <v/>
      </c>
      <c r="WQ38" s="97" t="str">
        <f ca="1">IFERROR(LEFT(WH38,FIND(Stammdaten!$CA$4,WH38,1)-2),IFERROR(LEFT(WH38,FIND(Stammdaten!$CC$3,WH38,1)-2),WH38))</f>
        <v>Dritte Spielsportart</v>
      </c>
      <c r="WR38" s="97" t="str">
        <f ca="1">IF(NOT(ISERROR(FIND(Stammdaten!$CA$4,WH38,1))),Stammdaten!$CA$4,IF(WS38&lt;&gt;Stammdaten!$CC$3,WP38,""))</f>
        <v>nicht durchgeführt</v>
      </c>
      <c r="WS38" s="91" t="str">
        <f ca="1">IF(WL38=$A$2,Stammdaten!$CC$3,WM38)</f>
        <v/>
      </c>
      <c r="WT38" s="97" t="str" cm="1">
        <f t="array" aca="1" ref="WT38" ca="1">INDIRECT(WT$5)</f>
        <v/>
      </c>
      <c r="WU38" s="97" t="str" cm="1">
        <f t="array" aca="1" ref="WU38" ca="1">INDIRECT(WU$5)</f>
        <v/>
      </c>
      <c r="WV38" s="97" t="str" cm="1">
        <f t="array" aca="1" ref="WV38" ca="1">INDIRECT(WV$5)</f>
        <v/>
      </c>
      <c r="WW38" s="97" t="str" cm="1">
        <f t="array" aca="1" ref="WW38" ca="1">INDIRECT(WW$5)</f>
        <v/>
      </c>
      <c r="WX38" s="97" t="str" cm="1">
        <f t="array" aca="1" ref="WX38" ca="1">INDIRECT(WX$5)</f>
        <v/>
      </c>
      <c r="WY38" s="97" cm="1">
        <f t="array" aca="1" ref="WY38" ca="1">IF(INDIRECT(WY$5)&lt;&gt;"",INDIRECT(WY$5),0)</f>
        <v>0</v>
      </c>
      <c r="WZ38" s="97" cm="1">
        <f t="array" aca="1" ref="WZ38" ca="1">IF(INDIRECT(WZ$5)&lt;&gt;"",INDIRECT(WZ$5),0)</f>
        <v>0</v>
      </c>
      <c r="XA38" s="97" cm="1">
        <f t="array" aca="1" ref="XA38" ca="1">IF(INDIRECT(XA$5)&lt;&gt;"",INDIRECT(XA$5),0)</f>
        <v>0</v>
      </c>
      <c r="XB38" s="97" cm="1">
        <f t="array" aca="1" ref="XB38" ca="1">IF(INDIRECT(XB$5)&lt;&gt;"",INDIRECT(XB$5),0)</f>
        <v>0</v>
      </c>
      <c r="XC38" s="97" cm="1">
        <f t="array" aca="1" ref="XC38" ca="1">IF(INDIRECT(XC$5)&lt;&gt;"",INDIRECT(XC$5),0)</f>
        <v>0</v>
      </c>
      <c r="XD38" s="97">
        <f t="shared" ca="1" si="125"/>
        <v>0</v>
      </c>
      <c r="XE38" s="97">
        <f t="shared" ca="1" si="125"/>
        <v>0</v>
      </c>
      <c r="XF38" s="97">
        <f t="shared" ca="1" si="125"/>
        <v>0</v>
      </c>
      <c r="XG38" s="97">
        <f t="shared" ca="1" si="227"/>
        <v>0</v>
      </c>
      <c r="XH38" s="108">
        <f t="shared" ca="1" si="228"/>
        <v>0</v>
      </c>
      <c r="XI38" s="108">
        <f t="shared" ca="1" si="126"/>
        <v>0</v>
      </c>
      <c r="XJ38" s="108" t="str">
        <f t="shared" ca="1" si="229"/>
        <v/>
      </c>
      <c r="XK38" s="97" t="str">
        <f ca="1">IF(XJ38="",Stammdaten!$BZ$1,IF(AND(XH38=0,XI38&gt;=XJ$25),$A$3,ROUND(SUM(XG38/XJ38)/XK$25,0)*XK$25))</f>
        <v>Zu wenige Werte</v>
      </c>
      <c r="XL38" s="108">
        <f t="shared" ca="1" si="230"/>
        <v>6</v>
      </c>
      <c r="XM38" s="97" t="str">
        <f t="shared" ca="1" si="231"/>
        <v/>
      </c>
      <c r="XN38" s="97" t="str">
        <f t="shared" ca="1" si="232"/>
        <v/>
      </c>
      <c r="XO38" s="97" t="str">
        <f t="shared" ca="1" si="233"/>
        <v/>
      </c>
      <c r="XP38" s="97" t="str">
        <f t="shared" ca="1" si="234"/>
        <v/>
      </c>
      <c r="XQ38" s="97" t="str">
        <f t="shared" ca="1" si="235"/>
        <v>g</v>
      </c>
      <c r="XR38" s="97" t="str">
        <f t="shared" ca="1" si="236"/>
        <v/>
      </c>
      <c r="XS38" s="97">
        <f t="shared" ca="1" si="237"/>
        <v>1</v>
      </c>
      <c r="XT38" s="97" t="str">
        <f ca="1">IF(OR(Geschlecht[[#This Row],[Geschlecht (Skala)]]="",NOT(ISNUMBER(XJ38))),"",XS38)</f>
        <v/>
      </c>
      <c r="XU38" s="97" t="str">
        <f t="shared" ca="1" si="238"/>
        <v/>
      </c>
      <c r="XV38" s="97"/>
      <c r="XW38" s="308" t="str">
        <f t="shared" ca="1" si="127"/>
        <v>Zu wenige Werte</v>
      </c>
      <c r="XX38" s="97"/>
      <c r="XY38" s="97" t="str">
        <f t="shared" ca="1" si="128"/>
        <v>Zu wenige Werte</v>
      </c>
      <c r="XZ38" s="97" t="str">
        <f t="shared" ca="1" si="129"/>
        <v>Zu wenige Werte</v>
      </c>
      <c r="YA38" s="97" t="str">
        <f t="shared" ca="1" si="130"/>
        <v>Zu wenige Werte</v>
      </c>
      <c r="YB38" s="97" t="str">
        <f t="shared" ca="1" si="131"/>
        <v>Zu wenige Werte</v>
      </c>
      <c r="YC38" s="97">
        <f t="shared" ca="1" si="239"/>
        <v>0</v>
      </c>
      <c r="YD38" s="108">
        <f t="shared" ca="1" si="240"/>
        <v>0</v>
      </c>
      <c r="YE38" s="108">
        <f t="shared" ca="1" si="241"/>
        <v>0</v>
      </c>
      <c r="YF38" s="108" t="str">
        <f t="shared" ca="1" si="242"/>
        <v/>
      </c>
      <c r="YG38" s="97" t="str">
        <f ca="1">IF(YF38="",Stammdaten!$BZ$1,IF(YE38=YF$25,$A$3,ROUND(SUM(YC38/YF38)/YG$25,0)*YG$25))</f>
        <v>Zu wenige Werte</v>
      </c>
      <c r="YH38" s="97" t="str">
        <f ca="1">IF(NOT(ISNUMBER(XY38)),"",IF(YH$11&lt;&gt;"2+",TEXT(XY38,YH$11)&amp;" / ",IF(RIGHT(XY38*100,2)="00",TEXT(XY38,"0"&amp;Stammdaten!$AZ$3&amp;"0")&amp;" / ",XY38&amp;" / ")))</f>
        <v/>
      </c>
      <c r="YI38" s="97" t="str">
        <f ca="1">IF(NOT(ISNUMBER(XZ38)),"",IF(YI$11&lt;&gt;"2+",TEXT(XZ38,YI$11)&amp;" / ",IF(RIGHT(XZ38*100,2)="00",TEXT(XZ38,"0"&amp;Stammdaten!$AZ$3&amp;"0")&amp;" / ",XZ38&amp;" / ")))</f>
        <v/>
      </c>
      <c r="YJ38" s="97" t="str">
        <f ca="1">IF(NOT(ISNUMBER(YA38)),"",IF(YJ$11&lt;&gt;"2+",TEXT(YA38,YJ$11)&amp;" / ",IF(RIGHT(YA38*100,2)="00",TEXT(YA38,"0"&amp;Stammdaten!$AZ$3&amp;"0")&amp;" / ",YA38&amp;" / ")))</f>
        <v/>
      </c>
      <c r="YK38" s="97" t="str">
        <f ca="1">IF(NOT(ISNUMBER(YB38)),"",IF(YK$11&lt;&gt;"2+",TEXT(YB38,YK$11)&amp;" / ",IF(RIGHT(YB38*100,2)="00",TEXT(YB38,"0"&amp;Stammdaten!$AZ$3&amp;"0")&amp;" / ",YB38&amp;" / ")))</f>
        <v/>
      </c>
      <c r="YL38" s="97" t="str">
        <f t="shared" ca="1" si="243"/>
        <v/>
      </c>
      <c r="YM38" s="97" t="str">
        <f>IF(Geschlecht[[#This Row],[Geschlecht (Skala)]]="","",IF(ISNUMBER(XY38),1,IF(XY38=$A$3,$A$2,"R")))</f>
        <v/>
      </c>
      <c r="YN38" s="97" t="str">
        <f>IF(Geschlecht[[#This Row],[Geschlecht (Skala)]]="","",IF(ISNUMBER(XZ38),1,IF(XZ38=$A$3,$A$2,"R")))</f>
        <v/>
      </c>
      <c r="YO38" s="97" t="str">
        <f>IF(Geschlecht[[#This Row],[Geschlecht (Skala)]]="","",IF(ISNUMBER(YA38),1,IF(YA38=$A$3,$A$2,"R")))</f>
        <v/>
      </c>
      <c r="YP38" s="97" t="str">
        <f>IF(Geschlecht[[#This Row],[Geschlecht (Skala)]]="","",IF(ISNUMBER(YB38),1,IF(YB38=$A$3,$A$2,"R")))</f>
        <v/>
      </c>
      <c r="YQ38" s="97" t="str">
        <f t="shared" si="244"/>
        <v>g</v>
      </c>
      <c r="YR38" s="97" t="str">
        <f t="shared" ca="1" si="245"/>
        <v/>
      </c>
      <c r="YS38" s="97">
        <f t="shared" ca="1" si="246"/>
        <v>1</v>
      </c>
      <c r="YT38" s="97" t="str">
        <f ca="1">IF(OR(Geschlecht[[#This Row],[Geschlecht (Skala)]]="",NOT(ISNUMBER(YG38))),"",YS38)</f>
        <v/>
      </c>
      <c r="YU38" s="97"/>
      <c r="YV38" s="311" t="str">
        <f t="shared" si="247"/>
        <v>D</v>
      </c>
      <c r="YW38" s="302"/>
      <c r="YX38" s="311" t="str">
        <f t="shared" si="248"/>
        <v>D</v>
      </c>
      <c r="YY38" s="302"/>
      <c r="YZ38" s="311" t="str">
        <f t="shared" si="249"/>
        <v>D</v>
      </c>
      <c r="ZA38" s="302"/>
      <c r="ZB38" s="311" t="str">
        <f t="shared" si="250"/>
        <v>D</v>
      </c>
      <c r="ZC38" s="97"/>
      <c r="ZD38" s="97" t="str">
        <f t="shared" ca="1" si="132"/>
        <v/>
      </c>
      <c r="ZE38" s="97"/>
      <c r="ZF38" s="308" t="str">
        <f t="shared" ca="1" si="251"/>
        <v>Zu wenige Werte</v>
      </c>
      <c r="ZH38" s="317" t="s">
        <v>134</v>
      </c>
      <c r="ZJ38" s="91" t="str" cm="1">
        <f t="array" ref="ZJ38">IF(OR(Geschlecht[[#This Row],[Geschlecht (Skala)]]="",ZH38="",ZH38=Stammdaten!$BZ$5),"",REPLACE(INDEX(StdDisziplinen[TabÜberschriftNote],ZH$3),FIND("X",INDEX(StdDisziplinen[TabÜberschriftNote],ZH$3),1),1,Geschlecht[[#This Row],[Geschlecht (Skala)]]))</f>
        <v/>
      </c>
      <c r="ZK38" s="314"/>
      <c r="ZM38" s="315"/>
      <c r="ZN38" s="97" t="str">
        <f>IFERROR(IFERROR(SUBSTITUTE(SchwimmenResultatMin[[#This Row],[Min]],".",",")*1,SUBSTITUTE(SchwimmenResultatMin[[#This Row],[Min]],",",".")*1),"")</f>
        <v/>
      </c>
      <c r="ZO38" s="91" t="e">
        <f>INT(SchwimmenResultatMin[[#This Row],[Resultat]])=SchwimmenResultatMin[[#This Row],[Resultat]]</f>
        <v>#VALUE!</v>
      </c>
      <c r="ZP38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8" s="315"/>
      <c r="ZS38" s="97" t="str">
        <f>IFERROR(IFERROR(SUBSTITUTE(SchwimmenResultatSek[[#This Row],[Sek]],".",",")*1,SUBSTITUTE(SchwimmenResultatSek[[#This Row],[Sek]],",",".")*1),"")</f>
        <v/>
      </c>
      <c r="ZT38" s="108" t="e">
        <f>INT(SchwimmenResultatSek[[#This Row],[Resultat]])=SchwimmenResultatSek[[#This Row],[Resultat]]</f>
        <v>#VALUE!</v>
      </c>
      <c r="ZU38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8" s="97" t="str" cm="1">
        <f t="array" aca="1" ref="ZW38" ca="1">IF(AND(INDIRECT(ZW$2)="",INDIRECT(ZX$2)=""),"",IFERROR((INDIRECT(ZW$2)*$ZW$25)+INDIRECT(ZX$2),""))</f>
        <v/>
      </c>
      <c r="ZX38" s="91" t="str">
        <f ca="1">REPLACE(ZW$4,ZX$6,1,Geschlecht[[#This Row],[Geschlecht (Skala)]])</f>
        <v>Schwimmen_[Resultat]</v>
      </c>
      <c r="ZY38" s="91" t="str">
        <f ca="1">IFERROR(REPLACE($ZX38,FIND(Stammdaten!$V$2,$ZX38,1),LEN(Stammdaten!$V$2),Stammdaten!$BZ$9),"")</f>
        <v>Schwimmen_[Anzeige]</v>
      </c>
      <c r="ZZ38" s="97" t="str" cm="1">
        <f t="array" aca="1" ref="ZZ38" ca="1">IF(INDIRECT(ZW$3)="","",IF(INDIRECT(ZW$3)=0,0,IF(OR(INDIRECT(ZW$1)=$A$2,INDIRECT(ZW$1)=$A$3),$A$3,IFERROR(INDEX(INDIRECT(ZX38),MATCH(INDIRECT(ZW$3),INDIRECT(ZX38),ZY$25)),IFERROR(IF(ZY$25=-1,MAX(INDIRECT(ZX38)),IF(ZY$25=1,MIN(INDIRECT(ZX38)))),"")))))</f>
        <v/>
      </c>
      <c r="AAA38" s="97" t="str" cm="1">
        <f t="array" aca="1" ref="AAA38" ca="1">IF(INDIRECT(ZX$5)=0,0,IF(OR(INDIRECT(ZW$1)=$A$2,INDIRECT(ZW$1)=$A$3),$A$3,IFERROR(INDEX(INDIRECT($ZY38),MATCH(INDIRECT(ZX$5),INDIRECT($ZX38),0)),"")))</f>
        <v/>
      </c>
      <c r="AAC38" s="91" t="str">
        <f ca="1">REPLACE(ZW$6,ZX$6,1,Geschlecht[[#This Row],[Geschlecht (Skala)]])</f>
        <v>Schwimmen_[Note]</v>
      </c>
      <c r="AAD38" s="97" t="str" cm="1">
        <f t="array" aca="1" ref="AAD38" ca="1">IFERROR(INDEX(INDIRECT(AAC38),MATCH(INDIRECT(ZX$5),INDIRECT(ZX38),0)),IF(INDIRECT(ZX$5)=0,1,""))</f>
        <v/>
      </c>
      <c r="AAE38" s="97"/>
      <c r="AAF38" s="96" t="str">
        <f>ZwölfMinLaufHalleResultat[[#This Row],[Resultat]]</f>
        <v/>
      </c>
      <c r="AAG38" s="96"/>
      <c r="AAH38" s="97" t="str">
        <f ca="1">ZwölfMinLaufHalleSkalawert[[#This Row],[Skala-Wert]]</f>
        <v/>
      </c>
      <c r="AAJ38" s="97" t="str">
        <f ca="1">ZwölfMinLaufHalleNote[[#This Row],[Note]]</f>
        <v/>
      </c>
      <c r="AAK38" s="97"/>
      <c r="AAL38" s="96" t="str">
        <f>ZwölfMinLaufimFreienResultat[[#This Row],[Resultat]]</f>
        <v/>
      </c>
      <c r="AAM38" s="96"/>
      <c r="AAN38" s="97" t="str">
        <f ca="1">ZwölfMinLaufimFreienSkalawert[[#This Row],[Skala-Wert]]</f>
        <v/>
      </c>
      <c r="AAP38" s="97" t="str">
        <f ca="1">ZwölfMinLaufimFreienNote[[#This Row],[Note]]</f>
        <v/>
      </c>
      <c r="AAQ38" s="97"/>
      <c r="AAR38" s="307"/>
      <c r="AAS38" s="96" t="str">
        <f>IFERROR(IFERROR(SUBSTITUTE(BeweglichkeitResultat[[#This Row],[Eingabe]],".",",")*1,SUBSTITUTE(BeweglichkeitResultat[[#This Row],[Eingabe]],",",".")*1),"")</f>
        <v/>
      </c>
      <c r="AAT38" s="96" t="e">
        <f>INT(BeweglichkeitResultat[[#This Row],[Resultat]])=BeweglichkeitResultat[[#This Row],[Resultat]]</f>
        <v>#VALUE!</v>
      </c>
      <c r="AAU38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8" s="96"/>
      <c r="AAW38" s="91" t="str" cm="1">
        <f t="array" aca="1" ref="AAW38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8" s="96" t="str">
        <f ca="1">REPLACE(AAW$4,AAX$6,1,Geschlecht[[#This Row],[Geschlecht (Skala)]])</f>
        <v>Beweglichkeit_[Resultat]</v>
      </c>
      <c r="AAY38" s="96" t="str" cm="1">
        <f t="array" aca="1" ref="AAY38" ca="1">IF(OR(INDIRECT(AAW$1)=$A$2,INDIRECT(AAW$1)=$A$3),$A$3,IF(OR(INDIRECT(AAW$2)="",AND(Geschlecht[[#This Row],[Geschlecht (Skala)]]=Stammdaten!$D$7,INDIRECT(AAW$2)&lt;0)),"",IFERROR(INDEX(INDIRECT(AAX38),MATCH(INDIRECT(AAW$3),INDIRECT(AAX38),AAX$25)),IFERROR(IF(AAX$25=-1,MAX(INDIRECT(AAX38)),IF(AAX$25=1,MIN(INDIRECT(AAX38)))),""))))</f>
        <v/>
      </c>
      <c r="AAZ38" s="97" t="str" cm="1">
        <f t="array" aca="1" ref="AAZ38" ca="1">IF(INDIRECT(AAW$1)="","",IF(INDIRECT(AAW$1)=0,0,IF(OR(INDIRECT(AAW$1)=$A$2,INDIRECT(AAW$1)=$A$3),$A$3,IFERROR(INDEX(INDIRECT(AAY38),MATCH(INDIRECT(AAW$3),INDIRECT(AAY38),AAY$27)),IFERROR(IF(AAY$27=-1,MAX(INDIRECT(AAY38)),IF(AAY$27=1,MIN(INDIRECT(AAY38)))),"")))))</f>
        <v/>
      </c>
      <c r="ABA38" s="96" t="str">
        <f ca="1">REPLACE(AAW$6,AAX$6,1,Geschlecht[[#This Row],[Geschlecht (Skala)]])</f>
        <v>Beweglichkeit_[Note]</v>
      </c>
      <c r="ABB38" s="91" t="str" cm="1">
        <f t="array" aca="1" ref="ABB38" ca="1">IFERROR(INDEX(INDIRECT(ABA38),MATCH(INDIRECT(AAW$5),INDIRECT(AAX38),0)),"")</f>
        <v/>
      </c>
      <c r="ABC38" s="97" t="str" cm="1">
        <f t="array" aca="1" ref="ABC38" ca="1">IFERROR(INDEX(INDIRECT(ABB38),MATCH(INDIRECT(AAW$5),INDIRECT(AAY38),0)),"")</f>
        <v/>
      </c>
      <c r="ABD38" s="307"/>
      <c r="ABE38" s="96" t="str">
        <f>IFERROR(IFERROR(SUBSTITUTE(RumpfkraftResultat[[#This Row],[Eingabe]],".",",")*1,SUBSTITUTE(RumpfkraftResultat[[#This Row],[Eingabe]],",",".")*1),"")</f>
        <v/>
      </c>
      <c r="ABF38" s="96" t="e">
        <f>INT(RumpfkraftResultat[[#This Row],[Resultat]])=RumpfkraftResultat[[#This Row],[Resultat]]</f>
        <v>#VALUE!</v>
      </c>
      <c r="ABG38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8" s="96"/>
      <c r="ABI38" s="91" t="str" cm="1">
        <f t="array" aca="1" ref="ABI38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8" s="96" t="str">
        <f ca="1">REPLACE(ABI$4,ABJ$6,1,Geschlecht[[#This Row],[Geschlecht (Skala)]])</f>
        <v>Rumpfkraft_[Resultat]</v>
      </c>
      <c r="ABK38" s="97" t="str" cm="1">
        <f t="array" aca="1" ref="ABK38" ca="1">IF(INDIRECT(ABI$1)="","",IF(OR(INDIRECT(ABI$1)=$A$2,INDIRECT(ABI$1)=$A$3),$A$3,IFERROR(INDEX(INDIRECT(ABJ38),MATCH(INDIRECT(ABI$3),INDIRECT(ABJ38),ABJ$25)),IFERROR(IF(ABJ$25=-1,MAX(INDIRECT(ABJ38)),IF(ABJ$25=1,MIN(INDIRECT(ABJ38)))),""))))</f>
        <v/>
      </c>
      <c r="ABM38" s="91" t="str">
        <f ca="1">REPLACE(ABI$6,ABJ$6,1,Geschlecht[[#This Row],[Geschlecht (Skala)]])</f>
        <v>Rumpfkraft_[Note]</v>
      </c>
      <c r="ABN38" s="97" t="str" cm="1">
        <f t="array" aca="1" ref="ABN38" ca="1">IFERROR(INDEX(INDIRECT(ABM38),MATCH(INDIRECT(ABI$5),INDIRECT(ABJ38),0)),"")</f>
        <v/>
      </c>
      <c r="ABO38" s="97"/>
      <c r="ABP38" s="96" t="str">
        <f>SechzigmLaufResultat[[#This Row],[Resultat]]</f>
        <v/>
      </c>
      <c r="ABQ38" s="96"/>
      <c r="ABR38" s="97" t="str">
        <f ca="1">SechzigmLaufSkalawert[[#This Row],[Skala-Wert]]</f>
        <v/>
      </c>
      <c r="ABT38" s="97" t="str">
        <f ca="1">SechzigmLaufNote[[#This Row],[Note]]</f>
        <v/>
      </c>
      <c r="ABU38" s="97"/>
      <c r="ABV38" s="96" t="str">
        <f>AchtzigmLaufResultat[[#This Row],[Resultat]]</f>
        <v/>
      </c>
      <c r="ABW38" s="96"/>
      <c r="ABX38" s="97" t="str">
        <f ca="1">AchtzigmLaufSkalawert[[#This Row],[Skala-Wert]]</f>
        <v/>
      </c>
      <c r="ABZ38" s="97" t="str">
        <f ca="1">AchtzigmLaufNote[[#This Row],[Note]]</f>
        <v/>
      </c>
      <c r="ACA38" s="97"/>
      <c r="ACB38" s="307"/>
      <c r="ACC38" s="96" t="str">
        <f>IFERROR(IFERROR(SUBSTITUTE(KonditionsparcoursResultat[[#This Row],[Eingabe]],".",",")*1,SUBSTITUTE(KonditionsparcoursResultat[[#This Row],[Eingabe]],",",".")*1),"")</f>
        <v/>
      </c>
      <c r="ACD38" s="96" t="e">
        <f>INT(KonditionsparcoursResultat[[#This Row],[Resultat]])=KonditionsparcoursResultat[[#This Row],[Resultat]]</f>
        <v>#VALUE!</v>
      </c>
      <c r="ACE38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8" s="96"/>
      <c r="ACG38" s="91" t="str" cm="1">
        <f t="array" aca="1" ref="ACG38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8" s="96" t="str">
        <f ca="1">LEFT(Geschlecht[[#This Row],[Geschlecht (Skala)]],1)&amp;ACM$4</f>
        <v>2</v>
      </c>
      <c r="ACI38" s="96" t="str">
        <f t="shared" ca="1" si="133"/>
        <v>Konditionsparcours_2[Resultat]</v>
      </c>
      <c r="ACJ38" s="97" t="str" cm="1">
        <f t="array" aca="1" ref="ACJ38" ca="1">IF(INDIRECT(ACG$1)="","",IF(OR(INDIRECT(ACG$1)=$A$2,INDIRECT(ACG$1)=$A$3),$A$3,IFERROR(INDEX(INDIRECT(ACI38),MATCH(INDIRECT(ACG$3),INDIRECT(ACI38),ACI$25)),IFERROR(IF(ACI$25=-1,MAX(INDIRECT(ACI38)),IF(ACI$25=1,MIN(INDIRECT(ACI38)))),""))))</f>
        <v/>
      </c>
      <c r="ACL38" s="91" t="str">
        <f t="shared" ca="1" si="134"/>
        <v>Konditionsparcours_2[Note]</v>
      </c>
      <c r="ACM38" s="97" t="str" cm="1">
        <f t="array" aca="1" ref="ACM38" ca="1">IFERROR(INDEX(INDIRECT(ACL38),MATCH(INDIRECT(ACG$5),INDIRECT(ACI38),0)),"")</f>
        <v/>
      </c>
      <c r="ACN38" s="102"/>
    </row>
    <row r="39" spans="1:768">
      <c r="A39" s="305">
        <v>12</v>
      </c>
      <c r="B39" s="133"/>
      <c r="C39" s="133"/>
      <c r="E39" s="306"/>
      <c r="G39" s="307"/>
      <c r="H39" s="96" t="str">
        <f>IFERROR(IFERROR(SUBSTITUTE(SechzigmLaufResultat[[#This Row],[Eingabe]],".",",")*1,SUBSTITUTE(SechzigmLaufResultat[[#This Row],[Eingabe]],",",".")*1),"")</f>
        <v/>
      </c>
      <c r="I39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39" s="96"/>
      <c r="K39" s="91" t="str" cm="1">
        <f t="array" aca="1" ref="K39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39" s="96" t="str">
        <f ca="1">LEFT(Geschlecht[[#This Row],[Geschlecht (Skala)]],1)&amp;Q$4</f>
        <v>2</v>
      </c>
      <c r="M39" s="96" t="str">
        <f t="shared" ca="1" si="37"/>
        <v>SechzigmLauf_2[Resultat]</v>
      </c>
      <c r="N39" s="97" t="str" cm="1">
        <f t="array" aca="1" ref="N39" ca="1">IF(INDIRECT(K$1)="","",IF(INDIRECT(K$2)=0,0,IF(OR(INDIRECT(K$1)=$A$2,INDIRECT(K$1)=$A$3),$A$3,IFERROR(INDEX(INDIRECT(M39),MATCH(INDIRECT(K$3),INDIRECT(M39),M$25)),IFERROR(IF(M$25=-1,MAX(INDIRECT(M39)),IF(M$25=1,MIN(INDIRECT(M39)))),"")))))</f>
        <v/>
      </c>
      <c r="P39" s="91" t="str">
        <f t="shared" ca="1" si="38"/>
        <v>SechzigmLauf_2[Note]</v>
      </c>
      <c r="Q39" s="97" t="str" cm="1">
        <f t="array" aca="1" ref="Q39" ca="1">IFERROR(INDEX(INDIRECT(P39),MATCH(INDIRECT(K$5),INDIRECT(M39),0)),IF(INDIRECT(K$5)=0,1,""))</f>
        <v/>
      </c>
      <c r="R39" s="97"/>
      <c r="S39" s="307"/>
      <c r="T39" s="96" t="str">
        <f>IFERROR(IFERROR(SUBSTITUTE(AchtzigmLaufResultat[[#This Row],[Eingabe]],".",",")*1,SUBSTITUTE(AchtzigmLaufResultat[[#This Row],[Eingabe]],",",".")*1),"")</f>
        <v/>
      </c>
      <c r="U39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39" s="96"/>
      <c r="W39" s="91" t="str" cm="1">
        <f t="array" aca="1" ref="W39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39" s="96" t="str">
        <f ca="1">LEFT(Geschlecht[[#This Row],[Geschlecht (Skala)]],1)&amp;AC$4</f>
        <v>2</v>
      </c>
      <c r="Y39" s="96" t="str">
        <f t="shared" ca="1" si="39"/>
        <v>AchtzigmLauf_2[Resultat]</v>
      </c>
      <c r="Z39" s="97" t="str" cm="1">
        <f t="array" aca="1" ref="Z39" ca="1">IF(INDIRECT(W$1)="","",IF(INDIRECT(W$2)=0,0,IF(OR(INDIRECT(W$1)=$A$2,INDIRECT(W$1)=$A$3),$A$3,IFERROR(INDEX(INDIRECT(Y39),MATCH(INDIRECT(W$3),INDIRECT(Y39),Y$25)),IFERROR(IF(Y$25=-1,MAX(INDIRECT(Y39)),IF(Y$25=1,MIN(INDIRECT(Y39)))),"")))))</f>
        <v/>
      </c>
      <c r="AB39" s="91" t="str">
        <f t="shared" ca="1" si="40"/>
        <v>AchtzigmLauf_2[Note]</v>
      </c>
      <c r="AC39" s="97" t="str" cm="1">
        <f t="array" aca="1" ref="AC39" ca="1">IFERROR(INDEX(INDIRECT(AB39),MATCH(INDIRECT(W$5),INDIRECT(Y39),0)),IF(INDIRECT(W$5)=0,1,""))</f>
        <v/>
      </c>
      <c r="AD39" s="97"/>
      <c r="AE39" s="307"/>
      <c r="AF39" s="96" t="str">
        <f>IFERROR(IFERROR(SUBSTITUTE(ZwölfMinLaufHalleResultat[[#This Row],[Eingabe]],".",",")*1,SUBSTITUTE(ZwölfMinLaufHalleResultat[[#This Row],[Eingabe]],",",".")*1),"")</f>
        <v/>
      </c>
      <c r="AG39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39" s="96"/>
      <c r="AI39" s="91" t="str" cm="1">
        <f t="array" aca="1" ref="AI39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39" s="96" t="str">
        <f ca="1">LEFT(Geschlecht[[#This Row],[Geschlecht (Skala)]],1)&amp;AO$4</f>
        <v>2</v>
      </c>
      <c r="AK39" s="96" t="str">
        <f t="shared" ca="1" si="41"/>
        <v>ZwölfMinLaufHalle_2[Resultat]</v>
      </c>
      <c r="AL39" s="97" t="str" cm="1">
        <f t="array" aca="1" ref="AL39" ca="1">IF(INDIRECT(AI$1)="","",IF(INDIRECT(AI$2)=0,0,IF(OR(INDIRECT(AI$1)=$A$2,INDIRECT(AI$1)=$A$3),$A$3,IFERROR(INDEX(INDIRECT(AK39),MATCH(INDIRECT(AI$3),INDIRECT(AK39),AK$25)),IFERROR(IF(AK$25=-1,MAX(INDIRECT(AK39)),IF(AK$25=1,MIN(INDIRECT(AK39)))),"")))))</f>
        <v/>
      </c>
      <c r="AN39" s="91" t="str">
        <f t="shared" ca="1" si="42"/>
        <v>ZwölfMinLaufHalle_2[Note]</v>
      </c>
      <c r="AO39" s="97" t="str" cm="1">
        <f t="array" aca="1" ref="AO39" ca="1">IFERROR(INDEX(INDIRECT(AN39),MATCH(INDIRECT(AI$5),INDIRECT(AK39),0)),IF(INDIRECT(AI$5)=0,1,""))</f>
        <v/>
      </c>
      <c r="AP39" s="97"/>
      <c r="AQ39" s="307"/>
      <c r="AR39" s="96" t="str">
        <f>IFERROR(IFERROR(SUBSTITUTE(ZwölfMinLaufimFreienResultat[[#This Row],[Eingabe]],".",",")*1,SUBSTITUTE(ZwölfMinLaufimFreienResultat[[#This Row],[Eingabe]],",",".")*1),"")</f>
        <v/>
      </c>
      <c r="AS39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39" s="96"/>
      <c r="AU39" s="91" t="str" cm="1">
        <f t="array" aca="1" ref="AU39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39" s="96" t="str">
        <f ca="1">LEFT(Geschlecht[[#This Row],[Geschlecht (Skala)]],1)&amp;BA$4</f>
        <v>2</v>
      </c>
      <c r="AW39" s="96" t="str">
        <f t="shared" ca="1" si="43"/>
        <v>ZwölfMinLaufimFreien_2[Resultat]</v>
      </c>
      <c r="AX39" s="97" t="str" cm="1">
        <f t="array" aca="1" ref="AX39" ca="1">IF(INDIRECT(AU$1)="","",IF(INDIRECT(AU$2)=0,0,IF(OR(INDIRECT(AU$1)=$A$2,INDIRECT(AU$1)=$A$3),$A$3,IFERROR(INDEX(INDIRECT(AW39),MATCH(INDIRECT(AU$3),INDIRECT(AW39),AW$25)),IFERROR(IF(AW$25=-1,MAX(INDIRECT(AW39)),IF(AW$25=1,MIN(INDIRECT(AW39)))),"")))))</f>
        <v/>
      </c>
      <c r="AZ39" s="91" t="str">
        <f t="shared" ca="1" si="44"/>
        <v>ZwölfMinLaufimFreien_2[Note]</v>
      </c>
      <c r="BA39" s="97" t="str" cm="1">
        <f t="array" aca="1" ref="BA39" ca="1">IFERROR(INDEX(INDIRECT(AZ39),MATCH(INDIRECT(AU$5),INDIRECT(AW39),0)),IF(INDIRECT(AU$5)=0,1,""))</f>
        <v/>
      </c>
      <c r="BB39" s="97"/>
      <c r="BC39" s="307"/>
      <c r="BD39" s="96" t="str">
        <f>IFERROR(IFERROR(SUBSTITUTE(HochsprungResultat[[#This Row],[Eingabe]],".",",")*1,SUBSTITUTE(HochsprungResultat[[#This Row],[Eingabe]],",",".")*1),"")</f>
        <v/>
      </c>
      <c r="BE39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39" s="96"/>
      <c r="BG39" s="91" t="str" cm="1">
        <f t="array" aca="1" ref="BG39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39" s="96" t="str">
        <f ca="1">LEFT(Geschlecht[[#This Row],[Geschlecht (Skala)]],1)&amp;BM$4</f>
        <v>2</v>
      </c>
      <c r="BI39" s="96" t="str">
        <f t="shared" ca="1" si="45"/>
        <v>Hochsprung_2[Resultat]</v>
      </c>
      <c r="BJ39" s="97" t="str" cm="1">
        <f t="array" aca="1" ref="BJ39" ca="1">IF(INDIRECT(BG$1)="","",IF(INDIRECT(BG$2)=0,0,IF(OR(INDIRECT(BG$1)=$A$2,INDIRECT(BG$1)=$A$3),$A$3,IFERROR(INDEX(INDIRECT(BI39),MATCH(INDIRECT(BG$3),INDIRECT(BI39),BI$25)),IFERROR(IF(BI$25=-1,MAX(INDIRECT(BI39)),IF(BI$25=1,MIN(INDIRECT(BI39)))),"")))))</f>
        <v/>
      </c>
      <c r="BL39" s="91" t="str">
        <f t="shared" ca="1" si="46"/>
        <v>Hochsprung_2[Note]</v>
      </c>
      <c r="BM39" s="97" t="str" cm="1">
        <f t="array" aca="1" ref="BM39" ca="1">IFERROR(INDEX(INDIRECT(BL39),MATCH(INDIRECT(BG$5),INDIRECT(BI39),0)),IF(INDIRECT(BG$5)=0,1,""))</f>
        <v/>
      </c>
      <c r="BN39" s="97"/>
      <c r="BO39" s="307"/>
      <c r="BP39" s="96" t="str">
        <f>IFERROR(IFERROR(SUBSTITUTE(WeitsprungResultat[[#This Row],[Eingabe]],".",",")*1,SUBSTITUTE(WeitsprungResultat[[#This Row],[Eingabe]],",",".")*1),"")</f>
        <v/>
      </c>
      <c r="BQ39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39" s="96"/>
      <c r="BS39" s="91" t="str" cm="1">
        <f t="array" aca="1" ref="BS39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39" s="96" t="str">
        <f ca="1">LEFT(Geschlecht[[#This Row],[Geschlecht (Skala)]],1)&amp;BY$4</f>
        <v>2</v>
      </c>
      <c r="BU39" s="96" t="str">
        <f t="shared" ca="1" si="47"/>
        <v>Weitsprung_2[Resultat]</v>
      </c>
      <c r="BV39" s="97" t="str" cm="1">
        <f t="array" aca="1" ref="BV39" ca="1">IF(INDIRECT(BS$1)="","",IF(INDIRECT(BS$2)=0,0,IF(OR(INDIRECT(BS$1)=$A$2,INDIRECT(BS$1)=$A$3),$A$3,IFERROR(INDEX(INDIRECT(BU39),MATCH(INDIRECT(BS$3),INDIRECT(BU39),BU$25)),IFERROR(IF(BU$25=-1,MAX(INDIRECT(BU39)),IF(BU$25=1,MIN(INDIRECT(BU39)))),"")))))</f>
        <v/>
      </c>
      <c r="BX39" s="91" t="str">
        <f t="shared" ca="1" si="48"/>
        <v>Weitsprung_2[Note]</v>
      </c>
      <c r="BY39" s="97" t="str" cm="1">
        <f t="array" aca="1" ref="BY39" ca="1">IFERROR(INDEX(INDIRECT(BX39),MATCH(INDIRECT(BS$5),INDIRECT(BU39),0)),IF(INDIRECT(BS$5)=0,1,""))</f>
        <v/>
      </c>
      <c r="BZ39" s="97"/>
      <c r="CA39" s="307"/>
      <c r="CB39" s="96" t="str">
        <f>IFERROR(IFERROR(SUBSTITUTE(BallwurfResultat[[#This Row],[Eingabe]],".",",")*1,SUBSTITUTE(BallwurfResultat[[#This Row],[Eingabe]],",",".")*1),"")</f>
        <v/>
      </c>
      <c r="CC39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39" s="96"/>
      <c r="CE39" s="91" t="str" cm="1">
        <f t="array" aca="1" ref="CE39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39" s="96" t="str">
        <f ca="1">LEFT(Geschlecht[[#This Row],[Geschlecht (Skala)]],1)&amp;CK$4</f>
        <v>2</v>
      </c>
      <c r="CG39" s="96" t="str">
        <f t="shared" ca="1" si="49"/>
        <v>Ballwurf_2[Resultat]</v>
      </c>
      <c r="CH39" s="97" t="str" cm="1">
        <f t="array" aca="1" ref="CH39" ca="1">IF(INDIRECT(CE$1)="","",IF(INDIRECT(CE$2)=0,0,IF(OR(INDIRECT(CE$1)=$A$2,INDIRECT(CE$1)=$A$3),$A$3,IFERROR(INDEX(INDIRECT(CG39),MATCH(INDIRECT(CE$3),INDIRECT(CG39),CG$25)),IFERROR(IF(CG$25=-1,MAX(INDIRECT(CG39)),IF(CG$25=1,MIN(INDIRECT(CG39)))),"")))))</f>
        <v/>
      </c>
      <c r="CJ39" s="91" t="str">
        <f t="shared" ca="1" si="50"/>
        <v>Ballwurf_2[Note]</v>
      </c>
      <c r="CK39" s="97" t="str" cm="1">
        <f t="array" aca="1" ref="CK39" ca="1">IFERROR(INDEX(INDIRECT(CJ39),MATCH(INDIRECT(CE$5),INDIRECT(CG39),0)),IF(INDIRECT(CE$5)=0,1,""))</f>
        <v/>
      </c>
      <c r="CL39" s="97"/>
      <c r="CM39" s="307"/>
      <c r="CN39" s="96" t="str">
        <f>IFERROR(IFERROR(SUBSTITUTE(KugelstossenResultat[[#This Row],[Eingabe]],".",",")*1,SUBSTITUTE(KugelstossenResultat[[#This Row],[Eingabe]],",",".")*1),"")</f>
        <v/>
      </c>
      <c r="CO39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39" s="96"/>
      <c r="CQ39" s="91" t="str" cm="1">
        <f t="array" aca="1" ref="CQ39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39" s="96" t="str">
        <f ca="1">LEFT(Geschlecht[[#This Row],[Geschlecht (Skala)]],1)&amp;CW$4</f>
        <v>2</v>
      </c>
      <c r="CS39" s="96" t="str">
        <f t="shared" ca="1" si="51"/>
        <v>Kugelstossen_2[Resultat]</v>
      </c>
      <c r="CT39" s="97" t="str" cm="1">
        <f t="array" aca="1" ref="CT39" ca="1">IF(INDIRECT(CQ$1)="","",IF(INDIRECT(CQ$2)=0,0,IF(OR(INDIRECT(CQ$1)=$A$2,INDIRECT(CQ$1)=$A$3),$A$3,IFERROR(INDEX(INDIRECT(CS39),MATCH(INDIRECT(CQ$3),INDIRECT(CS39),CS$25)),IFERROR(IF(CS$25=-1,MAX(INDIRECT(CS39)),IF(CS$25=1,MIN(INDIRECT(CS39)))),"")))))</f>
        <v/>
      </c>
      <c r="CV39" s="91" t="str">
        <f t="shared" ca="1" si="52"/>
        <v>Kugelstossen_2[Note]</v>
      </c>
      <c r="CW39" s="97" t="str" cm="1">
        <f t="array" aca="1" ref="CW39" ca="1">IFERROR(INDEX(INDIRECT(CV39),MATCH(INDIRECT(CQ$5),INDIRECT(CS39),0)),IF(INDIRECT(CQ$5)=0,1,""))</f>
        <v/>
      </c>
      <c r="CX39" s="97"/>
      <c r="CY39" s="307"/>
      <c r="CZ39" s="96" t="str">
        <f>IFERROR(IFERROR(SUBSTITUTE(SpeerwurfResultat[[#This Row],[Eingabe]],".",",")*1,SUBSTITUTE(SpeerwurfResultat[[#This Row],[Eingabe]],",",".")*1),"")</f>
        <v/>
      </c>
      <c r="DA39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39" s="96"/>
      <c r="DC39" s="91" t="str" cm="1">
        <f t="array" aca="1" ref="DC39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39" s="96" t="str">
        <f ca="1">LEFT(Geschlecht[[#This Row],[Geschlecht (Skala)]],1)&amp;DI$4</f>
        <v>2</v>
      </c>
      <c r="DE39" s="96" t="str">
        <f t="shared" ca="1" si="53"/>
        <v>Speerwurf_2[Resultat]</v>
      </c>
      <c r="DF39" s="97" t="str" cm="1">
        <f t="array" aca="1" ref="DF39" ca="1">IF(INDIRECT(DC$1)="","",IF(INDIRECT(DC$2)=0,0,IF(OR(INDIRECT(DC$1)=$A$2,INDIRECT(DC$1)=$A$3),$A$3,IFERROR(INDEX(INDIRECT(DE39),MATCH(INDIRECT(DC$3),INDIRECT(DE39),DE$25)),IFERROR(IF(DE$25=-1,MAX(INDIRECT(DE39)),IF(DE$25=1,MIN(INDIRECT(DE39)))),"")))))</f>
        <v/>
      </c>
      <c r="DH39" s="91" t="str">
        <f t="shared" ca="1" si="54"/>
        <v>Speerwurf_2[Note]</v>
      </c>
      <c r="DI39" s="97" t="str" cm="1">
        <f t="array" aca="1" ref="DI39" ca="1">IFERROR(INDEX(INDIRECT(DH39),MATCH(INDIRECT(DC$5),INDIRECT(DE39),0)),IF(INDIRECT(DC$5)=0,1,""))</f>
        <v/>
      </c>
      <c r="DJ39" s="97"/>
      <c r="DK39" s="97" t="str" cm="1">
        <f t="array" aca="1" ref="DK39" ca="1">INDIRECT(DK$5)</f>
        <v/>
      </c>
      <c r="DL39" s="97" t="str" cm="1">
        <f t="array" aca="1" ref="DL39" ca="1">INDIRECT(DL$5)</f>
        <v/>
      </c>
      <c r="DM39" s="97" t="str" cm="1">
        <f t="array" aca="1" ref="DM39" ca="1">INDIRECT(DM$5)</f>
        <v/>
      </c>
      <c r="DN39" s="97" t="str" cm="1">
        <f t="array" aca="1" ref="DN39" ca="1">INDIRECT(DN$5)</f>
        <v/>
      </c>
      <c r="DO39" s="97" t="str">
        <f t="shared" ca="1" si="135"/>
        <v>Sprintdisziplinen nicht durchgeführt</v>
      </c>
      <c r="DP39" s="97" t="str">
        <f t="shared" ca="1" si="136"/>
        <v/>
      </c>
      <c r="DQ39" s="108">
        <f t="shared" ca="1" si="137"/>
        <v>0</v>
      </c>
      <c r="DR39" s="108">
        <f t="shared" ca="1" si="138"/>
        <v>0</v>
      </c>
      <c r="DS39" s="108" t="str">
        <f t="shared" ca="1" si="139"/>
        <v/>
      </c>
      <c r="DT39" s="97" t="str">
        <f t="shared" ca="1" si="140"/>
        <v>Sprintdisziplinen nicht durchgeführt</v>
      </c>
      <c r="DU39" s="97" t="str">
        <f t="shared" ca="1" si="141"/>
        <v/>
      </c>
      <c r="DV39" s="97" t="str" cm="1">
        <f t="array" aca="1" ref="DV39" ca="1">IFERROR(IF(INDIRECT(INDEX(INDIRECT(DV$5),MATCH(DT39,INDIRECT(DV$4),0)))&lt;&gt;"",INDEX(INDIRECT(DV$5),MATCH(DT39,INDIRECT(DV$4),0)),INDEX(INDIRECT(DV$6),MATCH(DT39,INDIRECT(DV$4),0))),"")</f>
        <v/>
      </c>
      <c r="DW39" s="97" t="str">
        <f t="shared" ca="1" si="142"/>
        <v/>
      </c>
      <c r="DX39" s="97" t="str" cm="1">
        <f t="array" aca="1" ref="DX39" ca="1">IFERROR(INDIRECT(DV39),IF(NOT(ISERROR(FIND(Stammdaten!$CC$3,DT39,1))),$A$2,""))</f>
        <v/>
      </c>
      <c r="DY39" s="97" t="str">
        <f ca="1">IF(DX39="","",IF(AND(DU39=Stammdaten!$BX$20,DW39="0",DX39=1),SUBSTITUTE(TEXT(DX39,DW39)&amp;" "&amp;LEFT(DU39,LEN(DU39)-1),".",","),SUBSTITUTE(TEXT(DX39,DW39)&amp;" "&amp;DU39,".",",")))</f>
        <v/>
      </c>
      <c r="DZ39" s="97" t="str">
        <f t="shared" ca="1" si="55"/>
        <v/>
      </c>
      <c r="EA39" s="97" t="str" cm="1">
        <f t="array" aca="1" ref="EA39" ca="1">IFERROR(LEFT(INDIRECT(DZ39),1)&amp;"]","")</f>
        <v/>
      </c>
      <c r="EB39" s="97" t="str">
        <f t="shared" ca="1" si="56"/>
        <v/>
      </c>
      <c r="EC39" s="97" t="str">
        <f ca="1">IFERROR(LEFT(DT39,FIND(Stammdaten!$CA$4,DT39,1)-2),IFERROR(LEFT(DT39,FIND(Stammdaten!$CC$3,DT39,1)-2),DT39))</f>
        <v>Sprintdisziplinen</v>
      </c>
      <c r="ED39" s="97" t="str">
        <f ca="1">IF(NOT(ISERROR(FIND(Stammdaten!$CA$4,DT39,1))),Stammdaten!$CA$4,IF(EE39&lt;&gt;Stammdaten!$CC$3,EB39,""))</f>
        <v>nicht durchgeführt</v>
      </c>
      <c r="EE39" s="91" t="str">
        <f ca="1">IF(DX39=$A$2,Stammdaten!$CC$3,DY39)</f>
        <v/>
      </c>
      <c r="EF39" s="97" t="str" cm="1">
        <f t="array" aca="1" ref="EF39" ca="1">INDIRECT(EF$5)</f>
        <v/>
      </c>
      <c r="EG39" s="97" t="str" cm="1">
        <f t="array" aca="1" ref="EG39" ca="1">INDIRECT(EG$5)</f>
        <v/>
      </c>
      <c r="EH39" s="97" t="str" cm="1">
        <f t="array" aca="1" ref="EH39" ca="1">INDIRECT(EH$5)</f>
        <v/>
      </c>
      <c r="EI39" s="97" t="str" cm="1">
        <f t="array" aca="1" ref="EI39" ca="1">INDIRECT(EI$5)</f>
        <v/>
      </c>
      <c r="EJ39" s="97" t="str">
        <f t="shared" ca="1" si="143"/>
        <v>Ausdauerdisziplinen nicht durchgeführt</v>
      </c>
      <c r="EK39" s="97" t="str">
        <f t="shared" ca="1" si="144"/>
        <v/>
      </c>
      <c r="EL39" s="108">
        <f t="shared" ca="1" si="145"/>
        <v>0</v>
      </c>
      <c r="EM39" s="108">
        <f t="shared" ca="1" si="146"/>
        <v>0</v>
      </c>
      <c r="EN39" s="108" t="str">
        <f t="shared" ca="1" si="147"/>
        <v/>
      </c>
      <c r="EO39" s="97" t="str">
        <f t="shared" ca="1" si="148"/>
        <v>Ausdauerdisziplinen nicht durchgeführt</v>
      </c>
      <c r="EP39" s="97" t="str">
        <f t="shared" ca="1" si="149"/>
        <v/>
      </c>
      <c r="EQ39" s="97" t="str" cm="1">
        <f t="array" aca="1" ref="EQ39" ca="1">IFERROR(IF(INDIRECT(INDEX(INDIRECT(EQ$5),MATCH(EO39,INDIRECT(EQ$4),0)))&lt;&gt;"",INDEX(INDIRECT(EQ$5),MATCH(EO39,INDIRECT(EQ$4),0)),INDEX(INDIRECT(EQ$6),MATCH(EO39,INDIRECT(EQ$4),0))),"")</f>
        <v/>
      </c>
      <c r="ER39" s="97" t="str">
        <f t="shared" ca="1" si="150"/>
        <v/>
      </c>
      <c r="ES39" s="97" t="str" cm="1">
        <f t="array" aca="1" ref="ES39" ca="1">IFERROR(INDIRECT(EQ39),IF(NOT(ISERROR(FIND(Stammdaten!$CC$3,EO39,1))),$A$2,""))</f>
        <v/>
      </c>
      <c r="ET39" s="97" t="str">
        <f ca="1">IF(ES39="","",IF(AND(EP39=Stammdaten!$BX$20,ER39="0",ES39=1),SUBSTITUTE(TEXT(ES39,ER39)&amp;" "&amp;LEFT(EP39,LEN(EP39)-1),".",","),SUBSTITUTE(TEXT(ES39,ER39)&amp;" "&amp;EP39,".",",")))</f>
        <v/>
      </c>
      <c r="EU39" s="97" t="str">
        <f t="shared" ca="1" si="57"/>
        <v/>
      </c>
      <c r="EV39" s="97" t="str" cm="1">
        <f t="array" aca="1" ref="EV39" ca="1">IFERROR(LEFT(INDIRECT(EU39),1)&amp;"]","")</f>
        <v/>
      </c>
      <c r="EW39" s="97" t="str">
        <f t="shared" ca="1" si="58"/>
        <v/>
      </c>
      <c r="EX39" s="97" t="str">
        <f ca="1">IFERROR(LEFT(EO39,FIND(Stammdaten!$CA$4,EO39,1)-2),IFERROR(LEFT(EO39,FIND(Stammdaten!$CC$3,EO39,1)-2),EO39))</f>
        <v>Ausdauerdisziplinen</v>
      </c>
      <c r="EY39" s="97" t="str">
        <f ca="1">IF(NOT(ISERROR(FIND(Stammdaten!$CA$4,EO39,1))),Stammdaten!$CA$4,IF(EZ39&lt;&gt;Stammdaten!$CC$3,EW39,""))</f>
        <v>nicht durchgeführt</v>
      </c>
      <c r="EZ39" s="91" t="str">
        <f ca="1">IF(ES39=$A$2,Stammdaten!$CC$3,ET39)</f>
        <v/>
      </c>
      <c r="FA39" s="97" t="str" cm="1">
        <f t="array" aca="1" ref="FA39" ca="1">INDIRECT(FA$5)</f>
        <v/>
      </c>
      <c r="FB39" s="97" t="str" cm="1">
        <f t="array" aca="1" ref="FB39" ca="1">INDIRECT(FB$5)</f>
        <v/>
      </c>
      <c r="FC39" s="97" t="str" cm="1">
        <f t="array" aca="1" ref="FC39" ca="1">INDIRECT(FC$5)</f>
        <v/>
      </c>
      <c r="FD39" s="97" t="str" cm="1">
        <f t="array" aca="1" ref="FD39" ca="1">INDIRECT(FD$5)</f>
        <v/>
      </c>
      <c r="FE39" s="97" t="str">
        <f t="shared" ca="1" si="151"/>
        <v>Sprungdisziplinen nicht durchgeführt</v>
      </c>
      <c r="FF39" s="97" t="str">
        <f t="shared" ca="1" si="152"/>
        <v/>
      </c>
      <c r="FG39" s="108">
        <f t="shared" ca="1" si="153"/>
        <v>0</v>
      </c>
      <c r="FH39" s="108">
        <f t="shared" ca="1" si="154"/>
        <v>0</v>
      </c>
      <c r="FI39" s="108" t="str">
        <f t="shared" ca="1" si="155"/>
        <v/>
      </c>
      <c r="FJ39" s="97" t="str">
        <f t="shared" ca="1" si="156"/>
        <v>Sprungdisziplinen nicht durchgeführt</v>
      </c>
      <c r="FK39" s="97" t="str">
        <f t="shared" ca="1" si="157"/>
        <v/>
      </c>
      <c r="FL39" s="97" t="str" cm="1">
        <f t="array" aca="1" ref="FL39" ca="1">IFERROR(IF(INDIRECT(INDEX(INDIRECT(FL$5),MATCH(FJ39,INDIRECT(FL$4),0)))&lt;&gt;"",INDEX(INDIRECT(FL$5),MATCH(FJ39,INDIRECT(FL$4),0)),INDEX(INDIRECT(FL$6),MATCH(FJ39,INDIRECT(FL$4),0))),"")</f>
        <v/>
      </c>
      <c r="FM39" s="97" t="str">
        <f t="shared" ca="1" si="158"/>
        <v/>
      </c>
      <c r="FN39" s="97" t="str" cm="1">
        <f t="array" aca="1" ref="FN39" ca="1">IFERROR(INDIRECT(FL39),IF(NOT(ISERROR(FIND(Stammdaten!$CC$3,FJ39,1))),$A$2,""))</f>
        <v/>
      </c>
      <c r="FO39" s="97" t="str">
        <f ca="1">IF(FN39="","",IF(AND(FK39=Stammdaten!$BX$20,FM39="0",FN39=1),SUBSTITUTE(TEXT(FN39,FM39)&amp;" "&amp;LEFT(FK39,LEN(FK39)-1),".",","),SUBSTITUTE(TEXT(FN39,FM39)&amp;" "&amp;FK39,".",",")))</f>
        <v/>
      </c>
      <c r="FP39" s="97" t="str">
        <f t="shared" ca="1" si="59"/>
        <v/>
      </c>
      <c r="FQ39" s="97" t="str" cm="1">
        <f t="array" aca="1" ref="FQ39" ca="1">IFERROR(LEFT(INDIRECT(FP39),1)&amp;"]","")</f>
        <v/>
      </c>
      <c r="FR39" s="97" t="str">
        <f t="shared" ca="1" si="60"/>
        <v/>
      </c>
      <c r="FS39" s="97" t="str">
        <f ca="1">IFERROR(LEFT(FJ39,FIND(Stammdaten!$CA$4,FJ39,1)-2),IFERROR(LEFT(FJ39,FIND(Stammdaten!$CC$3,FJ39,1)-2),FJ39))</f>
        <v>Sprungdisziplinen</v>
      </c>
      <c r="FT39" s="97" t="str">
        <f ca="1">IF(NOT(ISERROR(FIND(Stammdaten!$CA$4,FJ39,1))),Stammdaten!$CA$4,IF(FU39&lt;&gt;Stammdaten!$CC$3,FR39,""))</f>
        <v>nicht durchgeführt</v>
      </c>
      <c r="FU39" s="91" t="str">
        <f ca="1">IF(FN39=$A$2,Stammdaten!$CC$3,FO39)</f>
        <v/>
      </c>
      <c r="FV39" s="97" t="str" cm="1">
        <f t="array" aca="1" ref="FV39" ca="1">INDIRECT(FV$5)</f>
        <v/>
      </c>
      <c r="FW39" s="97" t="str" cm="1">
        <f t="array" aca="1" ref="FW39" ca="1">INDIRECT(FW$5)</f>
        <v/>
      </c>
      <c r="FX39" s="97" t="str" cm="1">
        <f t="array" aca="1" ref="FX39" ca="1">INDIRECT(FX$5)</f>
        <v/>
      </c>
      <c r="FY39" s="97" t="str" cm="1">
        <f t="array" aca="1" ref="FY39" ca="1">INDIRECT(FY$5)</f>
        <v/>
      </c>
      <c r="FZ39" s="97" t="str" cm="1">
        <f t="array" aca="1" ref="FZ39" ca="1">INDIRECT(FZ$5)</f>
        <v/>
      </c>
      <c r="GA39" s="97" t="str" cm="1">
        <f t="array" aca="1" ref="GA39" ca="1">INDIRECT(GA$5)</f>
        <v/>
      </c>
      <c r="GB39" s="97" t="str">
        <f t="shared" ca="1" si="159"/>
        <v>Wurfdisziplinen nicht durchgeführt</v>
      </c>
      <c r="GC39" s="97" t="str">
        <f t="shared" ca="1" si="160"/>
        <v/>
      </c>
      <c r="GD39" s="108">
        <f t="shared" ca="1" si="161"/>
        <v>0</v>
      </c>
      <c r="GE39" s="108">
        <f t="shared" ca="1" si="162"/>
        <v>0</v>
      </c>
      <c r="GF39" s="108" t="str">
        <f t="shared" ca="1" si="163"/>
        <v/>
      </c>
      <c r="GG39" s="97" t="str">
        <f t="shared" ca="1" si="164"/>
        <v>Wurfdisziplinen nicht durchgeführt</v>
      </c>
      <c r="GH39" s="97" t="str">
        <f t="shared" ca="1" si="165"/>
        <v/>
      </c>
      <c r="GI39" s="97" t="str" cm="1">
        <f t="array" aca="1" ref="GI39" ca="1">IFERROR(IF(INDIRECT(INDEX(INDIRECT(GI$5),MATCH(GG39,INDIRECT(GI$4),0)))&lt;&gt;"",INDEX(INDIRECT(GI$5),MATCH(GG39,INDIRECT(GI$4),0)),INDEX(INDIRECT(GI$6),MATCH(GG39,INDIRECT(GI$4),0))),"")</f>
        <v/>
      </c>
      <c r="GJ39" s="97" t="str">
        <f t="shared" ca="1" si="166"/>
        <v/>
      </c>
      <c r="GK39" s="97" t="str" cm="1">
        <f t="array" aca="1" ref="GK39" ca="1">IFERROR(INDIRECT(GI39),IF(NOT(ISERROR(FIND(Stammdaten!$CC$3,GG39,1))),$A$2,""))</f>
        <v/>
      </c>
      <c r="GL39" s="97" t="str">
        <f ca="1">IF(GK39="","",IF(AND(GH39=Stammdaten!$BX$20,GJ39="0",GK39=1),SUBSTITUTE(TEXT(GK39,GJ39)&amp;" "&amp;LEFT(GH39,LEN(GH39)-1),".",","),SUBSTITUTE(TEXT(GK39,GJ39)&amp;" "&amp;GH39,".",",")))</f>
        <v/>
      </c>
      <c r="GM39" s="97" t="str">
        <f t="shared" ca="1" si="61"/>
        <v/>
      </c>
      <c r="GN39" s="97" t="str" cm="1">
        <f t="array" aca="1" ref="GN39" ca="1">IFERROR(LEFT(INDIRECT(GM39),1)&amp;"]","")</f>
        <v/>
      </c>
      <c r="GO39" s="97" t="str">
        <f t="shared" ca="1" si="62"/>
        <v/>
      </c>
      <c r="GP39" s="97" t="str">
        <f ca="1">IFERROR(LEFT(GG39,FIND(Stammdaten!$CA$4,GG39,1)-2),IFERROR(LEFT(GG39,FIND(Stammdaten!$CC$3,GG39,1)-2),GG39))</f>
        <v>Wurfdisziplinen</v>
      </c>
      <c r="GQ39" s="97" t="str">
        <f ca="1">IF(NOT(ISERROR(FIND(Stammdaten!$CA$4,GG39,1))),Stammdaten!$CA$4,IF(GR39&lt;&gt;Stammdaten!$CC$3,GO39,""))</f>
        <v>nicht durchgeführt</v>
      </c>
      <c r="GR39" s="91" t="str">
        <f ca="1">IF(GK39=$A$2,Stammdaten!$CC$3,GL39)</f>
        <v/>
      </c>
      <c r="GS39" s="97" t="str">
        <f t="shared" ca="1" si="63"/>
        <v/>
      </c>
      <c r="GT39" s="97" t="str">
        <f t="shared" ca="1" si="64"/>
        <v/>
      </c>
      <c r="GU39" s="97" t="str">
        <f t="shared" ca="1" si="65"/>
        <v/>
      </c>
      <c r="GV39" s="97" t="str">
        <f t="shared" ca="1" si="66"/>
        <v/>
      </c>
      <c r="GW39" s="97">
        <f t="shared" ca="1" si="167"/>
        <v>0</v>
      </c>
      <c r="GX39" s="108">
        <f t="shared" ca="1" si="168"/>
        <v>0</v>
      </c>
      <c r="GY39" s="108">
        <f t="shared" ca="1" si="169"/>
        <v>0</v>
      </c>
      <c r="GZ39" s="108" t="str">
        <f t="shared" ca="1" si="170"/>
        <v/>
      </c>
      <c r="HA39" s="97" t="str">
        <f ca="1">IF(GZ39="",Stammdaten!$BZ$1,IF(AND(GX39=0,GY39&gt;=GZ$25),$A$3,ROUND(SUM(GW39/GZ39)/HA$25,0)*HA$25))</f>
        <v>Zu wenige Werte</v>
      </c>
      <c r="HB39" s="108">
        <f t="shared" ca="1" si="171"/>
        <v>6</v>
      </c>
      <c r="HC39" s="97" t="str">
        <f t="shared" ca="1" si="172"/>
        <v/>
      </c>
      <c r="HD39" s="97" t="str">
        <f t="shared" ca="1" si="173"/>
        <v/>
      </c>
      <c r="HE39" s="97" t="str">
        <f t="shared" ca="1" si="174"/>
        <v/>
      </c>
      <c r="HF39" s="97" t="str">
        <f t="shared" ca="1" si="175"/>
        <v/>
      </c>
      <c r="HG39" s="97" t="str">
        <f t="shared" ca="1" si="176"/>
        <v/>
      </c>
      <c r="HH39" s="97" t="str">
        <f t="shared" ca="1" si="177"/>
        <v>g</v>
      </c>
      <c r="HI39" s="97" t="str">
        <f t="shared" ca="1" si="178"/>
        <v/>
      </c>
      <c r="HJ39" s="97">
        <f t="shared" ca="1" si="179"/>
        <v>1</v>
      </c>
      <c r="HK39" s="97" t="str">
        <f ca="1">IF(OR(Geschlecht[[#This Row],[Geschlecht (Skala)]]="",NOT(ISNUMBER(GZ39))),"",HJ39)</f>
        <v/>
      </c>
      <c r="HL39" s="97" t="str">
        <f t="shared" ca="1" si="180"/>
        <v/>
      </c>
      <c r="HM39" s="97"/>
      <c r="HN39" s="308" t="str">
        <f t="shared" ca="1" si="68"/>
        <v>Zu wenige Werte</v>
      </c>
      <c r="HO39" s="97"/>
      <c r="HP39" s="307"/>
      <c r="HQ39" s="96" t="str">
        <f>IFERROR(IFERROR(SUBSTITUTE(ReckResultat[[#This Row],[Eingabe]],".",",")*1,SUBSTITUTE(ReckResultat[[#This Row],[Eingabe]],",",".")*1),"")</f>
        <v/>
      </c>
      <c r="HR39" s="96" t="e">
        <f>INT(ReckResultat[[#This Row],[Resultat]])=ReckResultat[[#This Row],[Resultat]]</f>
        <v>#VALUE!</v>
      </c>
      <c r="HS39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39" s="96"/>
      <c r="HX39" s="97"/>
      <c r="HY39" s="307"/>
      <c r="HZ39" s="96" t="str">
        <f>IFERROR(IFERROR(SUBSTITUTE(BodenResultat[[#This Row],[Eingabe]],".",",")*1,SUBSTITUTE(BodenResultat[[#This Row],[Eingabe]],",",".")*1),"")</f>
        <v/>
      </c>
      <c r="IA39" s="96" t="e">
        <f>INT(BodenResultat[[#This Row],[Resultat]])=BodenResultat[[#This Row],[Resultat]]</f>
        <v>#VALUE!</v>
      </c>
      <c r="IB39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39" s="96"/>
      <c r="IG39" s="97"/>
      <c r="IH39" s="307"/>
      <c r="II39" s="96" t="str">
        <f>IFERROR(IFERROR(SUBSTITUTE(StufenbarrenResultat[[#This Row],[Eingabe]],".",",")*1,SUBSTITUTE(StufenbarrenResultat[[#This Row],[Eingabe]],",",".")*1),"")</f>
        <v/>
      </c>
      <c r="IJ39" s="96" t="e">
        <f>INT(StufenbarrenResultat[[#This Row],[Resultat]])=StufenbarrenResultat[[#This Row],[Resultat]]</f>
        <v>#VALUE!</v>
      </c>
      <c r="IK39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39" s="96"/>
      <c r="IP39" s="97"/>
      <c r="IQ39" s="307"/>
      <c r="IR39" s="96" t="str">
        <f>IFERROR(IFERROR(SUBSTITUTE(ParallelbarrenResultat[[#This Row],[Eingabe]],".",",")*1,SUBSTITUTE(ParallelbarrenResultat[[#This Row],[Eingabe]],",",".")*1),"")</f>
        <v/>
      </c>
      <c r="IS39" s="96" t="e">
        <f>INT(ParallelbarrenResultat[[#This Row],[Resultat]])=ParallelbarrenResultat[[#This Row],[Resultat]]</f>
        <v>#VALUE!</v>
      </c>
      <c r="IT39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39" s="96"/>
      <c r="IY39" s="97"/>
      <c r="IZ39" s="307"/>
      <c r="JA39" s="96" t="str">
        <f>IFERROR(IFERROR(SUBSTITUTE(SchaukelringeResultat[[#This Row],[Eingabe]],".",",")*1,SUBSTITUTE(SchaukelringeResultat[[#This Row],[Eingabe]],",",".")*1),"")</f>
        <v/>
      </c>
      <c r="JB39" s="96" t="e">
        <f>INT(SchaukelringeResultat[[#This Row],[Resultat]])=SchaukelringeResultat[[#This Row],[Resultat]]</f>
        <v>#VALUE!</v>
      </c>
      <c r="JC39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39" s="96"/>
      <c r="JH39" s="97"/>
      <c r="JI39" s="307"/>
      <c r="JJ39" s="96" t="str">
        <f>IFERROR(IFERROR(SUBSTITUTE(SprungResultat[[#This Row],[Eingabe]],".",",")*1,SUBSTITUTE(SprungResultat[[#This Row],[Eingabe]],",",".")*1),"")</f>
        <v/>
      </c>
      <c r="JK39" s="96" t="e">
        <f>INT(SprungResultat[[#This Row],[Resultat]])=SprungResultat[[#This Row],[Resultat]]</f>
        <v>#VALUE!</v>
      </c>
      <c r="JL39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39" s="96"/>
      <c r="JQ39" s="97"/>
      <c r="JR39" s="309" t="str" cm="1">
        <f t="array" aca="1" ref="JR39" ca="1">IF(AND(ISNUMBER(INDIRECT(JR$3)),INDIRECT(JR$3)&gt;0),INDIRECT(JR$3),"")</f>
        <v/>
      </c>
      <c r="JS39" s="309" t="str" cm="1">
        <f t="array" aca="1" ref="JS39" ca="1">IF(AND(ISNUMBER(INDIRECT(JS$3)),INDIRECT(JS$3)&gt;0),INDIRECT(JS$3),"")</f>
        <v/>
      </c>
      <c r="JT39" s="309" t="str" cm="1">
        <f t="array" aca="1" ref="JT39" ca="1">IF(AND(ISNUMBER(INDIRECT(JT$3)),INDIRECT(JT$3)&gt;0),INDIRECT(JT$3),"")</f>
        <v/>
      </c>
      <c r="JU39" s="309" t="str" cm="1">
        <f t="array" aca="1" ref="JU39" ca="1">IF(AND(ISNUMBER(INDIRECT(JU$3)),INDIRECT(JU$3)&gt;0),INDIRECT(JU$3),"")</f>
        <v/>
      </c>
      <c r="JV39" s="309" t="str" cm="1">
        <f t="array" aca="1" ref="JV39" ca="1">IF(AND(ISNUMBER(INDIRECT(JV$3)),INDIRECT(JV$3)&gt;0),INDIRECT(JV$3),"")</f>
        <v/>
      </c>
      <c r="JW39" s="309" t="str" cm="1">
        <f t="array" aca="1" ref="JW39" ca="1">IF(AND(ISNUMBER(INDIRECT(JW$3)),INDIRECT(JW$3)&gt;0),INDIRECT(JW$3),"")</f>
        <v/>
      </c>
      <c r="JX39" s="309" t="str">
        <f t="shared" ca="1" si="69"/>
        <v>x</v>
      </c>
      <c r="JY39" s="309" t="str">
        <f t="shared" ca="1" si="70"/>
        <v>y</v>
      </c>
      <c r="JZ39" s="309" t="str">
        <f t="shared" ca="1" si="71"/>
        <v>z</v>
      </c>
      <c r="KA39" s="309" t="str">
        <f t="shared" ca="1" si="181"/>
        <v>a</v>
      </c>
      <c r="KB39" s="309" t="str" cm="1">
        <f t="array" aca="1" ref="KB39" ca="1">IF(KA39="a","",INDEX($JR$23:$JW$23,,MATCH(KA39,$JR39:$JW39,0)))</f>
        <v/>
      </c>
      <c r="KC39" s="309" t="str" cm="1">
        <f t="array" aca="1" ref="KC39" ca="1">IF(OR(KB39="",KB39&gt;=$JW$23),"",INDEX(INDIRECT(ADDRESS(ROW($JR$23),KB39+1)):$JW$23,,MATCH(KA39,INDIRECT(ADDRESS(ROW(),KB39+1)):$JW39,0)))</f>
        <v/>
      </c>
      <c r="KD39" s="309" t="str" cm="1">
        <f t="array" aca="1" ref="KD39" ca="1">IF(OR(KC39="",KC39&gt;=$JW$23),"",INDEX(INDIRECT(ADDRESS(ROW($JR$23),KC39+1)):$JW$23,,MATCH(KA39,INDIRECT(ADDRESS(ROW(),KC39+1)):$JW39,0)))</f>
        <v/>
      </c>
      <c r="KE39" s="309" t="str">
        <f t="shared" ca="1" si="182"/>
        <v>c</v>
      </c>
      <c r="KF39" s="309" t="str" cm="1">
        <f t="array" aca="1" ref="KF39" ca="1">IF(OR(KE39="b",KE39="c"),"",INDEX($JR$23:$JW$23,,MATCH(KE39,$JR39:$JW39,0)))</f>
        <v/>
      </c>
      <c r="KG39" s="309" t="str" cm="1">
        <f t="array" aca="1" ref="KG39" ca="1">IF(OR(KF39="",KF39&gt;=$JW$23),"",INDEX(INDIRECT(ADDRESS(ROW($JR$23),KF39+1)):$JW$23,,MATCH(KE39,INDIRECT(ADDRESS(ROW(),KF39+1)):$JW39,0)))</f>
        <v/>
      </c>
      <c r="KH39" s="309" t="str">
        <f t="shared" ca="1" si="72"/>
        <v/>
      </c>
      <c r="KI39" s="309" t="str">
        <f t="shared" ca="1" si="183"/>
        <v>e</v>
      </c>
      <c r="KJ39" s="309" t="str">
        <f t="shared" ca="1" si="73"/>
        <v/>
      </c>
      <c r="KK39" s="309" t="str" cm="1">
        <f t="array" aca="1" ref="KK39" ca="1">IF(OR(KI39="d",KI39="e"),"",INDEX($JR$23:$JW$23,,MATCH(KI39,$JR39:$JW39,0)))</f>
        <v/>
      </c>
      <c r="KL39" s="309" t="str" cm="1">
        <f t="array" aca="1" ref="KL39" ca="1">IF(OR(KK39="",KK39&gt;=$JW$23),"",INDEX(INDIRECT(ADDRESS(ROW($JR$23),KK39+1)):$JW$23,,MATCH(KI39,INDIRECT(ADDRESS(ROW(),KK39+1)):$JW39,0)))</f>
        <v/>
      </c>
      <c r="KM39" s="309" t="str" cm="1">
        <f t="array" aca="1" ref="KM39" ca="1">IFERROR(IF(ISNUMBER(KB39),KB39,IF(ISNUMBER(KF39),KF39,IF(ISNUMBER(KJ39),KJ39,INDEX($JR$23:$JW$23,,MATCH(JX39,$JR39:$JW39,0))))),"x1")</f>
        <v>x1</v>
      </c>
      <c r="KN39" s="309" t="str" cm="1">
        <f t="array" aca="1" ref="KN39" ca="1">IFERROR(IF(ISNUMBER(KC39),KC39,IF(ISNUMBER(KG39),KG39,IF(ISNUMBER(KK39),KK39,INDEX($JR$23:$JW$23,,MATCH(JY39,$JR39:$JW39,0))))),IF(KM39="x1","x2","x1"))</f>
        <v>x2</v>
      </c>
      <c r="KO39" s="309" t="str" cm="1">
        <f t="array" aca="1" ref="KO39" ca="1">IFERROR(IF(ISNUMBER(KD39),KD39,IF(ISNUMBER(KH39),KH39,IF(ISNUMBER(KL39),KL39,INDEX($JR$23:$JW$23,,MATCH(JZ39,$JR39:$JW39,0))))),IF(KN39="x1","x2",IF(KN39="x2","x3","x1")))</f>
        <v>x3</v>
      </c>
      <c r="KP39" s="97" t="str" cm="1">
        <f t="array" aca="1" ref="KP39" ca="1">IF(OR(INDIRECT(KP$3)=$A$2,INDIRECT(KP$3)=$A$3),COLUMN(),"")</f>
        <v/>
      </c>
      <c r="KQ39" s="97" t="str" cm="1">
        <f t="array" aca="1" ref="KQ39" ca="1">IF(OR(INDIRECT(KQ$3)=$A$2,INDIRECT(KQ$3)=$A$3),COLUMN(),"")</f>
        <v/>
      </c>
      <c r="KR39" s="97" t="str" cm="1">
        <f t="array" aca="1" ref="KR39" ca="1">IF(OR(INDIRECT(KR$3)=$A$2,INDIRECT(KR$3)=$A$3),COLUMN(),"")</f>
        <v/>
      </c>
      <c r="KS39" s="97" t="str" cm="1">
        <f t="array" aca="1" ref="KS39" ca="1">IF(OR(INDIRECT(KS$3)=$A$2,INDIRECT(KS$3)=$A$3),COLUMN(),"")</f>
        <v/>
      </c>
      <c r="KT39" s="97" t="str" cm="1">
        <f t="array" aca="1" ref="KT39" ca="1">IF(OR(INDIRECT(KT$3)=$A$2,INDIRECT(KT$3)=$A$3),COLUMN(),"")</f>
        <v/>
      </c>
      <c r="KU39" s="97" t="str" cm="1">
        <f t="array" aca="1" ref="KU39" ca="1">IF(OR(INDIRECT(KU$3)=$A$2,INDIRECT(KU$3)=$A$3),COLUMN(),"")</f>
        <v/>
      </c>
      <c r="KV39" s="97" t="str" cm="1">
        <f t="array" aca="1" ref="KV39" ca="1">IF(AND(ISNUMBER(INDIRECT(KV$3)),INDIRECT(KV$3)=0),COLUMN(),"")</f>
        <v/>
      </c>
      <c r="KW39" s="97" t="str" cm="1">
        <f t="array" aca="1" ref="KW39" ca="1">IF(AND(ISNUMBER(INDIRECT(KW$3)),INDIRECT(KW$3)=0),COLUMN(),"")</f>
        <v/>
      </c>
      <c r="KX39" s="97" t="str" cm="1">
        <f t="array" aca="1" ref="KX39" ca="1">IF(AND(ISNUMBER(INDIRECT(KX$3)),INDIRECT(KX$3)=0),COLUMN(),"")</f>
        <v/>
      </c>
      <c r="KY39" s="97" t="str" cm="1">
        <f t="array" aca="1" ref="KY39" ca="1">IF(AND(ISNUMBER(INDIRECT(KY$3)),INDIRECT(KY$3)=0),COLUMN(),"")</f>
        <v/>
      </c>
      <c r="KZ39" s="97" t="str" cm="1">
        <f t="array" aca="1" ref="KZ39" ca="1">IF(AND(ISNUMBER(INDIRECT(KZ$3)),INDIRECT(KZ$3)=0),COLUMN(),"")</f>
        <v/>
      </c>
      <c r="LA39" s="97" t="str" cm="1">
        <f t="array" aca="1" ref="LA39" ca="1">IF(AND(ISNUMBER(INDIRECT(LA$3)),INDIRECT(LA$3)=0),COLUMN(),"")</f>
        <v/>
      </c>
      <c r="LB39" s="97" t="str">
        <f t="shared" ca="1" si="184"/>
        <v>x1</v>
      </c>
      <c r="LC39" s="97" t="str">
        <f t="shared" ca="1" si="185"/>
        <v>x2</v>
      </c>
      <c r="LD39" s="97" t="str">
        <f t="shared" ca="1" si="186"/>
        <v>x3</v>
      </c>
      <c r="LE39" s="97" t="str">
        <f ca="1">IFERROR(IF(ISNUMBER(LB39),LB39,SMALL($KV39:$LA39,VALUE(RIGHT(LB39,1)))),Stammdaten!$CA$17)</f>
        <v>Erstes Gerät nicht durchgeführt</v>
      </c>
      <c r="LF39" s="97" t="str">
        <f ca="1">IFERROR(IF(ISNUMBER(LC39),LC39,SMALL($KV39:$LA39,VALUE(RIGHT(LC39,1)))),Stammdaten!$CA$18)</f>
        <v>Zweites Gerät nicht durchgeführt</v>
      </c>
      <c r="LG39" s="97" t="str">
        <f ca="1">IFERROR(IF(ISNUMBER(LD39),LD39,SMALL($KV39:$LA39,VALUE(RIGHT(LD39,1)))),Stammdaten!$CA$19)</f>
        <v>Drittes Gerät nicht durchgeführt</v>
      </c>
      <c r="LH39" s="91" t="str" cm="1">
        <f t="array" aca="1" ref="LH39" ca="1">IFERROR(INDIRECT(ADDRESS(ROW($JR$5),LE39)),LE39)</f>
        <v>Erstes Gerät nicht durchgeführt</v>
      </c>
      <c r="LI39" s="97" t="str">
        <f t="shared" ca="1" si="187"/>
        <v/>
      </c>
      <c r="LJ39" s="97" t="str" cm="1">
        <f t="array" aca="1" ref="LJ39" ca="1">IFERROR(IF(INDIRECT(INDEX(INDIRECT(LJ$5),MATCH(LH39,INDIRECT(LJ$4),0)))&lt;&gt;"",INDEX(INDIRECT(LJ$5),MATCH(LH39,INDIRECT(LJ$4),0)),INDEX(INDIRECT(LJ$6),MATCH(LH39,INDIRECT(LJ$4),0))),"")</f>
        <v/>
      </c>
      <c r="LK39" s="97" t="str">
        <f t="shared" ca="1" si="188"/>
        <v/>
      </c>
      <c r="LL39" s="97" t="str" cm="1">
        <f t="array" aca="1" ref="LL39" ca="1">IFERROR(INDIRECT(LJ39),"")</f>
        <v/>
      </c>
      <c r="LM39" s="97" t="str">
        <f ca="1">IF(LL39="","",IF(AND(LI39=Stammdaten!$BX$20,LK39="0",LL39=1),SUBSTITUTE(TEXT(LL39,LK39)&amp;" "&amp;LEFT(LI39,LEN(LI39)-1),".",","),SUBSTITUTE(TEXT(LL39,LK39)&amp;" "&amp;LI39,".",",")))</f>
        <v/>
      </c>
      <c r="LN39" s="97" t="str">
        <f t="shared" ca="1" si="74"/>
        <v/>
      </c>
      <c r="LO39" s="97" t="str" cm="1">
        <f t="array" aca="1" ref="LO39" ca="1">IFERROR(LEFT(INDIRECT(LN39),1)&amp;"]","")</f>
        <v/>
      </c>
      <c r="LP39" s="97" t="str">
        <f t="shared" ca="1" si="75"/>
        <v/>
      </c>
      <c r="LQ39" s="97" t="str">
        <f ca="1">IFERROR(LEFT(LH39,FIND(Stammdaten!$CA$4,LH39,1)-2),IFERROR(LEFT(LH39,FIND(Stammdaten!$CC$3,LH39,1)-2),LH39))</f>
        <v>Erstes Gerät</v>
      </c>
      <c r="LR39" s="97" t="str">
        <f ca="1">IF(NOT(ISERROR(FIND(Stammdaten!$CA$4,LH39,1))),Stammdaten!$CA$4,IF(LS39&lt;&gt;Stammdaten!$CC$3,LP39,""))</f>
        <v>nicht durchgeführt</v>
      </c>
      <c r="LS39" s="91" t="str">
        <f ca="1">IF(LL39=$A$2,Stammdaten!$CC$3,LM39)</f>
        <v/>
      </c>
      <c r="LT39" s="91" t="str" cm="1">
        <f t="array" aca="1" ref="LT39" ca="1">IFERROR(INDIRECT(ADDRESS(ROW($JR$5),LF39)),LF39)</f>
        <v>Zweites Gerät nicht durchgeführt</v>
      </c>
      <c r="LU39" s="97" t="str">
        <f t="shared" ca="1" si="189"/>
        <v/>
      </c>
      <c r="LV39" s="97" t="str" cm="1">
        <f t="array" aca="1" ref="LV39" ca="1">IFERROR(IF(INDIRECT(INDEX(INDIRECT(LV$5),MATCH(LT39,INDIRECT(LV$4),0)))&lt;&gt;"",INDEX(INDIRECT(LV$5),MATCH(LT39,INDIRECT(LV$4),0)),INDEX(INDIRECT(LV$6),MATCH(LT39,INDIRECT(LV$4),0))),"")</f>
        <v/>
      </c>
      <c r="LW39" s="97" t="str">
        <f t="shared" ca="1" si="190"/>
        <v/>
      </c>
      <c r="LX39" s="97" t="str" cm="1">
        <f t="array" aca="1" ref="LX39" ca="1">IFERROR(INDIRECT(LV39),"")</f>
        <v/>
      </c>
      <c r="LY39" s="97" t="str">
        <f ca="1">IF(LX39="","",IF(AND(LU39=Stammdaten!$BX$20,LW39="0",LX39=1),SUBSTITUTE(TEXT(LX39,LW39)&amp;" "&amp;LEFT(LU39,LEN(LU39)-1),".",","),SUBSTITUTE(TEXT(LX39,LW39)&amp;" "&amp;LU39,".",",")))</f>
        <v/>
      </c>
      <c r="LZ39" s="97" t="str">
        <f t="shared" ca="1" si="76"/>
        <v/>
      </c>
      <c r="MA39" s="97" t="str" cm="1">
        <f t="array" aca="1" ref="MA39" ca="1">IFERROR(LEFT(INDIRECT(LZ39),1)&amp;"]","")</f>
        <v/>
      </c>
      <c r="MB39" s="97" t="str">
        <f t="shared" ca="1" si="77"/>
        <v/>
      </c>
      <c r="MC39" s="97" t="str">
        <f ca="1">IFERROR(LEFT(LT39,FIND(Stammdaten!$CA$4,LT39,1)-2),IFERROR(LEFT(LT39,FIND(Stammdaten!$CC$3,LT39,1)-2),LT39))</f>
        <v>Zweites Gerät</v>
      </c>
      <c r="MD39" s="97" t="str">
        <f ca="1">IF(NOT(ISERROR(FIND(Stammdaten!$CA$4,LT39,1))),Stammdaten!$CA$4,IF(ME39&lt;&gt;Stammdaten!$CC$3,MB39,""))</f>
        <v>nicht durchgeführt</v>
      </c>
      <c r="ME39" s="91" t="str">
        <f ca="1">IF(LX39=$A$2,Stammdaten!$CC$3,LY39)</f>
        <v/>
      </c>
      <c r="MF39" s="91" t="str" cm="1">
        <f t="array" aca="1" ref="MF39" ca="1">IFERROR(INDIRECT(ADDRESS(ROW($JR$5),LG39)),LG39)</f>
        <v>Drittes Gerät nicht durchgeführt</v>
      </c>
      <c r="MG39" s="97" t="str">
        <f t="shared" ca="1" si="191"/>
        <v/>
      </c>
      <c r="MH39" s="97" t="str" cm="1">
        <f t="array" aca="1" ref="MH39" ca="1">IFERROR(IF(INDIRECT(INDEX(INDIRECT(MH$5),MATCH(MF39,INDIRECT(MH$4),0)))&lt;&gt;"",INDEX(INDIRECT(MH$5),MATCH(MF39,INDIRECT(MH$4),0)),INDEX(INDIRECT(MH$6),MATCH(MF39,INDIRECT(MH$4),0))),"")</f>
        <v/>
      </c>
      <c r="MI39" s="97" t="str">
        <f t="shared" ca="1" si="192"/>
        <v/>
      </c>
      <c r="MJ39" s="97" t="str" cm="1">
        <f t="array" aca="1" ref="MJ39" ca="1">IFERROR(INDIRECT(MH39),"")</f>
        <v/>
      </c>
      <c r="MK39" s="97" t="str">
        <f ca="1">IF(MJ39="","",IF(AND(MG39=Stammdaten!$BX$20,MI39="0",MJ39=1),SUBSTITUTE(TEXT(MJ39,MI39)&amp;" "&amp;LEFT(MG39,LEN(MG39)-1),".",","),SUBSTITUTE(TEXT(MJ39,MI39)&amp;" "&amp;MG39,".",",")))</f>
        <v/>
      </c>
      <c r="ML39" s="97" t="str">
        <f t="shared" ca="1" si="78"/>
        <v/>
      </c>
      <c r="MM39" s="97" t="str" cm="1">
        <f t="array" aca="1" ref="MM39" ca="1">IFERROR(LEFT(INDIRECT(ML39),1)&amp;"]","")</f>
        <v/>
      </c>
      <c r="MN39" s="97" t="str">
        <f t="shared" ca="1" si="79"/>
        <v/>
      </c>
      <c r="MO39" s="97" t="str">
        <f ca="1">IFERROR(LEFT(MF39,FIND(Stammdaten!$CA$4,MF39,1)-2),IFERROR(LEFT(MF39,FIND(Stammdaten!$CC$3,MF39,1)-2),MF39))</f>
        <v>Drittes Gerät</v>
      </c>
      <c r="MP39" s="97" t="str">
        <f ca="1">IF(NOT(ISERROR(FIND(Stammdaten!$CA$4,MF39,1))),Stammdaten!$CA$4,IF(MQ39&lt;&gt;Stammdaten!$CC$3,MN39,""))</f>
        <v>nicht durchgeführt</v>
      </c>
      <c r="MQ39" s="91" t="str">
        <f ca="1">IF(MJ39=$A$2,Stammdaten!$CC$3,MK39)</f>
        <v/>
      </c>
      <c r="MR39" s="97">
        <f t="shared" ca="1" si="80"/>
        <v>0</v>
      </c>
      <c r="MS39" s="108">
        <f t="shared" ca="1" si="193"/>
        <v>0</v>
      </c>
      <c r="MT39" s="108">
        <f t="shared" ca="1" si="194"/>
        <v>0</v>
      </c>
      <c r="MU39" s="108">
        <f t="shared" ca="1" si="195"/>
        <v>0</v>
      </c>
      <c r="MV39" s="108" t="str">
        <f t="shared" ca="1" si="196"/>
        <v/>
      </c>
      <c r="MW39" s="97" t="str">
        <f ca="1">IF(MV39="",Stammdaten!$BZ$1,IF(AND(MS39+MT39=0,MU39&gt;=MV$25),$A$3,MR39))</f>
        <v>Zu wenige Werte</v>
      </c>
      <c r="MX39" s="97"/>
      <c r="MY39" s="91" t="str">
        <f t="shared" ca="1" si="81"/>
        <v/>
      </c>
      <c r="MZ39" s="96" t="str">
        <f>LEFT(Geschlecht[[#This Row],[Geschlecht (Skala)]],1)&amp;$MZ$27</f>
        <v>2</v>
      </c>
      <c r="NA39" s="96" t="str">
        <f t="shared" ca="1" si="82"/>
        <v>Geräteturnen_2[Resultat]</v>
      </c>
      <c r="NB39" s="97" t="str" cm="1">
        <f t="array" aca="1" ref="NB39" ca="1">IF(OR($MW39="",$MW39=Stammdaten!$BZ$1),"",IF($MW39=0,0,IF(OR($MW39=$A$2,$MW39=$A$3),$A$3,IFERROR(INDEX(INDIRECT(NA39),MATCH(INDIRECT(MY$3),INDIRECT(NA39),NA$25)),IFERROR(IF(NA$25=-1,MAX(INDIRECT(NA39)),IF(NA$25=1,MIN(INDIRECT(NA39)))),"")))))</f>
        <v/>
      </c>
      <c r="ND39" s="91" t="str">
        <f t="shared" ca="1" si="83"/>
        <v>Geräteturnen_2[Note]</v>
      </c>
      <c r="NE39" s="97" t="str" cm="1">
        <f t="array" aca="1" ref="NE39" ca="1">IFERROR(INDEX(INDIRECT(ND39),MATCH(INDIRECT(MY$5),INDIRECT(NA39),0)),IF(INDIRECT(MY$5)=0,1,""))</f>
        <v/>
      </c>
      <c r="NF39" s="97"/>
      <c r="NG39" s="307"/>
      <c r="NH39" s="96" t="str">
        <f>IFERROR(IFERROR(SUBSTITUTE(ParkourResultat[[#This Row],[Eingabe]],".",",")*1,SUBSTITUTE(ParkourResultat[[#This Row],[Eingabe]],",",".")*1),"")</f>
        <v/>
      </c>
      <c r="NI39" s="96" t="e">
        <f>INT(ParkourResultat[[#This Row],[Resultat]])=ParkourResultat[[#This Row],[Resultat]]</f>
        <v>#VALUE!</v>
      </c>
      <c r="NJ39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39" s="96"/>
      <c r="NL39" s="91" t="str" cm="1">
        <f t="array" aca="1" ref="NL39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39" s="96" t="str">
        <f ca="1">LEFT(Geschlecht[[#This Row],[Geschlecht (Skala)]],1)&amp;NR$4</f>
        <v>2</v>
      </c>
      <c r="NN39" s="96" t="str">
        <f t="shared" ca="1" si="84"/>
        <v>Parkour_2[Resultat]</v>
      </c>
      <c r="NO39" s="97" t="str" cm="1">
        <f t="array" aca="1" ref="NO39" ca="1">IF(INDIRECT(NL$1)="","",IF(INDIRECT(NL$2)=0,0,IF(OR(INDIRECT(NL$1)=$A$2,INDIRECT(NL$1)=$A$3),$A$3,IFERROR(INDEX(INDIRECT(NN39),MATCH(INDIRECT(NL$3),INDIRECT(NN39),NN$25)),IFERROR(IF(NN$25=-1,MAX(INDIRECT(NN39)),IF(NN$25=1,MIN(INDIRECT(NN39)))),"")))))</f>
        <v/>
      </c>
      <c r="NQ39" s="91" t="str">
        <f t="shared" ca="1" si="85"/>
        <v>Parkour_2[Note]</v>
      </c>
      <c r="NR39" s="97" t="str" cm="1">
        <f t="array" aca="1" ref="NR39" ca="1">IFERROR(INDEX(INDIRECT(NQ39),MATCH(INDIRECT(NL$5),INDIRECT(NN39),0)),IF(INDIRECT(NL$5)=0,1,""))</f>
        <v/>
      </c>
      <c r="NS39" s="97"/>
      <c r="NT39" s="97" t="str" cm="1">
        <f t="array" aca="1" ref="NT39" ca="1">INDIRECT(NT$5)</f>
        <v/>
      </c>
      <c r="NU39" s="97" t="str" cm="1">
        <f t="array" aca="1" ref="NU39" ca="1">INDIRECT(NU$5)</f>
        <v/>
      </c>
      <c r="NV39" s="97" t="str" cm="1">
        <f t="array" aca="1" ref="NV39" ca="1">INDIRECT(NV$5)</f>
        <v/>
      </c>
      <c r="NW39" s="97" t="str" cm="1">
        <f t="array" aca="1" ref="NW39" ca="1">INDIRECT(NW$5)</f>
        <v/>
      </c>
      <c r="NX39" s="97" t="str">
        <f t="shared" ca="1" si="86"/>
        <v>Parkour nicht durchgeführt</v>
      </c>
      <c r="NY39" s="97" t="str">
        <f t="shared" ca="1" si="197"/>
        <v/>
      </c>
      <c r="NZ39" s="97" t="str" cm="1">
        <f t="array" aca="1" ref="NZ39" ca="1">IFERROR(IF(INDIRECT(INDEX(INDIRECT(NZ$5),MATCH(NX39,INDIRECT(NZ$4),0)))&lt;&gt;"",INDEX(INDIRECT(NZ$5),MATCH(NX39,INDIRECT(NZ$4),0)),INDEX(INDIRECT(NZ$6),MATCH(NX39,INDIRECT(NZ$4),0))),"")</f>
        <v/>
      </c>
      <c r="OA39" s="97" t="str">
        <f t="shared" ca="1" si="198"/>
        <v/>
      </c>
      <c r="OB39" s="97" t="str" cm="1">
        <f t="array" aca="1" ref="OB39" ca="1">IFERROR(INDIRECT(NZ39),IF(NOT(ISERROR(FIND(Stammdaten!$CC$3,NX39,1))),$A$2,""))</f>
        <v/>
      </c>
      <c r="OC39" s="97" t="str">
        <f ca="1">IF(OB39="","",IF(AND(NY39=Stammdaten!$BX$20,OA39="0",OB39=1),SUBSTITUTE(TEXT(OB39,OA39)&amp;" "&amp;LEFT(NY39,LEN(NY39)-1),".",","),SUBSTITUTE(TEXT(OB39,OA39)&amp;" "&amp;NY39,".",",")))</f>
        <v/>
      </c>
      <c r="OD39" s="97" t="str">
        <f t="shared" ca="1" si="87"/>
        <v/>
      </c>
      <c r="OE39" s="97" t="str" cm="1">
        <f t="array" aca="1" ref="OE39" ca="1">IFERROR(LEFT(INDIRECT(OD39),1)&amp;"]","")</f>
        <v/>
      </c>
      <c r="OF39" s="97" t="str">
        <f t="shared" ca="1" si="88"/>
        <v/>
      </c>
      <c r="OG39" s="97" t="str">
        <f ca="1">IFERROR(LEFT(NX39,FIND(Stammdaten!$CA$4,NX39,1)-2),IFERROR(LEFT(NX39,FIND(Stammdaten!$CC$3,NX39,1)-2),NX39))</f>
        <v>Parkour</v>
      </c>
      <c r="OH39" s="97" t="str">
        <f ca="1">IF(NOT(ISERROR(FIND(Stammdaten!$CA$4,NX39,1))),Stammdaten!$CA$4,IF(OI39&lt;&gt;Stammdaten!$CC$3,OF39,""))</f>
        <v>nicht durchgeführt</v>
      </c>
      <c r="OI39" s="91" t="str">
        <f ca="1">IF(OB39=$A$2,Stammdaten!$CC$3,OC39)</f>
        <v/>
      </c>
      <c r="OJ39" s="97" t="str">
        <f t="shared" ca="1" si="89"/>
        <v/>
      </c>
      <c r="OK39" s="97" t="str">
        <f t="shared" ca="1" si="90"/>
        <v/>
      </c>
      <c r="OL39" s="97">
        <f t="shared" ca="1" si="199"/>
        <v>0</v>
      </c>
      <c r="OM39" s="108">
        <f t="shared" ca="1" si="91"/>
        <v>0</v>
      </c>
      <c r="ON39" s="108">
        <f t="shared" ca="1" si="92"/>
        <v>0</v>
      </c>
      <c r="OO39" s="108" t="str">
        <f t="shared" ca="1" si="200"/>
        <v/>
      </c>
      <c r="OP39" s="97" t="str">
        <f ca="1">IF(OO39="",Stammdaten!$BZ$1,IF(AND(OM39=0,ON39&gt;=OO$25),$A$3,ROUND(SUM(OL39/OO39)/OP$25,0)*OP$25))</f>
        <v>Zu wenige Werte</v>
      </c>
      <c r="OQ39" s="108">
        <f t="shared" ca="1" si="201"/>
        <v>6</v>
      </c>
      <c r="OR39" s="97" t="str">
        <f t="shared" ca="1" si="202"/>
        <v/>
      </c>
      <c r="OS39" s="97" t="str">
        <f t="shared" ca="1" si="203"/>
        <v/>
      </c>
      <c r="OT39" s="97" t="str">
        <f t="shared" ca="1" si="204"/>
        <v/>
      </c>
      <c r="OU39" s="97" t="str">
        <f t="shared" ca="1" si="205"/>
        <v>g</v>
      </c>
      <c r="OV39" s="97" t="str">
        <f t="shared" ca="1" si="206"/>
        <v/>
      </c>
      <c r="OW39" s="97">
        <f t="shared" ca="1" si="207"/>
        <v>1</v>
      </c>
      <c r="OX39" s="97" t="str">
        <f ca="1">IF(OR(Geschlecht[[#This Row],[Geschlecht (Skala)]]="",NOT(ISNUMBER(OO39))),"",OW39)</f>
        <v/>
      </c>
      <c r="OY39" s="97" t="str">
        <f t="shared" ca="1" si="208"/>
        <v/>
      </c>
      <c r="OZ39" s="97"/>
      <c r="PA39" s="308" t="str">
        <f t="shared" ca="1" si="209"/>
        <v>Zu wenige Werte</v>
      </c>
      <c r="PB39" s="97"/>
      <c r="PC39" s="307"/>
      <c r="PD39" s="96" t="str">
        <f>IFERROR(IFERROR(SUBSTITUTE(TanzenResultat[[#This Row],[Eingabe]],".",",")*1,SUBSTITUTE(TanzenResultat[[#This Row],[Eingabe]],",",".")*1),"")</f>
        <v/>
      </c>
      <c r="PE39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39" s="96"/>
      <c r="PG39" s="91" t="str" cm="1">
        <f t="array" aca="1" ref="PG39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39" s="96" t="str">
        <f ca="1">LEFT(Geschlecht[[#This Row],[Geschlecht (Skala)]],1)&amp;PM$4</f>
        <v>2</v>
      </c>
      <c r="PI39" s="96" t="str">
        <f t="shared" ca="1" si="93"/>
        <v>Tanzen_2[Resultat]</v>
      </c>
      <c r="PJ39" s="97" t="str" cm="1">
        <f t="array" aca="1" ref="PJ39" ca="1">IF(INDIRECT(PG$1)="","",IF(INDIRECT(PG$2)=0,0,IF(OR(INDIRECT(PG$1)=$A$2,INDIRECT(PG$1)=$A$3),$A$3,IFERROR(INDEX(INDIRECT(PI39),MATCH(INDIRECT(PG$3),INDIRECT(PI39),PI$25)),IFERROR(IF(PI$25=-1,MAX(INDIRECT(PI39)),IF(PI$25=1,MIN(INDIRECT(PI39)))),"")))))</f>
        <v/>
      </c>
      <c r="PL39" s="91" t="str">
        <f t="shared" ca="1" si="94"/>
        <v>Tanzen_2[Note]</v>
      </c>
      <c r="PM39" s="97" t="str" cm="1">
        <f t="array" aca="1" ref="PM39" ca="1">IFERROR(INDEX(INDIRECT(PL39),MATCH(INDIRECT(PG$5),INDIRECT(PI39),0)),IF(INDIRECT(PG$5)=0,1,""))</f>
        <v/>
      </c>
      <c r="PN39" s="97"/>
      <c r="PO39" s="307"/>
      <c r="PP39" s="96" t="str">
        <f>IFERROR(IFERROR(SUBSTITUTE(RopeSkippingResultat[[#This Row],[Eingabe]],".",",")*1,SUBSTITUTE(RopeSkippingResultat[[#This Row],[Eingabe]],",",".")*1),"")</f>
        <v/>
      </c>
      <c r="PQ39" s="96" t="e">
        <f>INT(RopeSkippingResultat[[#This Row],[Resultat]])=RopeSkippingResultat[[#This Row],[Resultat]]</f>
        <v>#VALUE!</v>
      </c>
      <c r="PR39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39" s="96"/>
      <c r="PT39" s="91" t="str" cm="1">
        <f t="array" aca="1" ref="PT39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39" s="96" t="str">
        <f ca="1">LEFT(Geschlecht[[#This Row],[Geschlecht (Skala)]],1)&amp;PZ$4</f>
        <v>2</v>
      </c>
      <c r="PV39" s="96" t="str">
        <f t="shared" ca="1" si="95"/>
        <v>RopeSkipping_2[Resultat]</v>
      </c>
      <c r="PW39" s="97" t="str" cm="1">
        <f t="array" aca="1" ref="PW39" ca="1">IF(INDIRECT(PT$1)="","",IF(INDIRECT(PT$2)=0,0,IF(OR(INDIRECT(PT$1)=$A$2,INDIRECT(PT$1)=$A$3),$A$3,IFERROR(INDEX(INDIRECT(PV39),MATCH(INDIRECT(PT$3),INDIRECT(PV39),PV$25)),IFERROR(IF(PV$25=-1,MAX(INDIRECT(PV39)),IF(PV$25=1,MIN(INDIRECT(PV39)))),"")))))</f>
        <v/>
      </c>
      <c r="PY39" s="91" t="str">
        <f t="shared" ca="1" si="96"/>
        <v>RopeSkipping_2[Note]</v>
      </c>
      <c r="PZ39" s="97" t="str" cm="1">
        <f t="array" aca="1" ref="PZ39" ca="1">IFERROR(INDEX(INDIRECT(PY39),MATCH(INDIRECT(PT$5),INDIRECT(PV39),0)),IF(INDIRECT(PT$5)=0,1,""))</f>
        <v/>
      </c>
      <c r="QA39" s="97"/>
      <c r="QB39" s="307"/>
      <c r="QC39" s="96" t="str">
        <f>IFERROR(IFERROR(SUBSTITUTE(AerobicResultat[[#This Row],[Eingabe]],".",",")*1,SUBSTITUTE(AerobicResultat[[#This Row],[Eingabe]],",",".")*1),"")</f>
        <v/>
      </c>
      <c r="QD39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39" s="96"/>
      <c r="QF39" s="91" t="str" cm="1">
        <f t="array" aca="1" ref="QF39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39" s="96" t="str">
        <f ca="1">LEFT(Geschlecht[[#This Row],[Geschlecht (Skala)]],1)&amp;QL$4</f>
        <v>2</v>
      </c>
      <c r="QH39" s="96" t="str">
        <f t="shared" ca="1" si="97"/>
        <v>Aerobic_2[Resultat]</v>
      </c>
      <c r="QI39" s="97" t="str" cm="1">
        <f t="array" aca="1" ref="QI39" ca="1">IF(INDIRECT(QF$1)="","",IF(INDIRECT(QF$2)=0,0,IF(OR(INDIRECT(QF$1)=$A$2,INDIRECT(QF$1)=$A$3),$A$3,IFERROR(INDEX(INDIRECT(QH39),MATCH(INDIRECT(QF$3),INDIRECT(QH39),QH$25)),IFERROR(IF(QH$25=-1,MAX(INDIRECT(QH39)),IF(QH$25=1,MIN(INDIRECT(QH39)))),"")))))</f>
        <v/>
      </c>
      <c r="QK39" s="91" t="str">
        <f t="shared" ca="1" si="98"/>
        <v>Aerobic_2[Note]</v>
      </c>
      <c r="QL39" s="97" t="str" cm="1">
        <f t="array" aca="1" ref="QL39" ca="1">IFERROR(INDEX(INDIRECT(QK39),MATCH(INDIRECT(QF$5),INDIRECT(QH39),0)),IF(INDIRECT(QF$5)=0,1,""))</f>
        <v/>
      </c>
      <c r="QM39" s="97"/>
      <c r="QN39" s="97" t="str" cm="1">
        <f t="array" aca="1" ref="QN39" ca="1">INDIRECT(QN$5)</f>
        <v/>
      </c>
      <c r="QO39" s="97" t="str" cm="1">
        <f t="array" aca="1" ref="QO39" ca="1">INDIRECT(QO$5)</f>
        <v/>
      </c>
      <c r="QP39" s="97" t="str" cm="1">
        <f t="array" aca="1" ref="QP39" ca="1">INDIRECT(QP$5)</f>
        <v/>
      </c>
      <c r="QQ39" s="97" t="str" cm="1">
        <f t="array" aca="1" ref="QQ39" ca="1">INDIRECT(QQ$5)</f>
        <v/>
      </c>
      <c r="QR39" s="97" t="str" cm="1">
        <f t="array" aca="1" ref="QR39" ca="1">INDIRECT(QR$5)</f>
        <v/>
      </c>
      <c r="QS39" s="97" t="str" cm="1">
        <f t="array" aca="1" ref="QS39" ca="1">INDIRECT(QS$5)</f>
        <v/>
      </c>
      <c r="QT39" s="97" t="str">
        <f t="shared" ca="1" si="99"/>
        <v>Darstellen und Tanzen nicht durchgeführt</v>
      </c>
      <c r="QU39" s="108">
        <f t="shared" ca="1" si="100"/>
        <v>0</v>
      </c>
      <c r="QV39" s="108">
        <f t="shared" ca="1" si="101"/>
        <v>0</v>
      </c>
      <c r="QW39" s="108" t="str">
        <f t="shared" ca="1" si="210"/>
        <v/>
      </c>
      <c r="QX39" s="97" t="str">
        <f t="shared" ca="1" si="211"/>
        <v>Darstellen und Tanzen nicht durchgeführt</v>
      </c>
      <c r="QY39" s="97" t="str">
        <f t="shared" ca="1" si="212"/>
        <v/>
      </c>
      <c r="QZ39" s="97" t="str" cm="1">
        <f t="array" aca="1" ref="QZ39" ca="1">IFERROR(IF(INDIRECT(INDEX(INDIRECT(QZ$5),MATCH(QX39,INDIRECT(QZ$4),0)))&lt;&gt;"",INDEX(INDIRECT(QZ$5),MATCH(QX39,INDIRECT(QZ$4),0)),INDEX(INDIRECT(QZ$6),MATCH(QX39,INDIRECT(QZ$4),0))),"")</f>
        <v/>
      </c>
      <c r="RA39" s="97" t="str">
        <f t="shared" ca="1" si="213"/>
        <v/>
      </c>
      <c r="RB39" s="97" t="str" cm="1">
        <f t="array" aca="1" ref="RB39" ca="1">IFERROR(INDIRECT(QZ39),IF(NOT(ISERROR(FIND(Stammdaten!$CC$3,QX39,1))),$A$2,""))</f>
        <v/>
      </c>
      <c r="RC39" s="97" t="str">
        <f ca="1">IF(RB39="","",IF(AND(QY39=Stammdaten!$BX$20,RA39="0",RB39=1),SUBSTITUTE(TEXT(RB39,RA39)&amp;" "&amp;LEFT(QY39,LEN(QY39)-1),".",","),SUBSTITUTE(TEXT(RB39,RA39)&amp;" "&amp;QY39,".",",")))</f>
        <v/>
      </c>
      <c r="RD39" s="97" t="str">
        <f t="shared" ca="1" si="102"/>
        <v/>
      </c>
      <c r="RE39" s="97" t="str" cm="1">
        <f t="array" aca="1" ref="RE39" ca="1">IFERROR(LEFT(INDIRECT(RD39),1)&amp;"]","")</f>
        <v/>
      </c>
      <c r="RF39" s="97" t="str">
        <f t="shared" ca="1" si="103"/>
        <v/>
      </c>
      <c r="RG39" s="97" t="str">
        <f ca="1">IFERROR(LEFT(QX39,FIND(Stammdaten!$CA$4,QX39,1)-2),IFERROR(LEFT(QX39,FIND(Stammdaten!$CC$3,QX39,1)-2),QX39))</f>
        <v>Darstellen und Tanzen</v>
      </c>
      <c r="RH39" s="97" t="str">
        <f ca="1">IF(NOT(ISERROR(FIND(Stammdaten!$CA$4,QX39,1))),Stammdaten!$CA$4,IF(RI39&lt;&gt;Stammdaten!$CC$3,RF39,""))</f>
        <v>nicht durchgeführt</v>
      </c>
      <c r="RI39" s="91" t="str">
        <f ca="1">IF(RB39=$A$2,Stammdaten!$CC$3,RC39)</f>
        <v/>
      </c>
      <c r="RJ39" s="108">
        <f t="shared" ca="1" si="214"/>
        <v>6</v>
      </c>
      <c r="RK39" s="97"/>
      <c r="RL39" s="308" t="str">
        <f ca="1">IF(QT39=$QT$4,Stammdaten!$BZ$1,IF(QT39=$QT$5,$A$3,QT39))</f>
        <v>Zu wenige Werte</v>
      </c>
      <c r="RM39" s="97"/>
      <c r="RN39" s="307"/>
      <c r="RO39" s="96" t="str">
        <f>IFERROR(IFERROR(SUBSTITUTE(BasketballResultat[[#This Row],[Eingabe]],".",",")*1,SUBSTITUTE(BasketballResultat[[#This Row],[Eingabe]],",",".")*1),"")</f>
        <v/>
      </c>
      <c r="RP39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39" s="96"/>
      <c r="RR39" s="91" t="str" cm="1">
        <f t="array" aca="1" ref="RR39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39" s="96" t="str">
        <f ca="1">LEFT(Geschlecht[[#This Row],[Geschlecht (Skala)]],1)&amp;RX$4</f>
        <v>2</v>
      </c>
      <c r="RT39" s="96" t="str">
        <f t="shared" ca="1" si="104"/>
        <v>Basketball_2[Resultat]</v>
      </c>
      <c r="RU39" s="97" t="str" cm="1">
        <f t="array" aca="1" ref="RU39" ca="1">IF(INDIRECT(RR$1)="","",IF(INDIRECT(RR$2)=0,0,IF(OR(INDIRECT(RR$1)=$A$2,INDIRECT(RR$1)=$A$3),$A$3,IFERROR(INDEX(INDIRECT(RT39),MATCH(INDIRECT(RR$3),INDIRECT(RT39),RT$25)),IFERROR(IF(RT$25=-1,MAX(INDIRECT(RT39)),IF(RT$25=1,MIN(INDIRECT(RT39)))),"")))))</f>
        <v/>
      </c>
      <c r="RW39" s="91" t="str">
        <f t="shared" ca="1" si="105"/>
        <v>Basketball_2[Note]</v>
      </c>
      <c r="RX39" s="97" t="str" cm="1">
        <f t="array" aca="1" ref="RX39" ca="1">IFERROR(INDEX(INDIRECT(RW39),MATCH(INDIRECT(RR$5),INDIRECT(RT39),0)),IF(INDIRECT(RR$5)=0,1,""))</f>
        <v/>
      </c>
      <c r="RY39" s="97"/>
      <c r="RZ39" s="307"/>
      <c r="SA39" s="96" t="str">
        <f>IFERROR(IFERROR(SUBSTITUTE(FussballResultat[[#This Row],[Eingabe]],".",",")*1,SUBSTITUTE(FussballResultat[[#This Row],[Eingabe]],",",".")*1),"")</f>
        <v/>
      </c>
      <c r="SB39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39" s="96"/>
      <c r="SD39" s="316" t="str" cm="1">
        <f t="array" aca="1" ref="SD39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39" s="96" t="str">
        <f ca="1">LEFT(Geschlecht[[#This Row],[Geschlecht (Skala)]],1)&amp;SJ$4</f>
        <v>2</v>
      </c>
      <c r="SF39" s="96" t="str">
        <f t="shared" ca="1" si="106"/>
        <v>Fussball_2[Resultat]</v>
      </c>
      <c r="SG39" s="97" t="str" cm="1">
        <f t="array" aca="1" ref="SG39" ca="1">IF(INDIRECT(SD$1)="","",IF(INDIRECT(SD$2)=0,0,IF(OR(INDIRECT(SD$1)=$A$2,INDIRECT(SD$1)=$A$3),$A$3,IFERROR(INDEX(INDIRECT(SF39),MATCH(INDIRECT(SD$3),INDIRECT(SF39),SF$25)),IFERROR(IF(SF$25=-1,MAX(INDIRECT(SF39)),IF(SF$25=1,MIN(INDIRECT(SF39)))),"")))))</f>
        <v/>
      </c>
      <c r="SI39" s="91" t="str">
        <f t="shared" ca="1" si="107"/>
        <v>Fussball_2[Note]</v>
      </c>
      <c r="SJ39" s="97" t="str" cm="1">
        <f t="array" aca="1" ref="SJ39" ca="1">IFERROR(INDEX(INDIRECT(SI39),MATCH(INDIRECT(SD$5),INDIRECT(SF39),0)),IF(INDIRECT(SD$5)=0,1,""))</f>
        <v/>
      </c>
      <c r="SK39" s="97"/>
      <c r="SL39" s="307"/>
      <c r="SM39" s="96" t="str">
        <f>IFERROR(IFERROR(SUBSTITUTE(HandballResultat[[#This Row],[Eingabe]],".",",")*1,SUBSTITUTE(HandballResultat[[#This Row],[Eingabe]],",",".")*1),"")</f>
        <v/>
      </c>
      <c r="SN39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39" s="96"/>
      <c r="SP39" s="91" t="str" cm="1">
        <f t="array" aca="1" ref="SP39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39" s="96" t="str">
        <f ca="1">LEFT(Geschlecht[[#This Row],[Geschlecht (Skala)]],1)&amp;SV$4</f>
        <v>2</v>
      </c>
      <c r="SR39" s="96" t="str">
        <f t="shared" ca="1" si="108"/>
        <v>Handball_2[Resultat]</v>
      </c>
      <c r="SS39" s="97" t="str" cm="1">
        <f t="array" aca="1" ref="SS39" ca="1">IF(INDIRECT(SP$1)="","",IF(INDIRECT(SP$2)=0,0,IF(OR(INDIRECT(SP$1)=$A$2,INDIRECT(SP$1)=$A$3),$A$3,IFERROR(INDEX(INDIRECT(SR39),MATCH(INDIRECT(SP$3),INDIRECT(SR39),SR$25)),IFERROR(IF(SR$25=-1,MAX(INDIRECT(SR39)),IF(SR$25=1,MIN(INDIRECT(SR39)))),"")))))</f>
        <v/>
      </c>
      <c r="SU39" s="91" t="str">
        <f t="shared" ca="1" si="109"/>
        <v>Handball_2[Note]</v>
      </c>
      <c r="SV39" s="97" t="str" cm="1">
        <f t="array" aca="1" ref="SV39" ca="1">IFERROR(INDEX(INDIRECT(SU39),MATCH(INDIRECT(SP$5),INDIRECT(SR39),0)),IF(INDIRECT(SP$5)=0,1,""))</f>
        <v/>
      </c>
      <c r="SW39" s="97"/>
      <c r="SX39" s="307"/>
      <c r="SY39" s="96" t="str">
        <f>IFERROR(IFERROR(SUBSTITUTE(UnihockeyResultat[[#This Row],[Eingabe]],".",",")*1,SUBSTITUTE(UnihockeyResultat[[#This Row],[Eingabe]],",",".")*1),"")</f>
        <v/>
      </c>
      <c r="SZ39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39" s="96"/>
      <c r="TB39" s="91" t="str" cm="1">
        <f t="array" aca="1" ref="TB39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39" s="96" t="str">
        <f ca="1">LEFT(Geschlecht[[#This Row],[Geschlecht (Skala)]],1)&amp;TH$4</f>
        <v>2</v>
      </c>
      <c r="TD39" s="96" t="str">
        <f t="shared" ca="1" si="110"/>
        <v>Unihockey_2[Resultat]</v>
      </c>
      <c r="TE39" s="97" t="str" cm="1">
        <f t="array" aca="1" ref="TE39" ca="1">IF(INDIRECT(TB$1)="","",IF(INDIRECT(TB$2)=0,0,IF(OR(INDIRECT(TB$1)=$A$2,INDIRECT(TB$1)=$A$3),$A$3,IFERROR(INDEX(INDIRECT(TD39),MATCH(INDIRECT(TB$3),INDIRECT(TD39),TD$25)),IFERROR(IF(TD$25=-1,MAX(INDIRECT(TD39)),IF(TD$25=1,MIN(INDIRECT(TD39)))),"")))))</f>
        <v/>
      </c>
      <c r="TG39" s="91" t="str">
        <f t="shared" ca="1" si="111"/>
        <v>Unihockey_2[Note]</v>
      </c>
      <c r="TH39" s="97" t="str" cm="1">
        <f t="array" aca="1" ref="TH39" ca="1">IFERROR(INDEX(INDIRECT(TG39),MATCH(INDIRECT(TB$5),INDIRECT(TD39),0)),IF(INDIRECT(TB$5)=0,1,""))</f>
        <v/>
      </c>
      <c r="TI39" s="97"/>
      <c r="TJ39" s="307"/>
      <c r="TK39" s="96" t="str">
        <f>IFERROR(IFERROR(SUBSTITUTE(VolleyballResultat[[#This Row],[Eingabe]],".",",")*1,SUBSTITUTE(VolleyballResultat[[#This Row],[Eingabe]],",",".")*1),"")</f>
        <v/>
      </c>
      <c r="TL39" s="96" t="e">
        <f>INT(VolleyballResultat[[#This Row],[Resultat]])=VolleyballResultat[[#This Row],[Resultat]]</f>
        <v>#VALUE!</v>
      </c>
      <c r="TM39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39" s="96"/>
      <c r="TO39" s="91" t="str" cm="1">
        <f t="array" aca="1" ref="TO39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39" s="96" t="str">
        <f ca="1">LEFT(Geschlecht[[#This Row],[Geschlecht (Skala)]],1)&amp;TU$4</f>
        <v>2</v>
      </c>
      <c r="TQ39" s="96" t="str">
        <f t="shared" ca="1" si="112"/>
        <v>Volleyball_2[Resultat]</v>
      </c>
      <c r="TR39" s="97" t="str" cm="1">
        <f t="array" aca="1" ref="TR39" ca="1">IF(INDIRECT(TO$1)="","",IF(INDIRECT(TO$2)=0,0,IF(OR(INDIRECT(TO$1)=$A$2,INDIRECT(TO$1)=$A$3),$A$3,IFERROR(INDEX(INDIRECT(TQ39),MATCH(INDIRECT(TO$3),INDIRECT(TQ39),TQ$25)),IFERROR(IF(TQ$25=-1,MAX(INDIRECT(TQ39)),IF(TQ$25=1,MIN(INDIRECT(TQ39)))),"")))))</f>
        <v/>
      </c>
      <c r="TT39" s="91" t="str">
        <f t="shared" ca="1" si="113"/>
        <v>Volleyball_2[Note]</v>
      </c>
      <c r="TU39" s="97" t="str" cm="1">
        <f t="array" aca="1" ref="TU39" ca="1">IFERROR(INDEX(INDIRECT(TT39),MATCH(INDIRECT(TO$5),INDIRECT(TQ39),0)),IF(INDIRECT(TO$5)=0,1,""))</f>
        <v/>
      </c>
      <c r="TV39" s="97"/>
      <c r="TW39" s="309" t="str" cm="1">
        <f t="array" aca="1" ref="TW39" ca="1">IF(AND(ISNUMBER(INDIRECT(TW$3)),INDIRECT(TW$3)&gt;1),INDIRECT(TW$3),"")</f>
        <v/>
      </c>
      <c r="TX39" s="309" t="str" cm="1">
        <f t="array" aca="1" ref="TX39" ca="1">IF(AND(ISNUMBER(INDIRECT(TX$3)),INDIRECT(TX$3)&gt;1),INDIRECT(TX$3),"")</f>
        <v/>
      </c>
      <c r="TY39" s="309" t="str" cm="1">
        <f t="array" aca="1" ref="TY39" ca="1">IF(AND(ISNUMBER(INDIRECT(TY$3)),INDIRECT(TY$3)&gt;1),INDIRECT(TY$3),"")</f>
        <v/>
      </c>
      <c r="TZ39" s="309" t="str" cm="1">
        <f t="array" aca="1" ref="TZ39" ca="1">IF(AND(ISNUMBER(INDIRECT(TZ$3)),INDIRECT(TZ$3)&gt;1),INDIRECT(TZ$3),"")</f>
        <v/>
      </c>
      <c r="UA39" s="309" t="str" cm="1">
        <f t="array" aca="1" ref="UA39" ca="1">IF(AND(ISNUMBER(INDIRECT(UA$3)),INDIRECT(UA$3)&gt;1),INDIRECT(UA$3),"")</f>
        <v/>
      </c>
      <c r="UB39" s="309" t="str">
        <f t="shared" ca="1" si="114"/>
        <v>x</v>
      </c>
      <c r="UC39" s="309" t="str">
        <f t="shared" ca="1" si="115"/>
        <v>y</v>
      </c>
      <c r="UD39" s="309" t="str">
        <f t="shared" ca="1" si="116"/>
        <v>z</v>
      </c>
      <c r="UE39" s="309" t="str">
        <f t="shared" ca="1" si="215"/>
        <v>a</v>
      </c>
      <c r="UF39" s="309" t="str" cm="1">
        <f t="array" aca="1" ref="UF39" ca="1">IF(UE39="a","",INDEX($TW$23:$UA$23,,MATCH(UE39,$TW39:$UA39,0)))</f>
        <v/>
      </c>
      <c r="UG39" s="309" t="str" cm="1">
        <f t="array" aca="1" ref="UG39" ca="1">IF(OR(UF39="",UF39&gt;=$UA$23),"",INDEX(INDIRECT(ADDRESS(ROW($TW$23),UF39+1)):$UA$23,,MATCH(UE39,INDIRECT(ADDRESS(ROW(),UF39+1)):$UA39,0)))</f>
        <v/>
      </c>
      <c r="UH39" s="309" t="str" cm="1">
        <f t="array" aca="1" ref="UH39" ca="1">IF(OR(UG39="",UG39&gt;=$UA$23),"",INDEX(INDIRECT(ADDRESS(ROW($TW$23),UG39+1)):$UA$23,,MATCH(UE39,INDIRECT(ADDRESS(ROW(),UG39+1)):$UA39,0)))</f>
        <v/>
      </c>
      <c r="UI39" s="309" t="str">
        <f t="shared" ca="1" si="216"/>
        <v>c</v>
      </c>
      <c r="UJ39" s="309" t="str" cm="1">
        <f t="array" aca="1" ref="UJ39" ca="1">IF(OR(UI39="b",UI39="c"),"",INDEX($TW$23:$UA$23,,MATCH(UI39,$TW39:$UA39,0)))</f>
        <v/>
      </c>
      <c r="UK39" s="309" t="str" cm="1">
        <f t="array" aca="1" ref="UK39" ca="1">IF(OR(UJ39="",UJ39&gt;=$UA$23),"",INDEX(INDIRECT(ADDRESS(ROW($TW$23),UJ39+1)):$UA$23,,MATCH(UI39,INDIRECT(ADDRESS(ROW(),UJ39+1)):$UA39,0)))</f>
        <v/>
      </c>
      <c r="UL39" s="309" t="str">
        <f t="shared" ca="1" si="117"/>
        <v/>
      </c>
      <c r="UM39" s="309" t="str">
        <f t="shared" ca="1" si="217"/>
        <v>e</v>
      </c>
      <c r="UN39" s="309" t="str">
        <f t="shared" ca="1" si="118"/>
        <v/>
      </c>
      <c r="UO39" s="309" t="str" cm="1">
        <f t="array" aca="1" ref="UO39" ca="1">IF(OR(UM39="d",UM39="e"),"",INDEX($TW$23:$UA$23,,MATCH(UM39,$TW39:$UA39,0)))</f>
        <v/>
      </c>
      <c r="UP39" s="309" t="str" cm="1">
        <f t="array" aca="1" ref="UP39" ca="1">IF(OR(UO39="",UO39&gt;=$UA$23),"",INDEX(INDIRECT(ADDRESS(ROW($TW$23),UO39+1)):$UA$23,,MATCH(UM39,INDIRECT(ADDRESS(ROW(),UO39+1)):$UA39,0)))</f>
        <v/>
      </c>
      <c r="UQ39" s="309" t="str" cm="1">
        <f t="array" aca="1" ref="UQ39" ca="1">IFERROR(IF(ISNUMBER(UF39),UF39,IF(ISNUMBER(UJ39),UJ39,IF(ISNUMBER(UN39),UN39,INDEX($TW$23:$UA$23,,MATCH(UB39,$TW39:$UA39,0))))),"x1")</f>
        <v>x1</v>
      </c>
      <c r="UR39" s="309" t="str" cm="1">
        <f t="array" aca="1" ref="UR39" ca="1">IFERROR(IF(ISNUMBER(UG39),UG39,IF(ISNUMBER(UK39),UK39,IF(ISNUMBER(UO39),UO39,INDEX($TW$23:$UA$23,,MATCH(UC39,$TW39:$UA39,0))))),IF(UQ39="x1","x2","x1"))</f>
        <v>x2</v>
      </c>
      <c r="US39" s="309" t="str" cm="1">
        <f t="array" aca="1" ref="US39" ca="1">IFERROR(IF(ISNUMBER(UH39),UH39,IF(ISNUMBER(UL39),UL39,IF(ISNUMBER(UP39),UP39,INDEX($TW$23:$UA$23,,MATCH(UD39,$TW39:$UA39,0))))),IF(UR39="x1","x2",IF(UR39="x2","x3","x1")))</f>
        <v>x3</v>
      </c>
      <c r="UT39" s="97" t="str" cm="1">
        <f t="array" aca="1" ref="UT39" ca="1">IF(OR(INDIRECT(UT$3)=$A$2,INDIRECT(UT$3)=$A$3),COLUMN(),"")</f>
        <v/>
      </c>
      <c r="UU39" s="97" t="str" cm="1">
        <f t="array" aca="1" ref="UU39" ca="1">IF(OR(INDIRECT(UU$3)=$A$2,INDIRECT(UU$3)=$A$3),COLUMN(),"")</f>
        <v/>
      </c>
      <c r="UV39" s="97" t="str" cm="1">
        <f t="array" aca="1" ref="UV39" ca="1">IF(OR(INDIRECT(UV$3)=$A$2,INDIRECT(UV$3)=$A$3),COLUMN(),"")</f>
        <v/>
      </c>
      <c r="UW39" s="97" t="str" cm="1">
        <f t="array" aca="1" ref="UW39" ca="1">IF(OR(INDIRECT(UW$3)=$A$2,INDIRECT(UW$3)=$A$3),COLUMN(),"")</f>
        <v/>
      </c>
      <c r="UX39" s="97" t="str" cm="1">
        <f t="array" aca="1" ref="UX39" ca="1">IF(OR(INDIRECT(UX$3)=$A$2,INDIRECT(UX$3)=$A$3),COLUMN(),"")</f>
        <v/>
      </c>
      <c r="UY39" s="97" t="str" cm="1">
        <f t="array" aca="1" ref="UY39" ca="1">IF(AND(ISNUMBER(INDIRECT(UY$3)),INDIRECT(UY$3)=0),COLUMN(),"")</f>
        <v/>
      </c>
      <c r="UZ39" s="97" t="str" cm="1">
        <f t="array" aca="1" ref="UZ39" ca="1">IF(AND(ISNUMBER(INDIRECT(UZ$3)),INDIRECT(UZ$3)=0),COLUMN(),"")</f>
        <v/>
      </c>
      <c r="VA39" s="97" t="str" cm="1">
        <f t="array" aca="1" ref="VA39" ca="1">IF(AND(ISNUMBER(INDIRECT(VA$3)),INDIRECT(VA$3)=0),COLUMN(),"")</f>
        <v/>
      </c>
      <c r="VB39" s="97" t="str" cm="1">
        <f t="array" aca="1" ref="VB39" ca="1">IF(AND(ISNUMBER(INDIRECT(VB$3)),INDIRECT(VB$3)=0),COLUMN(),"")</f>
        <v/>
      </c>
      <c r="VC39" s="97" t="str" cm="1">
        <f t="array" aca="1" ref="VC39" ca="1">IF(AND(ISNUMBER(INDIRECT(VC$3)),INDIRECT(VC$3)=0),COLUMN(),"")</f>
        <v/>
      </c>
      <c r="VD39" s="97" t="str">
        <f t="shared" ca="1" si="218"/>
        <v>x1</v>
      </c>
      <c r="VE39" s="97" t="str">
        <f t="shared" ca="1" si="219"/>
        <v>x2</v>
      </c>
      <c r="VF39" s="97" t="str">
        <f t="shared" ca="1" si="220"/>
        <v>x3</v>
      </c>
      <c r="VG39" s="97" t="str">
        <f ca="1">IFERROR(IF(ISNUMBER(VD39),VD39,SMALL($UY39:$VC39,VALUE(RIGHT(VD39,1)))),Stammdaten!$CB$17)</f>
        <v>Erste Spielsportart nicht durchgeführt</v>
      </c>
      <c r="VH39" s="97" t="str">
        <f ca="1">IFERROR(IF(ISNUMBER(VE39),VE39,SMALL($UY39:$VC39,VALUE(RIGHT(VE39,1)))),Stammdaten!$CB$18)</f>
        <v>Zweite Spielsportart nicht durchgeführt</v>
      </c>
      <c r="VI39" s="97" t="str">
        <f ca="1">IFERROR(IF(ISNUMBER(VF39),VF39,SMALL($UY39:$VC39,VALUE(RIGHT(VF39,1)))),Stammdaten!$CB$19)</f>
        <v>Dritte Spielsportart nicht durchgeführt</v>
      </c>
      <c r="VJ39" s="91" t="str" cm="1">
        <f t="array" aca="1" ref="VJ39" ca="1">IFERROR(INDIRECT(ADDRESS(ROW($TW$5),VG39)),VG39)</f>
        <v>Erste Spielsportart nicht durchgeführt</v>
      </c>
      <c r="VK39" s="97" t="str">
        <f t="shared" ca="1" si="221"/>
        <v/>
      </c>
      <c r="VL39" s="97" t="str" cm="1">
        <f t="array" aca="1" ref="VL39" ca="1">IFERROR(IF(INDIRECT(INDEX(INDIRECT(VL$5),MATCH(VJ39,INDIRECT(VL$4),0)))&lt;&gt;"",INDEX(INDIRECT(VL$5),MATCH(VJ39,INDIRECT(VL$4),0)),INDEX(INDIRECT(VL$6),MATCH(VJ39,INDIRECT(VL$4),0))),"")</f>
        <v/>
      </c>
      <c r="VM39" s="97" t="str">
        <f t="shared" ca="1" si="222"/>
        <v/>
      </c>
      <c r="VN39" s="97" t="str" cm="1">
        <f t="array" aca="1" ref="VN39" ca="1">IFERROR(INDIRECT(VL39),"")</f>
        <v/>
      </c>
      <c r="VO39" s="97" t="str">
        <f ca="1">IF(VN39="","",IF(AND(VK39=Stammdaten!$BX$20,VM39="0",VN39=1),SUBSTITUTE(TEXT(VN39,VM39)&amp;" "&amp;LEFT(VK39,LEN(VK39)-1),".",","),SUBSTITUTE(TEXT(VN39,VM39)&amp;" "&amp;VK39,".",",")))</f>
        <v/>
      </c>
      <c r="VP39" s="97" t="str">
        <f t="shared" ca="1" si="119"/>
        <v/>
      </c>
      <c r="VQ39" s="97" t="str" cm="1">
        <f t="array" aca="1" ref="VQ39" ca="1">IFERROR(LEFT(INDIRECT(VP39),1)&amp;"]","")</f>
        <v/>
      </c>
      <c r="VR39" s="97" t="str">
        <f t="shared" ca="1" si="120"/>
        <v/>
      </c>
      <c r="VS39" s="97" t="str">
        <f ca="1">IFERROR(LEFT(VJ39,FIND(Stammdaten!$CA$4,VJ39,1)-2),IFERROR(LEFT(VJ39,FIND(Stammdaten!$CC$3,VJ39,1)-2),VJ39))</f>
        <v>Erste Spielsportart</v>
      </c>
      <c r="VT39" s="97" t="str">
        <f ca="1">IF(NOT(ISERROR(FIND(Stammdaten!$CA$4,VJ39,1))),Stammdaten!$CA$4,IF(VU39&lt;&gt;Stammdaten!$CC$3,VR39,""))</f>
        <v>nicht durchgeführt</v>
      </c>
      <c r="VU39" s="91" t="str">
        <f ca="1">IF(VN39=$A$2,Stammdaten!$CC$3,VO39)</f>
        <v/>
      </c>
      <c r="VV39" s="91" t="str" cm="1">
        <f t="array" aca="1" ref="VV39" ca="1">IFERROR(INDIRECT(ADDRESS(ROW($TW$5),VH39)),VH39)</f>
        <v>Zweite Spielsportart nicht durchgeführt</v>
      </c>
      <c r="VW39" s="97" t="str">
        <f t="shared" ca="1" si="223"/>
        <v/>
      </c>
      <c r="VX39" s="97" t="str" cm="1">
        <f t="array" aca="1" ref="VX39" ca="1">IFERROR(IF(INDIRECT(INDEX(INDIRECT(VX$5),MATCH(VV39,INDIRECT(VX$4),0)))&lt;&gt;"",INDEX(INDIRECT(VX$5),MATCH(VV39,INDIRECT(VX$4),0)),INDEX(INDIRECT(VX$6),MATCH(VV39,INDIRECT(VX$4),0))),"")</f>
        <v/>
      </c>
      <c r="VY39" s="97" t="str">
        <f t="shared" ca="1" si="224"/>
        <v/>
      </c>
      <c r="VZ39" s="97" t="str" cm="1">
        <f t="array" aca="1" ref="VZ39" ca="1">IFERROR(INDIRECT(VX39),"")</f>
        <v/>
      </c>
      <c r="WA39" s="97" t="str">
        <f ca="1">IF(VZ39="","",IF(AND(VW39=Stammdaten!$BX$20,VY39="0",VZ39=1),SUBSTITUTE(TEXT(VZ39,VY39)&amp;" "&amp;LEFT(VW39,LEN(VW39)-1),".",","),SUBSTITUTE(TEXT(VZ39,VY39)&amp;" "&amp;VW39,".",",")))</f>
        <v/>
      </c>
      <c r="WB39" s="97" t="str">
        <f t="shared" ca="1" si="121"/>
        <v/>
      </c>
      <c r="WC39" s="97" t="str" cm="1">
        <f t="array" aca="1" ref="WC39" ca="1">IFERROR(LEFT(INDIRECT(WB39),1)&amp;"]","")</f>
        <v/>
      </c>
      <c r="WD39" s="97" t="str">
        <f t="shared" ca="1" si="122"/>
        <v/>
      </c>
      <c r="WE39" s="97" t="str">
        <f ca="1">IFERROR(LEFT(VV39,FIND(Stammdaten!$CA$4,VV39,1)-2),IFERROR(LEFT(VV39,FIND(Stammdaten!$CC$3,VV39,1)-2),VV39))</f>
        <v>Zweite Spielsportart</v>
      </c>
      <c r="WF39" s="97" t="str">
        <f ca="1">IF(NOT(ISERROR(FIND(Stammdaten!$CA$4,VV39,1))),Stammdaten!$CA$4,IF(WG39&lt;&gt;Stammdaten!$CC$3,WD39,""))</f>
        <v>nicht durchgeführt</v>
      </c>
      <c r="WG39" s="91" t="str">
        <f ca="1">IF(VZ39=$A$2,Stammdaten!$CC$3,WA39)</f>
        <v/>
      </c>
      <c r="WH39" s="91" t="str" cm="1">
        <f t="array" aca="1" ref="WH39" ca="1">IFERROR(INDIRECT(ADDRESS(ROW($TW$5),VI39)),VI39)</f>
        <v>Dritte Spielsportart nicht durchgeführt</v>
      </c>
      <c r="WI39" s="97" t="str">
        <f t="shared" ca="1" si="225"/>
        <v/>
      </c>
      <c r="WJ39" s="97" t="str" cm="1">
        <f t="array" aca="1" ref="WJ39" ca="1">IFERROR(IF(INDIRECT(INDEX(INDIRECT(WJ$5),MATCH(WH39,INDIRECT(WJ$4),0)))&lt;&gt;"",INDEX(INDIRECT(WJ$5),MATCH(WH39,INDIRECT(WJ$4),0)),INDEX(INDIRECT(WJ$6),MATCH(WH39,INDIRECT(WJ$4),0))),"")</f>
        <v/>
      </c>
      <c r="WK39" s="97" t="str">
        <f t="shared" ca="1" si="226"/>
        <v/>
      </c>
      <c r="WL39" s="97" t="str" cm="1">
        <f t="array" aca="1" ref="WL39" ca="1">IFERROR(INDIRECT(WJ39),"")</f>
        <v/>
      </c>
      <c r="WM39" s="97" t="str">
        <f ca="1">IF(WL39="","",IF(AND(WI39=Stammdaten!$BX$20,WK39="0",WL39=1),SUBSTITUTE(TEXT(WL39,WK39)&amp;" "&amp;LEFT(WI39,LEN(WI39)-1),".",","),SUBSTITUTE(TEXT(WL39,WK39)&amp;" "&amp;WI39,".",",")))</f>
        <v/>
      </c>
      <c r="WN39" s="97" t="str">
        <f t="shared" ca="1" si="123"/>
        <v/>
      </c>
      <c r="WO39" s="97" t="str" cm="1">
        <f t="array" aca="1" ref="WO39" ca="1">IFERROR(LEFT(INDIRECT(WN39),1)&amp;"]","")</f>
        <v/>
      </c>
      <c r="WP39" s="97" t="str">
        <f t="shared" ca="1" si="124"/>
        <v/>
      </c>
      <c r="WQ39" s="97" t="str">
        <f ca="1">IFERROR(LEFT(WH39,FIND(Stammdaten!$CA$4,WH39,1)-2),IFERROR(LEFT(WH39,FIND(Stammdaten!$CC$3,WH39,1)-2),WH39))</f>
        <v>Dritte Spielsportart</v>
      </c>
      <c r="WR39" s="97" t="str">
        <f ca="1">IF(NOT(ISERROR(FIND(Stammdaten!$CA$4,WH39,1))),Stammdaten!$CA$4,IF(WS39&lt;&gt;Stammdaten!$CC$3,WP39,""))</f>
        <v>nicht durchgeführt</v>
      </c>
      <c r="WS39" s="91" t="str">
        <f ca="1">IF(WL39=$A$2,Stammdaten!$CC$3,WM39)</f>
        <v/>
      </c>
      <c r="WT39" s="97" t="str" cm="1">
        <f t="array" aca="1" ref="WT39" ca="1">INDIRECT(WT$5)</f>
        <v/>
      </c>
      <c r="WU39" s="97" t="str" cm="1">
        <f t="array" aca="1" ref="WU39" ca="1">INDIRECT(WU$5)</f>
        <v/>
      </c>
      <c r="WV39" s="97" t="str" cm="1">
        <f t="array" aca="1" ref="WV39" ca="1">INDIRECT(WV$5)</f>
        <v/>
      </c>
      <c r="WW39" s="97" t="str" cm="1">
        <f t="array" aca="1" ref="WW39" ca="1">INDIRECT(WW$5)</f>
        <v/>
      </c>
      <c r="WX39" s="97" t="str" cm="1">
        <f t="array" aca="1" ref="WX39" ca="1">INDIRECT(WX$5)</f>
        <v/>
      </c>
      <c r="WY39" s="97" cm="1">
        <f t="array" aca="1" ref="WY39" ca="1">IF(INDIRECT(WY$5)&lt;&gt;"",INDIRECT(WY$5),0)</f>
        <v>0</v>
      </c>
      <c r="WZ39" s="97" cm="1">
        <f t="array" aca="1" ref="WZ39" ca="1">IF(INDIRECT(WZ$5)&lt;&gt;"",INDIRECT(WZ$5),0)</f>
        <v>0</v>
      </c>
      <c r="XA39" s="97" cm="1">
        <f t="array" aca="1" ref="XA39" ca="1">IF(INDIRECT(XA$5)&lt;&gt;"",INDIRECT(XA$5),0)</f>
        <v>0</v>
      </c>
      <c r="XB39" s="97" cm="1">
        <f t="array" aca="1" ref="XB39" ca="1">IF(INDIRECT(XB$5)&lt;&gt;"",INDIRECT(XB$5),0)</f>
        <v>0</v>
      </c>
      <c r="XC39" s="97" cm="1">
        <f t="array" aca="1" ref="XC39" ca="1">IF(INDIRECT(XC$5)&lt;&gt;"",INDIRECT(XC$5),0)</f>
        <v>0</v>
      </c>
      <c r="XD39" s="97">
        <f t="shared" ca="1" si="125"/>
        <v>0</v>
      </c>
      <c r="XE39" s="97">
        <f t="shared" ca="1" si="125"/>
        <v>0</v>
      </c>
      <c r="XF39" s="97">
        <f t="shared" ca="1" si="125"/>
        <v>0</v>
      </c>
      <c r="XG39" s="97">
        <f t="shared" ca="1" si="227"/>
        <v>0</v>
      </c>
      <c r="XH39" s="108">
        <f t="shared" ca="1" si="228"/>
        <v>0</v>
      </c>
      <c r="XI39" s="108">
        <f t="shared" ca="1" si="126"/>
        <v>0</v>
      </c>
      <c r="XJ39" s="108" t="str">
        <f t="shared" ca="1" si="229"/>
        <v/>
      </c>
      <c r="XK39" s="97" t="str">
        <f ca="1">IF(XJ39="",Stammdaten!$BZ$1,IF(AND(XH39=0,XI39&gt;=XJ$25),$A$3,ROUND(SUM(XG39/XJ39)/XK$25,0)*XK$25))</f>
        <v>Zu wenige Werte</v>
      </c>
      <c r="XL39" s="108">
        <f t="shared" ca="1" si="230"/>
        <v>6</v>
      </c>
      <c r="XM39" s="97" t="str">
        <f t="shared" ca="1" si="231"/>
        <v/>
      </c>
      <c r="XN39" s="97" t="str">
        <f t="shared" ca="1" si="232"/>
        <v/>
      </c>
      <c r="XO39" s="97" t="str">
        <f t="shared" ca="1" si="233"/>
        <v/>
      </c>
      <c r="XP39" s="97" t="str">
        <f t="shared" ca="1" si="234"/>
        <v/>
      </c>
      <c r="XQ39" s="97" t="str">
        <f t="shared" ca="1" si="235"/>
        <v>g</v>
      </c>
      <c r="XR39" s="97" t="str">
        <f t="shared" ca="1" si="236"/>
        <v/>
      </c>
      <c r="XS39" s="97">
        <f t="shared" ca="1" si="237"/>
        <v>1</v>
      </c>
      <c r="XT39" s="97" t="str">
        <f ca="1">IF(OR(Geschlecht[[#This Row],[Geschlecht (Skala)]]="",NOT(ISNUMBER(XJ39))),"",XS39)</f>
        <v/>
      </c>
      <c r="XU39" s="97" t="str">
        <f t="shared" ca="1" si="238"/>
        <v/>
      </c>
      <c r="XV39" s="97"/>
      <c r="XW39" s="308" t="str">
        <f t="shared" ca="1" si="127"/>
        <v>Zu wenige Werte</v>
      </c>
      <c r="XX39" s="97"/>
      <c r="XY39" s="97" t="str">
        <f t="shared" ca="1" si="128"/>
        <v>Zu wenige Werte</v>
      </c>
      <c r="XZ39" s="97" t="str">
        <f t="shared" ca="1" si="129"/>
        <v>Zu wenige Werte</v>
      </c>
      <c r="YA39" s="97" t="str">
        <f t="shared" ca="1" si="130"/>
        <v>Zu wenige Werte</v>
      </c>
      <c r="YB39" s="97" t="str">
        <f t="shared" ca="1" si="131"/>
        <v>Zu wenige Werte</v>
      </c>
      <c r="YC39" s="97">
        <f t="shared" ca="1" si="239"/>
        <v>0</v>
      </c>
      <c r="YD39" s="108">
        <f t="shared" ca="1" si="240"/>
        <v>0</v>
      </c>
      <c r="YE39" s="108">
        <f t="shared" ca="1" si="241"/>
        <v>0</v>
      </c>
      <c r="YF39" s="108" t="str">
        <f t="shared" ca="1" si="242"/>
        <v/>
      </c>
      <c r="YG39" s="97" t="str">
        <f ca="1">IF(YF39="",Stammdaten!$BZ$1,IF(YE39=YF$25,$A$3,ROUND(SUM(YC39/YF39)/YG$25,0)*YG$25))</f>
        <v>Zu wenige Werte</v>
      </c>
      <c r="YH39" s="97" t="str">
        <f ca="1">IF(NOT(ISNUMBER(XY39)),"",IF(YH$11&lt;&gt;"2+",TEXT(XY39,YH$11)&amp;" / ",IF(RIGHT(XY39*100,2)="00",TEXT(XY39,"0"&amp;Stammdaten!$AZ$3&amp;"0")&amp;" / ",XY39&amp;" / ")))</f>
        <v/>
      </c>
      <c r="YI39" s="97" t="str">
        <f ca="1">IF(NOT(ISNUMBER(XZ39)),"",IF(YI$11&lt;&gt;"2+",TEXT(XZ39,YI$11)&amp;" / ",IF(RIGHT(XZ39*100,2)="00",TEXT(XZ39,"0"&amp;Stammdaten!$AZ$3&amp;"0")&amp;" / ",XZ39&amp;" / ")))</f>
        <v/>
      </c>
      <c r="YJ39" s="97" t="str">
        <f ca="1">IF(NOT(ISNUMBER(YA39)),"",IF(YJ$11&lt;&gt;"2+",TEXT(YA39,YJ$11)&amp;" / ",IF(RIGHT(YA39*100,2)="00",TEXT(YA39,"0"&amp;Stammdaten!$AZ$3&amp;"0")&amp;" / ",YA39&amp;" / ")))</f>
        <v/>
      </c>
      <c r="YK39" s="97" t="str">
        <f ca="1">IF(NOT(ISNUMBER(YB39)),"",IF(YK$11&lt;&gt;"2+",TEXT(YB39,YK$11)&amp;" / ",IF(RIGHT(YB39*100,2)="00",TEXT(YB39,"0"&amp;Stammdaten!$AZ$3&amp;"0")&amp;" / ",YB39&amp;" / ")))</f>
        <v/>
      </c>
      <c r="YL39" s="97" t="str">
        <f t="shared" ca="1" si="243"/>
        <v/>
      </c>
      <c r="YM39" s="97" t="str">
        <f>IF(Geschlecht[[#This Row],[Geschlecht (Skala)]]="","",IF(ISNUMBER(XY39),1,IF(XY39=$A$3,$A$2,"R")))</f>
        <v/>
      </c>
      <c r="YN39" s="97" t="str">
        <f>IF(Geschlecht[[#This Row],[Geschlecht (Skala)]]="","",IF(ISNUMBER(XZ39),1,IF(XZ39=$A$3,$A$2,"R")))</f>
        <v/>
      </c>
      <c r="YO39" s="97" t="str">
        <f>IF(Geschlecht[[#This Row],[Geschlecht (Skala)]]="","",IF(ISNUMBER(YA39),1,IF(YA39=$A$3,$A$2,"R")))</f>
        <v/>
      </c>
      <c r="YP39" s="97" t="str">
        <f>IF(Geschlecht[[#This Row],[Geschlecht (Skala)]]="","",IF(ISNUMBER(YB39),1,IF(YB39=$A$3,$A$2,"R")))</f>
        <v/>
      </c>
      <c r="YQ39" s="97" t="str">
        <f t="shared" si="244"/>
        <v>g</v>
      </c>
      <c r="YR39" s="97" t="str">
        <f t="shared" ca="1" si="245"/>
        <v/>
      </c>
      <c r="YS39" s="97">
        <f t="shared" ca="1" si="246"/>
        <v>1</v>
      </c>
      <c r="YT39" s="97" t="str">
        <f ca="1">IF(OR(Geschlecht[[#This Row],[Geschlecht (Skala)]]="",NOT(ISNUMBER(YG39))),"",YS39)</f>
        <v/>
      </c>
      <c r="YU39" s="97"/>
      <c r="YV39" s="311" t="str">
        <f t="shared" si="247"/>
        <v>D</v>
      </c>
      <c r="YW39" s="302"/>
      <c r="YX39" s="311" t="str">
        <f t="shared" si="248"/>
        <v>D</v>
      </c>
      <c r="YY39" s="302"/>
      <c r="YZ39" s="311" t="str">
        <f t="shared" si="249"/>
        <v>D</v>
      </c>
      <c r="ZA39" s="302"/>
      <c r="ZB39" s="311" t="str">
        <f t="shared" si="250"/>
        <v>D</v>
      </c>
      <c r="ZC39" s="97"/>
      <c r="ZD39" s="97" t="str">
        <f t="shared" ca="1" si="132"/>
        <v/>
      </c>
      <c r="ZE39" s="97"/>
      <c r="ZF39" s="308" t="str">
        <f t="shared" ca="1" si="251"/>
        <v>Zu wenige Werte</v>
      </c>
      <c r="ZH39" s="317" t="s">
        <v>134</v>
      </c>
      <c r="ZJ39" s="91" t="str" cm="1">
        <f t="array" ref="ZJ39">IF(OR(Geschlecht[[#This Row],[Geschlecht (Skala)]]="",ZH39="",ZH39=Stammdaten!$BZ$5),"",REPLACE(INDEX(StdDisziplinen[TabÜberschriftNote],ZH$3),FIND("X",INDEX(StdDisziplinen[TabÜberschriftNote],ZH$3),1),1,Geschlecht[[#This Row],[Geschlecht (Skala)]]))</f>
        <v/>
      </c>
      <c r="ZK39" s="314"/>
      <c r="ZM39" s="315"/>
      <c r="ZN39" s="97" t="str">
        <f>IFERROR(IFERROR(SUBSTITUTE(SchwimmenResultatMin[[#This Row],[Min]],".",",")*1,SUBSTITUTE(SchwimmenResultatMin[[#This Row],[Min]],",",".")*1),"")</f>
        <v/>
      </c>
      <c r="ZO39" s="91" t="e">
        <f>INT(SchwimmenResultatMin[[#This Row],[Resultat]])=SchwimmenResultatMin[[#This Row],[Resultat]]</f>
        <v>#VALUE!</v>
      </c>
      <c r="ZP39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39" s="315"/>
      <c r="ZS39" s="97" t="str">
        <f>IFERROR(IFERROR(SUBSTITUTE(SchwimmenResultatSek[[#This Row],[Sek]],".",",")*1,SUBSTITUTE(SchwimmenResultatSek[[#This Row],[Sek]],",",".")*1),"")</f>
        <v/>
      </c>
      <c r="ZT39" s="108" t="e">
        <f>INT(SchwimmenResultatSek[[#This Row],[Resultat]])=SchwimmenResultatSek[[#This Row],[Resultat]]</f>
        <v>#VALUE!</v>
      </c>
      <c r="ZU39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39" s="97" t="str" cm="1">
        <f t="array" aca="1" ref="ZW39" ca="1">IF(AND(INDIRECT(ZW$2)="",INDIRECT(ZX$2)=""),"",IFERROR((INDIRECT(ZW$2)*$ZW$25)+INDIRECT(ZX$2),""))</f>
        <v/>
      </c>
      <c r="ZX39" s="91" t="str">
        <f ca="1">REPLACE(ZW$4,ZX$6,1,Geschlecht[[#This Row],[Geschlecht (Skala)]])</f>
        <v>Schwimmen_[Resultat]</v>
      </c>
      <c r="ZY39" s="91" t="str">
        <f ca="1">IFERROR(REPLACE($ZX39,FIND(Stammdaten!$V$2,$ZX39,1),LEN(Stammdaten!$V$2),Stammdaten!$BZ$9),"")</f>
        <v>Schwimmen_[Anzeige]</v>
      </c>
      <c r="ZZ39" s="97" t="str" cm="1">
        <f t="array" aca="1" ref="ZZ39" ca="1">IF(INDIRECT(ZW$3)="","",IF(INDIRECT(ZW$3)=0,0,IF(OR(INDIRECT(ZW$1)=$A$2,INDIRECT(ZW$1)=$A$3),$A$3,IFERROR(INDEX(INDIRECT(ZX39),MATCH(INDIRECT(ZW$3),INDIRECT(ZX39),ZY$25)),IFERROR(IF(ZY$25=-1,MAX(INDIRECT(ZX39)),IF(ZY$25=1,MIN(INDIRECT(ZX39)))),"")))))</f>
        <v/>
      </c>
      <c r="AAA39" s="97" t="str" cm="1">
        <f t="array" aca="1" ref="AAA39" ca="1">IF(INDIRECT(ZX$5)=0,0,IF(OR(INDIRECT(ZW$1)=$A$2,INDIRECT(ZW$1)=$A$3),$A$3,IFERROR(INDEX(INDIRECT($ZY39),MATCH(INDIRECT(ZX$5),INDIRECT($ZX39),0)),"")))</f>
        <v/>
      </c>
      <c r="AAC39" s="91" t="str">
        <f ca="1">REPLACE(ZW$6,ZX$6,1,Geschlecht[[#This Row],[Geschlecht (Skala)]])</f>
        <v>Schwimmen_[Note]</v>
      </c>
      <c r="AAD39" s="97" t="str" cm="1">
        <f t="array" aca="1" ref="AAD39" ca="1">IFERROR(INDEX(INDIRECT(AAC39),MATCH(INDIRECT(ZX$5),INDIRECT(ZX39),0)),IF(INDIRECT(ZX$5)=0,1,""))</f>
        <v/>
      </c>
      <c r="AAE39" s="97"/>
      <c r="AAF39" s="96" t="str">
        <f>ZwölfMinLaufHalleResultat[[#This Row],[Resultat]]</f>
        <v/>
      </c>
      <c r="AAG39" s="96"/>
      <c r="AAH39" s="97" t="str">
        <f ca="1">ZwölfMinLaufHalleSkalawert[[#This Row],[Skala-Wert]]</f>
        <v/>
      </c>
      <c r="AAJ39" s="97" t="str">
        <f ca="1">ZwölfMinLaufHalleNote[[#This Row],[Note]]</f>
        <v/>
      </c>
      <c r="AAK39" s="97"/>
      <c r="AAL39" s="96" t="str">
        <f>ZwölfMinLaufimFreienResultat[[#This Row],[Resultat]]</f>
        <v/>
      </c>
      <c r="AAM39" s="96"/>
      <c r="AAN39" s="97" t="str">
        <f ca="1">ZwölfMinLaufimFreienSkalawert[[#This Row],[Skala-Wert]]</f>
        <v/>
      </c>
      <c r="AAP39" s="97" t="str">
        <f ca="1">ZwölfMinLaufimFreienNote[[#This Row],[Note]]</f>
        <v/>
      </c>
      <c r="AAQ39" s="97"/>
      <c r="AAR39" s="307"/>
      <c r="AAS39" s="96" t="str">
        <f>IFERROR(IFERROR(SUBSTITUTE(BeweglichkeitResultat[[#This Row],[Eingabe]],".",",")*1,SUBSTITUTE(BeweglichkeitResultat[[#This Row],[Eingabe]],",",".")*1),"")</f>
        <v/>
      </c>
      <c r="AAT39" s="96" t="e">
        <f>INT(BeweglichkeitResultat[[#This Row],[Resultat]])=BeweglichkeitResultat[[#This Row],[Resultat]]</f>
        <v>#VALUE!</v>
      </c>
      <c r="AAU39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39" s="96"/>
      <c r="AAW39" s="91" t="str" cm="1">
        <f t="array" aca="1" ref="AAW39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39" s="96" t="str">
        <f ca="1">REPLACE(AAW$4,AAX$6,1,Geschlecht[[#This Row],[Geschlecht (Skala)]])</f>
        <v>Beweglichkeit_[Resultat]</v>
      </c>
      <c r="AAY39" s="96" t="str" cm="1">
        <f t="array" aca="1" ref="AAY39" ca="1">IF(OR(INDIRECT(AAW$1)=$A$2,INDIRECT(AAW$1)=$A$3),$A$3,IF(OR(INDIRECT(AAW$2)="",AND(Geschlecht[[#This Row],[Geschlecht (Skala)]]=Stammdaten!$D$7,INDIRECT(AAW$2)&lt;0)),"",IFERROR(INDEX(INDIRECT(AAX39),MATCH(INDIRECT(AAW$3),INDIRECT(AAX39),AAX$25)),IFERROR(IF(AAX$25=-1,MAX(INDIRECT(AAX39)),IF(AAX$25=1,MIN(INDIRECT(AAX39)))),""))))</f>
        <v/>
      </c>
      <c r="AAZ39" s="97" t="str" cm="1">
        <f t="array" aca="1" ref="AAZ39" ca="1">IF(INDIRECT(AAW$1)="","",IF(INDIRECT(AAW$1)=0,0,IF(OR(INDIRECT(AAW$1)=$A$2,INDIRECT(AAW$1)=$A$3),$A$3,IFERROR(INDEX(INDIRECT(AAY39),MATCH(INDIRECT(AAW$3),INDIRECT(AAY39),AAY$27)),IFERROR(IF(AAY$27=-1,MAX(INDIRECT(AAY39)),IF(AAY$27=1,MIN(INDIRECT(AAY39)))),"")))))</f>
        <v/>
      </c>
      <c r="ABA39" s="96" t="str">
        <f ca="1">REPLACE(AAW$6,AAX$6,1,Geschlecht[[#This Row],[Geschlecht (Skala)]])</f>
        <v>Beweglichkeit_[Note]</v>
      </c>
      <c r="ABB39" s="91" t="str" cm="1">
        <f t="array" aca="1" ref="ABB39" ca="1">IFERROR(INDEX(INDIRECT(ABA39),MATCH(INDIRECT(AAW$5),INDIRECT(AAX39),0)),"")</f>
        <v/>
      </c>
      <c r="ABC39" s="97" t="str" cm="1">
        <f t="array" aca="1" ref="ABC39" ca="1">IFERROR(INDEX(INDIRECT(ABB39),MATCH(INDIRECT(AAW$5),INDIRECT(AAY39),0)),"")</f>
        <v/>
      </c>
      <c r="ABD39" s="307"/>
      <c r="ABE39" s="96" t="str">
        <f>IFERROR(IFERROR(SUBSTITUTE(RumpfkraftResultat[[#This Row],[Eingabe]],".",",")*1,SUBSTITUTE(RumpfkraftResultat[[#This Row],[Eingabe]],",",".")*1),"")</f>
        <v/>
      </c>
      <c r="ABF39" s="96" t="e">
        <f>INT(RumpfkraftResultat[[#This Row],[Resultat]])=RumpfkraftResultat[[#This Row],[Resultat]]</f>
        <v>#VALUE!</v>
      </c>
      <c r="ABG39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39" s="96"/>
      <c r="ABI39" s="91" t="str" cm="1">
        <f t="array" aca="1" ref="ABI39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39" s="96" t="str">
        <f ca="1">REPLACE(ABI$4,ABJ$6,1,Geschlecht[[#This Row],[Geschlecht (Skala)]])</f>
        <v>Rumpfkraft_[Resultat]</v>
      </c>
      <c r="ABK39" s="97" t="str" cm="1">
        <f t="array" aca="1" ref="ABK39" ca="1">IF(INDIRECT(ABI$1)="","",IF(OR(INDIRECT(ABI$1)=$A$2,INDIRECT(ABI$1)=$A$3),$A$3,IFERROR(INDEX(INDIRECT(ABJ39),MATCH(INDIRECT(ABI$3),INDIRECT(ABJ39),ABJ$25)),IFERROR(IF(ABJ$25=-1,MAX(INDIRECT(ABJ39)),IF(ABJ$25=1,MIN(INDIRECT(ABJ39)))),""))))</f>
        <v/>
      </c>
      <c r="ABM39" s="91" t="str">
        <f ca="1">REPLACE(ABI$6,ABJ$6,1,Geschlecht[[#This Row],[Geschlecht (Skala)]])</f>
        <v>Rumpfkraft_[Note]</v>
      </c>
      <c r="ABN39" s="97" t="str" cm="1">
        <f t="array" aca="1" ref="ABN39" ca="1">IFERROR(INDEX(INDIRECT(ABM39),MATCH(INDIRECT(ABI$5),INDIRECT(ABJ39),0)),"")</f>
        <v/>
      </c>
      <c r="ABO39" s="97"/>
      <c r="ABP39" s="96" t="str">
        <f>SechzigmLaufResultat[[#This Row],[Resultat]]</f>
        <v/>
      </c>
      <c r="ABQ39" s="96"/>
      <c r="ABR39" s="97" t="str">
        <f ca="1">SechzigmLaufSkalawert[[#This Row],[Skala-Wert]]</f>
        <v/>
      </c>
      <c r="ABT39" s="97" t="str">
        <f ca="1">SechzigmLaufNote[[#This Row],[Note]]</f>
        <v/>
      </c>
      <c r="ABU39" s="97"/>
      <c r="ABV39" s="96" t="str">
        <f>AchtzigmLaufResultat[[#This Row],[Resultat]]</f>
        <v/>
      </c>
      <c r="ABW39" s="96"/>
      <c r="ABX39" s="97" t="str">
        <f ca="1">AchtzigmLaufSkalawert[[#This Row],[Skala-Wert]]</f>
        <v/>
      </c>
      <c r="ABZ39" s="97" t="str">
        <f ca="1">AchtzigmLaufNote[[#This Row],[Note]]</f>
        <v/>
      </c>
      <c r="ACA39" s="97"/>
      <c r="ACB39" s="307"/>
      <c r="ACC39" s="96" t="str">
        <f>IFERROR(IFERROR(SUBSTITUTE(KonditionsparcoursResultat[[#This Row],[Eingabe]],".",",")*1,SUBSTITUTE(KonditionsparcoursResultat[[#This Row],[Eingabe]],",",".")*1),"")</f>
        <v/>
      </c>
      <c r="ACD39" s="96" t="e">
        <f>INT(KonditionsparcoursResultat[[#This Row],[Resultat]])=KonditionsparcoursResultat[[#This Row],[Resultat]]</f>
        <v>#VALUE!</v>
      </c>
      <c r="ACE39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39" s="96"/>
      <c r="ACG39" s="91" t="str" cm="1">
        <f t="array" aca="1" ref="ACG39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39" s="96" t="str">
        <f ca="1">LEFT(Geschlecht[[#This Row],[Geschlecht (Skala)]],1)&amp;ACM$4</f>
        <v>2</v>
      </c>
      <c r="ACI39" s="96" t="str">
        <f t="shared" ca="1" si="133"/>
        <v>Konditionsparcours_2[Resultat]</v>
      </c>
      <c r="ACJ39" s="97" t="str" cm="1">
        <f t="array" aca="1" ref="ACJ39" ca="1">IF(INDIRECT(ACG$1)="","",IF(OR(INDIRECT(ACG$1)=$A$2,INDIRECT(ACG$1)=$A$3),$A$3,IFERROR(INDEX(INDIRECT(ACI39),MATCH(INDIRECT(ACG$3),INDIRECT(ACI39),ACI$25)),IFERROR(IF(ACI$25=-1,MAX(INDIRECT(ACI39)),IF(ACI$25=1,MIN(INDIRECT(ACI39)))),""))))</f>
        <v/>
      </c>
      <c r="ACL39" s="91" t="str">
        <f t="shared" ca="1" si="134"/>
        <v>Konditionsparcours_2[Note]</v>
      </c>
      <c r="ACM39" s="97" t="str" cm="1">
        <f t="array" aca="1" ref="ACM39" ca="1">IFERROR(INDEX(INDIRECT(ACL39),MATCH(INDIRECT(ACG$5),INDIRECT(ACI39),0)),"")</f>
        <v/>
      </c>
      <c r="ACN39" s="102"/>
    </row>
    <row r="40" spans="1:768">
      <c r="A40" s="305">
        <v>13</v>
      </c>
      <c r="B40" s="133"/>
      <c r="C40" s="133"/>
      <c r="E40" s="306"/>
      <c r="G40" s="307"/>
      <c r="H40" s="96" t="str">
        <f>IFERROR(IFERROR(SUBSTITUTE(SechzigmLaufResultat[[#This Row],[Eingabe]],".",",")*1,SUBSTITUTE(SechzigmLaufResultat[[#This Row],[Eingabe]],",",".")*1),"")</f>
        <v/>
      </c>
      <c r="I40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0" s="96"/>
      <c r="K40" s="91" t="str" cm="1">
        <f t="array" aca="1" ref="K40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0" s="96" t="str">
        <f ca="1">LEFT(Geschlecht[[#This Row],[Geschlecht (Skala)]],1)&amp;Q$4</f>
        <v>2</v>
      </c>
      <c r="M40" s="96" t="str">
        <f t="shared" ca="1" si="37"/>
        <v>SechzigmLauf_2[Resultat]</v>
      </c>
      <c r="N40" s="97" t="str" cm="1">
        <f t="array" aca="1" ref="N40" ca="1">IF(INDIRECT(K$1)="","",IF(INDIRECT(K$2)=0,0,IF(OR(INDIRECT(K$1)=$A$2,INDIRECT(K$1)=$A$3),$A$3,IFERROR(INDEX(INDIRECT(M40),MATCH(INDIRECT(K$3),INDIRECT(M40),M$25)),IFERROR(IF(M$25=-1,MAX(INDIRECT(M40)),IF(M$25=1,MIN(INDIRECT(M40)))),"")))))</f>
        <v/>
      </c>
      <c r="P40" s="91" t="str">
        <f t="shared" ca="1" si="38"/>
        <v>SechzigmLauf_2[Note]</v>
      </c>
      <c r="Q40" s="97" t="str" cm="1">
        <f t="array" aca="1" ref="Q40" ca="1">IFERROR(INDEX(INDIRECT(P40),MATCH(INDIRECT(K$5),INDIRECT(M40),0)),IF(INDIRECT(K$5)=0,1,""))</f>
        <v/>
      </c>
      <c r="R40" s="97"/>
      <c r="S40" s="307"/>
      <c r="T40" s="96" t="str">
        <f>IFERROR(IFERROR(SUBSTITUTE(AchtzigmLaufResultat[[#This Row],[Eingabe]],".",",")*1,SUBSTITUTE(AchtzigmLaufResultat[[#This Row],[Eingabe]],",",".")*1),"")</f>
        <v/>
      </c>
      <c r="U40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0" s="96"/>
      <c r="W40" s="91" t="str" cm="1">
        <f t="array" aca="1" ref="W40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0" s="96" t="str">
        <f ca="1">LEFT(Geschlecht[[#This Row],[Geschlecht (Skala)]],1)&amp;AC$4</f>
        <v>2</v>
      </c>
      <c r="Y40" s="96" t="str">
        <f t="shared" ca="1" si="39"/>
        <v>AchtzigmLauf_2[Resultat]</v>
      </c>
      <c r="Z40" s="97" t="str" cm="1">
        <f t="array" aca="1" ref="Z40" ca="1">IF(INDIRECT(W$1)="","",IF(INDIRECT(W$2)=0,0,IF(OR(INDIRECT(W$1)=$A$2,INDIRECT(W$1)=$A$3),$A$3,IFERROR(INDEX(INDIRECT(Y40),MATCH(INDIRECT(W$3),INDIRECT(Y40),Y$25)),IFERROR(IF(Y$25=-1,MAX(INDIRECT(Y40)),IF(Y$25=1,MIN(INDIRECT(Y40)))),"")))))</f>
        <v/>
      </c>
      <c r="AB40" s="91" t="str">
        <f t="shared" ca="1" si="40"/>
        <v>AchtzigmLauf_2[Note]</v>
      </c>
      <c r="AC40" s="97" t="str" cm="1">
        <f t="array" aca="1" ref="AC40" ca="1">IFERROR(INDEX(INDIRECT(AB40),MATCH(INDIRECT(W$5),INDIRECT(Y40),0)),IF(INDIRECT(W$5)=0,1,""))</f>
        <v/>
      </c>
      <c r="AD40" s="97"/>
      <c r="AE40" s="307"/>
      <c r="AF40" s="96" t="str">
        <f>IFERROR(IFERROR(SUBSTITUTE(ZwölfMinLaufHalleResultat[[#This Row],[Eingabe]],".",",")*1,SUBSTITUTE(ZwölfMinLaufHalleResultat[[#This Row],[Eingabe]],",",".")*1),"")</f>
        <v/>
      </c>
      <c r="AG40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0" s="96"/>
      <c r="AI40" s="91" t="str" cm="1">
        <f t="array" aca="1" ref="AI40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0" s="96" t="str">
        <f ca="1">LEFT(Geschlecht[[#This Row],[Geschlecht (Skala)]],1)&amp;AO$4</f>
        <v>2</v>
      </c>
      <c r="AK40" s="96" t="str">
        <f t="shared" ca="1" si="41"/>
        <v>ZwölfMinLaufHalle_2[Resultat]</v>
      </c>
      <c r="AL40" s="97" t="str" cm="1">
        <f t="array" aca="1" ref="AL40" ca="1">IF(INDIRECT(AI$1)="","",IF(INDIRECT(AI$2)=0,0,IF(OR(INDIRECT(AI$1)=$A$2,INDIRECT(AI$1)=$A$3),$A$3,IFERROR(INDEX(INDIRECT(AK40),MATCH(INDIRECT(AI$3),INDIRECT(AK40),AK$25)),IFERROR(IF(AK$25=-1,MAX(INDIRECT(AK40)),IF(AK$25=1,MIN(INDIRECT(AK40)))),"")))))</f>
        <v/>
      </c>
      <c r="AN40" s="91" t="str">
        <f t="shared" ca="1" si="42"/>
        <v>ZwölfMinLaufHalle_2[Note]</v>
      </c>
      <c r="AO40" s="97" t="str" cm="1">
        <f t="array" aca="1" ref="AO40" ca="1">IFERROR(INDEX(INDIRECT(AN40),MATCH(INDIRECT(AI$5),INDIRECT(AK40),0)),IF(INDIRECT(AI$5)=0,1,""))</f>
        <v/>
      </c>
      <c r="AP40" s="97"/>
      <c r="AQ40" s="307"/>
      <c r="AR40" s="96" t="str">
        <f>IFERROR(IFERROR(SUBSTITUTE(ZwölfMinLaufimFreienResultat[[#This Row],[Eingabe]],".",",")*1,SUBSTITUTE(ZwölfMinLaufimFreienResultat[[#This Row],[Eingabe]],",",".")*1),"")</f>
        <v/>
      </c>
      <c r="AS40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0" s="96"/>
      <c r="AU40" s="91" t="str" cm="1">
        <f t="array" aca="1" ref="AU40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0" s="96" t="str">
        <f ca="1">LEFT(Geschlecht[[#This Row],[Geschlecht (Skala)]],1)&amp;BA$4</f>
        <v>2</v>
      </c>
      <c r="AW40" s="96" t="str">
        <f t="shared" ca="1" si="43"/>
        <v>ZwölfMinLaufimFreien_2[Resultat]</v>
      </c>
      <c r="AX40" s="97" t="str" cm="1">
        <f t="array" aca="1" ref="AX40" ca="1">IF(INDIRECT(AU$1)="","",IF(INDIRECT(AU$2)=0,0,IF(OR(INDIRECT(AU$1)=$A$2,INDIRECT(AU$1)=$A$3),$A$3,IFERROR(INDEX(INDIRECT(AW40),MATCH(INDIRECT(AU$3),INDIRECT(AW40),AW$25)),IFERROR(IF(AW$25=-1,MAX(INDIRECT(AW40)),IF(AW$25=1,MIN(INDIRECT(AW40)))),"")))))</f>
        <v/>
      </c>
      <c r="AZ40" s="91" t="str">
        <f t="shared" ca="1" si="44"/>
        <v>ZwölfMinLaufimFreien_2[Note]</v>
      </c>
      <c r="BA40" s="97" t="str" cm="1">
        <f t="array" aca="1" ref="BA40" ca="1">IFERROR(INDEX(INDIRECT(AZ40),MATCH(INDIRECT(AU$5),INDIRECT(AW40),0)),IF(INDIRECT(AU$5)=0,1,""))</f>
        <v/>
      </c>
      <c r="BB40" s="97"/>
      <c r="BC40" s="307"/>
      <c r="BD40" s="96" t="str">
        <f>IFERROR(IFERROR(SUBSTITUTE(HochsprungResultat[[#This Row],[Eingabe]],".",",")*1,SUBSTITUTE(HochsprungResultat[[#This Row],[Eingabe]],",",".")*1),"")</f>
        <v/>
      </c>
      <c r="BE40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0" s="96"/>
      <c r="BG40" s="91" t="str" cm="1">
        <f t="array" aca="1" ref="BG40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0" s="96" t="str">
        <f ca="1">LEFT(Geschlecht[[#This Row],[Geschlecht (Skala)]],1)&amp;BM$4</f>
        <v>2</v>
      </c>
      <c r="BI40" s="96" t="str">
        <f t="shared" ca="1" si="45"/>
        <v>Hochsprung_2[Resultat]</v>
      </c>
      <c r="BJ40" s="97" t="str" cm="1">
        <f t="array" aca="1" ref="BJ40" ca="1">IF(INDIRECT(BG$1)="","",IF(INDIRECT(BG$2)=0,0,IF(OR(INDIRECT(BG$1)=$A$2,INDIRECT(BG$1)=$A$3),$A$3,IFERROR(INDEX(INDIRECT(BI40),MATCH(INDIRECT(BG$3),INDIRECT(BI40),BI$25)),IFERROR(IF(BI$25=-1,MAX(INDIRECT(BI40)),IF(BI$25=1,MIN(INDIRECT(BI40)))),"")))))</f>
        <v/>
      </c>
      <c r="BL40" s="91" t="str">
        <f t="shared" ca="1" si="46"/>
        <v>Hochsprung_2[Note]</v>
      </c>
      <c r="BM40" s="97" t="str" cm="1">
        <f t="array" aca="1" ref="BM40" ca="1">IFERROR(INDEX(INDIRECT(BL40),MATCH(INDIRECT(BG$5),INDIRECT(BI40),0)),IF(INDIRECT(BG$5)=0,1,""))</f>
        <v/>
      </c>
      <c r="BN40" s="97"/>
      <c r="BO40" s="307"/>
      <c r="BP40" s="96" t="str">
        <f>IFERROR(IFERROR(SUBSTITUTE(WeitsprungResultat[[#This Row],[Eingabe]],".",",")*1,SUBSTITUTE(WeitsprungResultat[[#This Row],[Eingabe]],",",".")*1),"")</f>
        <v/>
      </c>
      <c r="BQ40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0" s="96"/>
      <c r="BS40" s="91" t="str" cm="1">
        <f t="array" aca="1" ref="BS40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0" s="96" t="str">
        <f ca="1">LEFT(Geschlecht[[#This Row],[Geschlecht (Skala)]],1)&amp;BY$4</f>
        <v>2</v>
      </c>
      <c r="BU40" s="96" t="str">
        <f t="shared" ca="1" si="47"/>
        <v>Weitsprung_2[Resultat]</v>
      </c>
      <c r="BV40" s="97" t="str" cm="1">
        <f t="array" aca="1" ref="BV40" ca="1">IF(INDIRECT(BS$1)="","",IF(INDIRECT(BS$2)=0,0,IF(OR(INDIRECT(BS$1)=$A$2,INDIRECT(BS$1)=$A$3),$A$3,IFERROR(INDEX(INDIRECT(BU40),MATCH(INDIRECT(BS$3),INDIRECT(BU40),BU$25)),IFERROR(IF(BU$25=-1,MAX(INDIRECT(BU40)),IF(BU$25=1,MIN(INDIRECT(BU40)))),"")))))</f>
        <v/>
      </c>
      <c r="BX40" s="91" t="str">
        <f t="shared" ca="1" si="48"/>
        <v>Weitsprung_2[Note]</v>
      </c>
      <c r="BY40" s="97" t="str" cm="1">
        <f t="array" aca="1" ref="BY40" ca="1">IFERROR(INDEX(INDIRECT(BX40),MATCH(INDIRECT(BS$5),INDIRECT(BU40),0)),IF(INDIRECT(BS$5)=0,1,""))</f>
        <v/>
      </c>
      <c r="BZ40" s="97"/>
      <c r="CA40" s="307"/>
      <c r="CB40" s="96" t="str">
        <f>IFERROR(IFERROR(SUBSTITUTE(BallwurfResultat[[#This Row],[Eingabe]],".",",")*1,SUBSTITUTE(BallwurfResultat[[#This Row],[Eingabe]],",",".")*1),"")</f>
        <v/>
      </c>
      <c r="CC40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0" s="96"/>
      <c r="CE40" s="91" t="str" cm="1">
        <f t="array" aca="1" ref="CE40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0" s="96" t="str">
        <f ca="1">LEFT(Geschlecht[[#This Row],[Geschlecht (Skala)]],1)&amp;CK$4</f>
        <v>2</v>
      </c>
      <c r="CG40" s="96" t="str">
        <f t="shared" ca="1" si="49"/>
        <v>Ballwurf_2[Resultat]</v>
      </c>
      <c r="CH40" s="97" t="str" cm="1">
        <f t="array" aca="1" ref="CH40" ca="1">IF(INDIRECT(CE$1)="","",IF(INDIRECT(CE$2)=0,0,IF(OR(INDIRECT(CE$1)=$A$2,INDIRECT(CE$1)=$A$3),$A$3,IFERROR(INDEX(INDIRECT(CG40),MATCH(INDIRECT(CE$3),INDIRECT(CG40),CG$25)),IFERROR(IF(CG$25=-1,MAX(INDIRECT(CG40)),IF(CG$25=1,MIN(INDIRECT(CG40)))),"")))))</f>
        <v/>
      </c>
      <c r="CJ40" s="91" t="str">
        <f t="shared" ca="1" si="50"/>
        <v>Ballwurf_2[Note]</v>
      </c>
      <c r="CK40" s="97" t="str" cm="1">
        <f t="array" aca="1" ref="CK40" ca="1">IFERROR(INDEX(INDIRECT(CJ40),MATCH(INDIRECT(CE$5),INDIRECT(CG40),0)),IF(INDIRECT(CE$5)=0,1,""))</f>
        <v/>
      </c>
      <c r="CL40" s="97"/>
      <c r="CM40" s="307"/>
      <c r="CN40" s="96" t="str">
        <f>IFERROR(IFERROR(SUBSTITUTE(KugelstossenResultat[[#This Row],[Eingabe]],".",",")*1,SUBSTITUTE(KugelstossenResultat[[#This Row],[Eingabe]],",",".")*1),"")</f>
        <v/>
      </c>
      <c r="CO40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0" s="96"/>
      <c r="CQ40" s="91" t="str" cm="1">
        <f t="array" aca="1" ref="CQ40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0" s="96" t="str">
        <f ca="1">LEFT(Geschlecht[[#This Row],[Geschlecht (Skala)]],1)&amp;CW$4</f>
        <v>2</v>
      </c>
      <c r="CS40" s="96" t="str">
        <f t="shared" ca="1" si="51"/>
        <v>Kugelstossen_2[Resultat]</v>
      </c>
      <c r="CT40" s="97" t="str" cm="1">
        <f t="array" aca="1" ref="CT40" ca="1">IF(INDIRECT(CQ$1)="","",IF(INDIRECT(CQ$2)=0,0,IF(OR(INDIRECT(CQ$1)=$A$2,INDIRECT(CQ$1)=$A$3),$A$3,IFERROR(INDEX(INDIRECT(CS40),MATCH(INDIRECT(CQ$3),INDIRECT(CS40),CS$25)),IFERROR(IF(CS$25=-1,MAX(INDIRECT(CS40)),IF(CS$25=1,MIN(INDIRECT(CS40)))),"")))))</f>
        <v/>
      </c>
      <c r="CV40" s="91" t="str">
        <f t="shared" ca="1" si="52"/>
        <v>Kugelstossen_2[Note]</v>
      </c>
      <c r="CW40" s="97" t="str" cm="1">
        <f t="array" aca="1" ref="CW40" ca="1">IFERROR(INDEX(INDIRECT(CV40),MATCH(INDIRECT(CQ$5),INDIRECT(CS40),0)),IF(INDIRECT(CQ$5)=0,1,""))</f>
        <v/>
      </c>
      <c r="CX40" s="97"/>
      <c r="CY40" s="307"/>
      <c r="CZ40" s="96" t="str">
        <f>IFERROR(IFERROR(SUBSTITUTE(SpeerwurfResultat[[#This Row],[Eingabe]],".",",")*1,SUBSTITUTE(SpeerwurfResultat[[#This Row],[Eingabe]],",",".")*1),"")</f>
        <v/>
      </c>
      <c r="DA40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0" s="96"/>
      <c r="DC40" s="91" t="str" cm="1">
        <f t="array" aca="1" ref="DC40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0" s="96" t="str">
        <f ca="1">LEFT(Geschlecht[[#This Row],[Geschlecht (Skala)]],1)&amp;DI$4</f>
        <v>2</v>
      </c>
      <c r="DE40" s="96" t="str">
        <f t="shared" ca="1" si="53"/>
        <v>Speerwurf_2[Resultat]</v>
      </c>
      <c r="DF40" s="97" t="str" cm="1">
        <f t="array" aca="1" ref="DF40" ca="1">IF(INDIRECT(DC$1)="","",IF(INDIRECT(DC$2)=0,0,IF(OR(INDIRECT(DC$1)=$A$2,INDIRECT(DC$1)=$A$3),$A$3,IFERROR(INDEX(INDIRECT(DE40),MATCH(INDIRECT(DC$3),INDIRECT(DE40),DE$25)),IFERROR(IF(DE$25=-1,MAX(INDIRECT(DE40)),IF(DE$25=1,MIN(INDIRECT(DE40)))),"")))))</f>
        <v/>
      </c>
      <c r="DH40" s="91" t="str">
        <f t="shared" ca="1" si="54"/>
        <v>Speerwurf_2[Note]</v>
      </c>
      <c r="DI40" s="97" t="str" cm="1">
        <f t="array" aca="1" ref="DI40" ca="1">IFERROR(INDEX(INDIRECT(DH40),MATCH(INDIRECT(DC$5),INDIRECT(DE40),0)),IF(INDIRECT(DC$5)=0,1,""))</f>
        <v/>
      </c>
      <c r="DJ40" s="97"/>
      <c r="DK40" s="97" t="str" cm="1">
        <f t="array" aca="1" ref="DK40" ca="1">INDIRECT(DK$5)</f>
        <v/>
      </c>
      <c r="DL40" s="97" t="str" cm="1">
        <f t="array" aca="1" ref="DL40" ca="1">INDIRECT(DL$5)</f>
        <v/>
      </c>
      <c r="DM40" s="97" t="str" cm="1">
        <f t="array" aca="1" ref="DM40" ca="1">INDIRECT(DM$5)</f>
        <v/>
      </c>
      <c r="DN40" s="97" t="str" cm="1">
        <f t="array" aca="1" ref="DN40" ca="1">INDIRECT(DN$5)</f>
        <v/>
      </c>
      <c r="DO40" s="97" t="str">
        <f t="shared" ca="1" si="135"/>
        <v>Sprintdisziplinen nicht durchgeführt</v>
      </c>
      <c r="DP40" s="97" t="str">
        <f t="shared" ca="1" si="136"/>
        <v/>
      </c>
      <c r="DQ40" s="108">
        <f t="shared" ca="1" si="137"/>
        <v>0</v>
      </c>
      <c r="DR40" s="108">
        <f t="shared" ca="1" si="138"/>
        <v>0</v>
      </c>
      <c r="DS40" s="108" t="str">
        <f t="shared" ca="1" si="139"/>
        <v/>
      </c>
      <c r="DT40" s="97" t="str">
        <f t="shared" ca="1" si="140"/>
        <v>Sprintdisziplinen nicht durchgeführt</v>
      </c>
      <c r="DU40" s="97" t="str">
        <f t="shared" ca="1" si="141"/>
        <v/>
      </c>
      <c r="DV40" s="97" t="str" cm="1">
        <f t="array" aca="1" ref="DV40" ca="1">IFERROR(IF(INDIRECT(INDEX(INDIRECT(DV$5),MATCH(DT40,INDIRECT(DV$4),0)))&lt;&gt;"",INDEX(INDIRECT(DV$5),MATCH(DT40,INDIRECT(DV$4),0)),INDEX(INDIRECT(DV$6),MATCH(DT40,INDIRECT(DV$4),0))),"")</f>
        <v/>
      </c>
      <c r="DW40" s="97" t="str">
        <f t="shared" ca="1" si="142"/>
        <v/>
      </c>
      <c r="DX40" s="97" t="str" cm="1">
        <f t="array" aca="1" ref="DX40" ca="1">IFERROR(INDIRECT(DV40),IF(NOT(ISERROR(FIND(Stammdaten!$CC$3,DT40,1))),$A$2,""))</f>
        <v/>
      </c>
      <c r="DY40" s="97" t="str">
        <f ca="1">IF(DX40="","",IF(AND(DU40=Stammdaten!$BX$20,DW40="0",DX40=1),SUBSTITUTE(TEXT(DX40,DW40)&amp;" "&amp;LEFT(DU40,LEN(DU40)-1),".",","),SUBSTITUTE(TEXT(DX40,DW40)&amp;" "&amp;DU40,".",",")))</f>
        <v/>
      </c>
      <c r="DZ40" s="97" t="str">
        <f t="shared" ca="1" si="55"/>
        <v/>
      </c>
      <c r="EA40" s="97" t="str" cm="1">
        <f t="array" aca="1" ref="EA40" ca="1">IFERROR(LEFT(INDIRECT(DZ40),1)&amp;"]","")</f>
        <v/>
      </c>
      <c r="EB40" s="97" t="str">
        <f t="shared" ca="1" si="56"/>
        <v/>
      </c>
      <c r="EC40" s="97" t="str">
        <f ca="1">IFERROR(LEFT(DT40,FIND(Stammdaten!$CA$4,DT40,1)-2),IFERROR(LEFT(DT40,FIND(Stammdaten!$CC$3,DT40,1)-2),DT40))</f>
        <v>Sprintdisziplinen</v>
      </c>
      <c r="ED40" s="97" t="str">
        <f ca="1">IF(NOT(ISERROR(FIND(Stammdaten!$CA$4,DT40,1))),Stammdaten!$CA$4,IF(EE40&lt;&gt;Stammdaten!$CC$3,EB40,""))</f>
        <v>nicht durchgeführt</v>
      </c>
      <c r="EE40" s="91" t="str">
        <f ca="1">IF(DX40=$A$2,Stammdaten!$CC$3,DY40)</f>
        <v/>
      </c>
      <c r="EF40" s="97" t="str" cm="1">
        <f t="array" aca="1" ref="EF40" ca="1">INDIRECT(EF$5)</f>
        <v/>
      </c>
      <c r="EG40" s="97" t="str" cm="1">
        <f t="array" aca="1" ref="EG40" ca="1">INDIRECT(EG$5)</f>
        <v/>
      </c>
      <c r="EH40" s="97" t="str" cm="1">
        <f t="array" aca="1" ref="EH40" ca="1">INDIRECT(EH$5)</f>
        <v/>
      </c>
      <c r="EI40" s="97" t="str" cm="1">
        <f t="array" aca="1" ref="EI40" ca="1">INDIRECT(EI$5)</f>
        <v/>
      </c>
      <c r="EJ40" s="97" t="str">
        <f t="shared" ca="1" si="143"/>
        <v>Ausdauerdisziplinen nicht durchgeführt</v>
      </c>
      <c r="EK40" s="97" t="str">
        <f t="shared" ca="1" si="144"/>
        <v/>
      </c>
      <c r="EL40" s="108">
        <f t="shared" ca="1" si="145"/>
        <v>0</v>
      </c>
      <c r="EM40" s="108">
        <f t="shared" ca="1" si="146"/>
        <v>0</v>
      </c>
      <c r="EN40" s="108" t="str">
        <f t="shared" ca="1" si="147"/>
        <v/>
      </c>
      <c r="EO40" s="97" t="str">
        <f t="shared" ca="1" si="148"/>
        <v>Ausdauerdisziplinen nicht durchgeführt</v>
      </c>
      <c r="EP40" s="97" t="str">
        <f t="shared" ca="1" si="149"/>
        <v/>
      </c>
      <c r="EQ40" s="97" t="str" cm="1">
        <f t="array" aca="1" ref="EQ40" ca="1">IFERROR(IF(INDIRECT(INDEX(INDIRECT(EQ$5),MATCH(EO40,INDIRECT(EQ$4),0)))&lt;&gt;"",INDEX(INDIRECT(EQ$5),MATCH(EO40,INDIRECT(EQ$4),0)),INDEX(INDIRECT(EQ$6),MATCH(EO40,INDIRECT(EQ$4),0))),"")</f>
        <v/>
      </c>
      <c r="ER40" s="97" t="str">
        <f t="shared" ca="1" si="150"/>
        <v/>
      </c>
      <c r="ES40" s="97" t="str" cm="1">
        <f t="array" aca="1" ref="ES40" ca="1">IFERROR(INDIRECT(EQ40),IF(NOT(ISERROR(FIND(Stammdaten!$CC$3,EO40,1))),$A$2,""))</f>
        <v/>
      </c>
      <c r="ET40" s="97" t="str">
        <f ca="1">IF(ES40="","",IF(AND(EP40=Stammdaten!$BX$20,ER40="0",ES40=1),SUBSTITUTE(TEXT(ES40,ER40)&amp;" "&amp;LEFT(EP40,LEN(EP40)-1),".",","),SUBSTITUTE(TEXT(ES40,ER40)&amp;" "&amp;EP40,".",",")))</f>
        <v/>
      </c>
      <c r="EU40" s="97" t="str">
        <f t="shared" ca="1" si="57"/>
        <v/>
      </c>
      <c r="EV40" s="97" t="str" cm="1">
        <f t="array" aca="1" ref="EV40" ca="1">IFERROR(LEFT(INDIRECT(EU40),1)&amp;"]","")</f>
        <v/>
      </c>
      <c r="EW40" s="97" t="str">
        <f t="shared" ca="1" si="58"/>
        <v/>
      </c>
      <c r="EX40" s="97" t="str">
        <f ca="1">IFERROR(LEFT(EO40,FIND(Stammdaten!$CA$4,EO40,1)-2),IFERROR(LEFT(EO40,FIND(Stammdaten!$CC$3,EO40,1)-2),EO40))</f>
        <v>Ausdauerdisziplinen</v>
      </c>
      <c r="EY40" s="97" t="str">
        <f ca="1">IF(NOT(ISERROR(FIND(Stammdaten!$CA$4,EO40,1))),Stammdaten!$CA$4,IF(EZ40&lt;&gt;Stammdaten!$CC$3,EW40,""))</f>
        <v>nicht durchgeführt</v>
      </c>
      <c r="EZ40" s="91" t="str">
        <f ca="1">IF(ES40=$A$2,Stammdaten!$CC$3,ET40)</f>
        <v/>
      </c>
      <c r="FA40" s="97" t="str" cm="1">
        <f t="array" aca="1" ref="FA40" ca="1">INDIRECT(FA$5)</f>
        <v/>
      </c>
      <c r="FB40" s="97" t="str" cm="1">
        <f t="array" aca="1" ref="FB40" ca="1">INDIRECT(FB$5)</f>
        <v/>
      </c>
      <c r="FC40" s="97" t="str" cm="1">
        <f t="array" aca="1" ref="FC40" ca="1">INDIRECT(FC$5)</f>
        <v/>
      </c>
      <c r="FD40" s="97" t="str" cm="1">
        <f t="array" aca="1" ref="FD40" ca="1">INDIRECT(FD$5)</f>
        <v/>
      </c>
      <c r="FE40" s="97" t="str">
        <f t="shared" ca="1" si="151"/>
        <v>Sprungdisziplinen nicht durchgeführt</v>
      </c>
      <c r="FF40" s="97" t="str">
        <f t="shared" ca="1" si="152"/>
        <v/>
      </c>
      <c r="FG40" s="108">
        <f t="shared" ca="1" si="153"/>
        <v>0</v>
      </c>
      <c r="FH40" s="108">
        <f t="shared" ca="1" si="154"/>
        <v>0</v>
      </c>
      <c r="FI40" s="108" t="str">
        <f t="shared" ca="1" si="155"/>
        <v/>
      </c>
      <c r="FJ40" s="97" t="str">
        <f t="shared" ca="1" si="156"/>
        <v>Sprungdisziplinen nicht durchgeführt</v>
      </c>
      <c r="FK40" s="97" t="str">
        <f t="shared" ca="1" si="157"/>
        <v/>
      </c>
      <c r="FL40" s="97" t="str" cm="1">
        <f t="array" aca="1" ref="FL40" ca="1">IFERROR(IF(INDIRECT(INDEX(INDIRECT(FL$5),MATCH(FJ40,INDIRECT(FL$4),0)))&lt;&gt;"",INDEX(INDIRECT(FL$5),MATCH(FJ40,INDIRECT(FL$4),0)),INDEX(INDIRECT(FL$6),MATCH(FJ40,INDIRECT(FL$4),0))),"")</f>
        <v/>
      </c>
      <c r="FM40" s="97" t="str">
        <f t="shared" ca="1" si="158"/>
        <v/>
      </c>
      <c r="FN40" s="97" t="str" cm="1">
        <f t="array" aca="1" ref="FN40" ca="1">IFERROR(INDIRECT(FL40),IF(NOT(ISERROR(FIND(Stammdaten!$CC$3,FJ40,1))),$A$2,""))</f>
        <v/>
      </c>
      <c r="FO40" s="97" t="str">
        <f ca="1">IF(FN40="","",IF(AND(FK40=Stammdaten!$BX$20,FM40="0",FN40=1),SUBSTITUTE(TEXT(FN40,FM40)&amp;" "&amp;LEFT(FK40,LEN(FK40)-1),".",","),SUBSTITUTE(TEXT(FN40,FM40)&amp;" "&amp;FK40,".",",")))</f>
        <v/>
      </c>
      <c r="FP40" s="97" t="str">
        <f t="shared" ca="1" si="59"/>
        <v/>
      </c>
      <c r="FQ40" s="97" t="str" cm="1">
        <f t="array" aca="1" ref="FQ40" ca="1">IFERROR(LEFT(INDIRECT(FP40),1)&amp;"]","")</f>
        <v/>
      </c>
      <c r="FR40" s="97" t="str">
        <f t="shared" ca="1" si="60"/>
        <v/>
      </c>
      <c r="FS40" s="97" t="str">
        <f ca="1">IFERROR(LEFT(FJ40,FIND(Stammdaten!$CA$4,FJ40,1)-2),IFERROR(LEFT(FJ40,FIND(Stammdaten!$CC$3,FJ40,1)-2),FJ40))</f>
        <v>Sprungdisziplinen</v>
      </c>
      <c r="FT40" s="97" t="str">
        <f ca="1">IF(NOT(ISERROR(FIND(Stammdaten!$CA$4,FJ40,1))),Stammdaten!$CA$4,IF(FU40&lt;&gt;Stammdaten!$CC$3,FR40,""))</f>
        <v>nicht durchgeführt</v>
      </c>
      <c r="FU40" s="91" t="str">
        <f ca="1">IF(FN40=$A$2,Stammdaten!$CC$3,FO40)</f>
        <v/>
      </c>
      <c r="FV40" s="97" t="str" cm="1">
        <f t="array" aca="1" ref="FV40" ca="1">INDIRECT(FV$5)</f>
        <v/>
      </c>
      <c r="FW40" s="97" t="str" cm="1">
        <f t="array" aca="1" ref="FW40" ca="1">INDIRECT(FW$5)</f>
        <v/>
      </c>
      <c r="FX40" s="97" t="str" cm="1">
        <f t="array" aca="1" ref="FX40" ca="1">INDIRECT(FX$5)</f>
        <v/>
      </c>
      <c r="FY40" s="97" t="str" cm="1">
        <f t="array" aca="1" ref="FY40" ca="1">INDIRECT(FY$5)</f>
        <v/>
      </c>
      <c r="FZ40" s="97" t="str" cm="1">
        <f t="array" aca="1" ref="FZ40" ca="1">INDIRECT(FZ$5)</f>
        <v/>
      </c>
      <c r="GA40" s="97" t="str" cm="1">
        <f t="array" aca="1" ref="GA40" ca="1">INDIRECT(GA$5)</f>
        <v/>
      </c>
      <c r="GB40" s="97" t="str">
        <f t="shared" ca="1" si="159"/>
        <v>Wurfdisziplinen nicht durchgeführt</v>
      </c>
      <c r="GC40" s="97" t="str">
        <f t="shared" ca="1" si="160"/>
        <v/>
      </c>
      <c r="GD40" s="108">
        <f t="shared" ca="1" si="161"/>
        <v>0</v>
      </c>
      <c r="GE40" s="108">
        <f t="shared" ca="1" si="162"/>
        <v>0</v>
      </c>
      <c r="GF40" s="108" t="str">
        <f t="shared" ca="1" si="163"/>
        <v/>
      </c>
      <c r="GG40" s="97" t="str">
        <f t="shared" ca="1" si="164"/>
        <v>Wurfdisziplinen nicht durchgeführt</v>
      </c>
      <c r="GH40" s="97" t="str">
        <f t="shared" ca="1" si="165"/>
        <v/>
      </c>
      <c r="GI40" s="97" t="str" cm="1">
        <f t="array" aca="1" ref="GI40" ca="1">IFERROR(IF(INDIRECT(INDEX(INDIRECT(GI$5),MATCH(GG40,INDIRECT(GI$4),0)))&lt;&gt;"",INDEX(INDIRECT(GI$5),MATCH(GG40,INDIRECT(GI$4),0)),INDEX(INDIRECT(GI$6),MATCH(GG40,INDIRECT(GI$4),0))),"")</f>
        <v/>
      </c>
      <c r="GJ40" s="97" t="str">
        <f t="shared" ca="1" si="166"/>
        <v/>
      </c>
      <c r="GK40" s="97" t="str" cm="1">
        <f t="array" aca="1" ref="GK40" ca="1">IFERROR(INDIRECT(GI40),IF(NOT(ISERROR(FIND(Stammdaten!$CC$3,GG40,1))),$A$2,""))</f>
        <v/>
      </c>
      <c r="GL40" s="97" t="str">
        <f ca="1">IF(GK40="","",IF(AND(GH40=Stammdaten!$BX$20,GJ40="0",GK40=1),SUBSTITUTE(TEXT(GK40,GJ40)&amp;" "&amp;LEFT(GH40,LEN(GH40)-1),".",","),SUBSTITUTE(TEXT(GK40,GJ40)&amp;" "&amp;GH40,".",",")))</f>
        <v/>
      </c>
      <c r="GM40" s="97" t="str">
        <f t="shared" ca="1" si="61"/>
        <v/>
      </c>
      <c r="GN40" s="97" t="str" cm="1">
        <f t="array" aca="1" ref="GN40" ca="1">IFERROR(LEFT(INDIRECT(GM40),1)&amp;"]","")</f>
        <v/>
      </c>
      <c r="GO40" s="97" t="str">
        <f t="shared" ca="1" si="62"/>
        <v/>
      </c>
      <c r="GP40" s="97" t="str">
        <f ca="1">IFERROR(LEFT(GG40,FIND(Stammdaten!$CA$4,GG40,1)-2),IFERROR(LEFT(GG40,FIND(Stammdaten!$CC$3,GG40,1)-2),GG40))</f>
        <v>Wurfdisziplinen</v>
      </c>
      <c r="GQ40" s="97" t="str">
        <f ca="1">IF(NOT(ISERROR(FIND(Stammdaten!$CA$4,GG40,1))),Stammdaten!$CA$4,IF(GR40&lt;&gt;Stammdaten!$CC$3,GO40,""))</f>
        <v>nicht durchgeführt</v>
      </c>
      <c r="GR40" s="91" t="str">
        <f ca="1">IF(GK40=$A$2,Stammdaten!$CC$3,GL40)</f>
        <v/>
      </c>
      <c r="GS40" s="97" t="str">
        <f t="shared" ca="1" si="63"/>
        <v/>
      </c>
      <c r="GT40" s="97" t="str">
        <f t="shared" ca="1" si="64"/>
        <v/>
      </c>
      <c r="GU40" s="97" t="str">
        <f t="shared" ca="1" si="65"/>
        <v/>
      </c>
      <c r="GV40" s="97" t="str">
        <f t="shared" ca="1" si="66"/>
        <v/>
      </c>
      <c r="GW40" s="97">
        <f t="shared" ca="1" si="167"/>
        <v>0</v>
      </c>
      <c r="GX40" s="108">
        <f t="shared" ca="1" si="168"/>
        <v>0</v>
      </c>
      <c r="GY40" s="108">
        <f t="shared" ca="1" si="169"/>
        <v>0</v>
      </c>
      <c r="GZ40" s="108" t="str">
        <f t="shared" ca="1" si="170"/>
        <v/>
      </c>
      <c r="HA40" s="97" t="str">
        <f ca="1">IF(GZ40="",Stammdaten!$BZ$1,IF(AND(GX40=0,GY40&gt;=GZ$25),$A$3,ROUND(SUM(GW40/GZ40)/HA$25,0)*HA$25))</f>
        <v>Zu wenige Werte</v>
      </c>
      <c r="HB40" s="108">
        <f t="shared" ca="1" si="171"/>
        <v>6</v>
      </c>
      <c r="HC40" s="97" t="str">
        <f t="shared" ca="1" si="172"/>
        <v/>
      </c>
      <c r="HD40" s="97" t="str">
        <f t="shared" ca="1" si="173"/>
        <v/>
      </c>
      <c r="HE40" s="97" t="str">
        <f t="shared" ca="1" si="174"/>
        <v/>
      </c>
      <c r="HF40" s="97" t="str">
        <f t="shared" ca="1" si="175"/>
        <v/>
      </c>
      <c r="HG40" s="97" t="str">
        <f t="shared" ca="1" si="176"/>
        <v/>
      </c>
      <c r="HH40" s="97" t="str">
        <f t="shared" ca="1" si="177"/>
        <v>g</v>
      </c>
      <c r="HI40" s="97" t="str">
        <f t="shared" ca="1" si="178"/>
        <v/>
      </c>
      <c r="HJ40" s="97">
        <f t="shared" ca="1" si="179"/>
        <v>1</v>
      </c>
      <c r="HK40" s="97" t="str">
        <f ca="1">IF(OR(Geschlecht[[#This Row],[Geschlecht (Skala)]]="",NOT(ISNUMBER(GZ40))),"",HJ40)</f>
        <v/>
      </c>
      <c r="HL40" s="97" t="str">
        <f t="shared" ca="1" si="180"/>
        <v/>
      </c>
      <c r="HM40" s="97"/>
      <c r="HN40" s="308" t="str">
        <f t="shared" ca="1" si="68"/>
        <v>Zu wenige Werte</v>
      </c>
      <c r="HO40" s="97"/>
      <c r="HP40" s="307"/>
      <c r="HQ40" s="96" t="str">
        <f>IFERROR(IFERROR(SUBSTITUTE(ReckResultat[[#This Row],[Eingabe]],".",",")*1,SUBSTITUTE(ReckResultat[[#This Row],[Eingabe]],",",".")*1),"")</f>
        <v/>
      </c>
      <c r="HR40" s="96" t="e">
        <f>INT(ReckResultat[[#This Row],[Resultat]])=ReckResultat[[#This Row],[Resultat]]</f>
        <v>#VALUE!</v>
      </c>
      <c r="HS40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0" s="96"/>
      <c r="HX40" s="97"/>
      <c r="HY40" s="307"/>
      <c r="HZ40" s="96" t="str">
        <f>IFERROR(IFERROR(SUBSTITUTE(BodenResultat[[#This Row],[Eingabe]],".",",")*1,SUBSTITUTE(BodenResultat[[#This Row],[Eingabe]],",",".")*1),"")</f>
        <v/>
      </c>
      <c r="IA40" s="96" t="e">
        <f>INT(BodenResultat[[#This Row],[Resultat]])=BodenResultat[[#This Row],[Resultat]]</f>
        <v>#VALUE!</v>
      </c>
      <c r="IB40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0" s="96"/>
      <c r="IG40" s="97"/>
      <c r="IH40" s="307"/>
      <c r="II40" s="96" t="str">
        <f>IFERROR(IFERROR(SUBSTITUTE(StufenbarrenResultat[[#This Row],[Eingabe]],".",",")*1,SUBSTITUTE(StufenbarrenResultat[[#This Row],[Eingabe]],",",".")*1),"")</f>
        <v/>
      </c>
      <c r="IJ40" s="96" t="e">
        <f>INT(StufenbarrenResultat[[#This Row],[Resultat]])=StufenbarrenResultat[[#This Row],[Resultat]]</f>
        <v>#VALUE!</v>
      </c>
      <c r="IK40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0" s="96"/>
      <c r="IP40" s="97"/>
      <c r="IQ40" s="307"/>
      <c r="IR40" s="96" t="str">
        <f>IFERROR(IFERROR(SUBSTITUTE(ParallelbarrenResultat[[#This Row],[Eingabe]],".",",")*1,SUBSTITUTE(ParallelbarrenResultat[[#This Row],[Eingabe]],",",".")*1),"")</f>
        <v/>
      </c>
      <c r="IS40" s="96" t="e">
        <f>INT(ParallelbarrenResultat[[#This Row],[Resultat]])=ParallelbarrenResultat[[#This Row],[Resultat]]</f>
        <v>#VALUE!</v>
      </c>
      <c r="IT40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0" s="96"/>
      <c r="IY40" s="97"/>
      <c r="IZ40" s="307"/>
      <c r="JA40" s="96" t="str">
        <f>IFERROR(IFERROR(SUBSTITUTE(SchaukelringeResultat[[#This Row],[Eingabe]],".",",")*1,SUBSTITUTE(SchaukelringeResultat[[#This Row],[Eingabe]],",",".")*1),"")</f>
        <v/>
      </c>
      <c r="JB40" s="96" t="e">
        <f>INT(SchaukelringeResultat[[#This Row],[Resultat]])=SchaukelringeResultat[[#This Row],[Resultat]]</f>
        <v>#VALUE!</v>
      </c>
      <c r="JC40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0" s="96"/>
      <c r="JH40" s="97"/>
      <c r="JI40" s="307"/>
      <c r="JJ40" s="96" t="str">
        <f>IFERROR(IFERROR(SUBSTITUTE(SprungResultat[[#This Row],[Eingabe]],".",",")*1,SUBSTITUTE(SprungResultat[[#This Row],[Eingabe]],",",".")*1),"")</f>
        <v/>
      </c>
      <c r="JK40" s="96" t="e">
        <f>INT(SprungResultat[[#This Row],[Resultat]])=SprungResultat[[#This Row],[Resultat]]</f>
        <v>#VALUE!</v>
      </c>
      <c r="JL40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0" s="96"/>
      <c r="JQ40" s="97"/>
      <c r="JR40" s="309" t="str" cm="1">
        <f t="array" aca="1" ref="JR40" ca="1">IF(AND(ISNUMBER(INDIRECT(JR$3)),INDIRECT(JR$3)&gt;0),INDIRECT(JR$3),"")</f>
        <v/>
      </c>
      <c r="JS40" s="309" t="str" cm="1">
        <f t="array" aca="1" ref="JS40" ca="1">IF(AND(ISNUMBER(INDIRECT(JS$3)),INDIRECT(JS$3)&gt;0),INDIRECT(JS$3),"")</f>
        <v/>
      </c>
      <c r="JT40" s="309" t="str" cm="1">
        <f t="array" aca="1" ref="JT40" ca="1">IF(AND(ISNUMBER(INDIRECT(JT$3)),INDIRECT(JT$3)&gt;0),INDIRECT(JT$3),"")</f>
        <v/>
      </c>
      <c r="JU40" s="309" t="str" cm="1">
        <f t="array" aca="1" ref="JU40" ca="1">IF(AND(ISNUMBER(INDIRECT(JU$3)),INDIRECT(JU$3)&gt;0),INDIRECT(JU$3),"")</f>
        <v/>
      </c>
      <c r="JV40" s="309" t="str" cm="1">
        <f t="array" aca="1" ref="JV40" ca="1">IF(AND(ISNUMBER(INDIRECT(JV$3)),INDIRECT(JV$3)&gt;0),INDIRECT(JV$3),"")</f>
        <v/>
      </c>
      <c r="JW40" s="309" t="str" cm="1">
        <f t="array" aca="1" ref="JW40" ca="1">IF(AND(ISNUMBER(INDIRECT(JW$3)),INDIRECT(JW$3)&gt;0),INDIRECT(JW$3),"")</f>
        <v/>
      </c>
      <c r="JX40" s="309" t="str">
        <f t="shared" ca="1" si="69"/>
        <v>x</v>
      </c>
      <c r="JY40" s="309" t="str">
        <f t="shared" ca="1" si="70"/>
        <v>y</v>
      </c>
      <c r="JZ40" s="309" t="str">
        <f t="shared" ca="1" si="71"/>
        <v>z</v>
      </c>
      <c r="KA40" s="309" t="str">
        <f t="shared" ca="1" si="181"/>
        <v>a</v>
      </c>
      <c r="KB40" s="309" t="str" cm="1">
        <f t="array" aca="1" ref="KB40" ca="1">IF(KA40="a","",INDEX($JR$23:$JW$23,,MATCH(KA40,$JR40:$JW40,0)))</f>
        <v/>
      </c>
      <c r="KC40" s="309" t="str" cm="1">
        <f t="array" aca="1" ref="KC40" ca="1">IF(OR(KB40="",KB40&gt;=$JW$23),"",INDEX(INDIRECT(ADDRESS(ROW($JR$23),KB40+1)):$JW$23,,MATCH(KA40,INDIRECT(ADDRESS(ROW(),KB40+1)):$JW40,0)))</f>
        <v/>
      </c>
      <c r="KD40" s="309" t="str" cm="1">
        <f t="array" aca="1" ref="KD40" ca="1">IF(OR(KC40="",KC40&gt;=$JW$23),"",INDEX(INDIRECT(ADDRESS(ROW($JR$23),KC40+1)):$JW$23,,MATCH(KA40,INDIRECT(ADDRESS(ROW(),KC40+1)):$JW40,0)))</f>
        <v/>
      </c>
      <c r="KE40" s="309" t="str">
        <f t="shared" ca="1" si="182"/>
        <v>c</v>
      </c>
      <c r="KF40" s="309" t="str" cm="1">
        <f t="array" aca="1" ref="KF40" ca="1">IF(OR(KE40="b",KE40="c"),"",INDEX($JR$23:$JW$23,,MATCH(KE40,$JR40:$JW40,0)))</f>
        <v/>
      </c>
      <c r="KG40" s="309" t="str" cm="1">
        <f t="array" aca="1" ref="KG40" ca="1">IF(OR(KF40="",KF40&gt;=$JW$23),"",INDEX(INDIRECT(ADDRESS(ROW($JR$23),KF40+1)):$JW$23,,MATCH(KE40,INDIRECT(ADDRESS(ROW(),KF40+1)):$JW40,0)))</f>
        <v/>
      </c>
      <c r="KH40" s="309" t="str">
        <f t="shared" ca="1" si="72"/>
        <v/>
      </c>
      <c r="KI40" s="309" t="str">
        <f t="shared" ca="1" si="183"/>
        <v>e</v>
      </c>
      <c r="KJ40" s="309" t="str">
        <f t="shared" ca="1" si="73"/>
        <v/>
      </c>
      <c r="KK40" s="309" t="str" cm="1">
        <f t="array" aca="1" ref="KK40" ca="1">IF(OR(KI40="d",KI40="e"),"",INDEX($JR$23:$JW$23,,MATCH(KI40,$JR40:$JW40,0)))</f>
        <v/>
      </c>
      <c r="KL40" s="309" t="str" cm="1">
        <f t="array" aca="1" ref="KL40" ca="1">IF(OR(KK40="",KK40&gt;=$JW$23),"",INDEX(INDIRECT(ADDRESS(ROW($JR$23),KK40+1)):$JW$23,,MATCH(KI40,INDIRECT(ADDRESS(ROW(),KK40+1)):$JW40,0)))</f>
        <v/>
      </c>
      <c r="KM40" s="309" t="str" cm="1">
        <f t="array" aca="1" ref="KM40" ca="1">IFERROR(IF(ISNUMBER(KB40),KB40,IF(ISNUMBER(KF40),KF40,IF(ISNUMBER(KJ40),KJ40,INDEX($JR$23:$JW$23,,MATCH(JX40,$JR40:$JW40,0))))),"x1")</f>
        <v>x1</v>
      </c>
      <c r="KN40" s="309" t="str" cm="1">
        <f t="array" aca="1" ref="KN40" ca="1">IFERROR(IF(ISNUMBER(KC40),KC40,IF(ISNUMBER(KG40),KG40,IF(ISNUMBER(KK40),KK40,INDEX($JR$23:$JW$23,,MATCH(JY40,$JR40:$JW40,0))))),IF(KM40="x1","x2","x1"))</f>
        <v>x2</v>
      </c>
      <c r="KO40" s="309" t="str" cm="1">
        <f t="array" aca="1" ref="KO40" ca="1">IFERROR(IF(ISNUMBER(KD40),KD40,IF(ISNUMBER(KH40),KH40,IF(ISNUMBER(KL40),KL40,INDEX($JR$23:$JW$23,,MATCH(JZ40,$JR40:$JW40,0))))),IF(KN40="x1","x2",IF(KN40="x2","x3","x1")))</f>
        <v>x3</v>
      </c>
      <c r="KP40" s="97" t="str" cm="1">
        <f t="array" aca="1" ref="KP40" ca="1">IF(OR(INDIRECT(KP$3)=$A$2,INDIRECT(KP$3)=$A$3),COLUMN(),"")</f>
        <v/>
      </c>
      <c r="KQ40" s="97" t="str" cm="1">
        <f t="array" aca="1" ref="KQ40" ca="1">IF(OR(INDIRECT(KQ$3)=$A$2,INDIRECT(KQ$3)=$A$3),COLUMN(),"")</f>
        <v/>
      </c>
      <c r="KR40" s="97" t="str" cm="1">
        <f t="array" aca="1" ref="KR40" ca="1">IF(OR(INDIRECT(KR$3)=$A$2,INDIRECT(KR$3)=$A$3),COLUMN(),"")</f>
        <v/>
      </c>
      <c r="KS40" s="97" t="str" cm="1">
        <f t="array" aca="1" ref="KS40" ca="1">IF(OR(INDIRECT(KS$3)=$A$2,INDIRECT(KS$3)=$A$3),COLUMN(),"")</f>
        <v/>
      </c>
      <c r="KT40" s="97" t="str" cm="1">
        <f t="array" aca="1" ref="KT40" ca="1">IF(OR(INDIRECT(KT$3)=$A$2,INDIRECT(KT$3)=$A$3),COLUMN(),"")</f>
        <v/>
      </c>
      <c r="KU40" s="97" t="str" cm="1">
        <f t="array" aca="1" ref="KU40" ca="1">IF(OR(INDIRECT(KU$3)=$A$2,INDIRECT(KU$3)=$A$3),COLUMN(),"")</f>
        <v/>
      </c>
      <c r="KV40" s="97" t="str" cm="1">
        <f t="array" aca="1" ref="KV40" ca="1">IF(AND(ISNUMBER(INDIRECT(KV$3)),INDIRECT(KV$3)=0),COLUMN(),"")</f>
        <v/>
      </c>
      <c r="KW40" s="97" t="str" cm="1">
        <f t="array" aca="1" ref="KW40" ca="1">IF(AND(ISNUMBER(INDIRECT(KW$3)),INDIRECT(KW$3)=0),COLUMN(),"")</f>
        <v/>
      </c>
      <c r="KX40" s="97" t="str" cm="1">
        <f t="array" aca="1" ref="KX40" ca="1">IF(AND(ISNUMBER(INDIRECT(KX$3)),INDIRECT(KX$3)=0),COLUMN(),"")</f>
        <v/>
      </c>
      <c r="KY40" s="97" t="str" cm="1">
        <f t="array" aca="1" ref="KY40" ca="1">IF(AND(ISNUMBER(INDIRECT(KY$3)),INDIRECT(KY$3)=0),COLUMN(),"")</f>
        <v/>
      </c>
      <c r="KZ40" s="97" t="str" cm="1">
        <f t="array" aca="1" ref="KZ40" ca="1">IF(AND(ISNUMBER(INDIRECT(KZ$3)),INDIRECT(KZ$3)=0),COLUMN(),"")</f>
        <v/>
      </c>
      <c r="LA40" s="97" t="str" cm="1">
        <f t="array" aca="1" ref="LA40" ca="1">IF(AND(ISNUMBER(INDIRECT(LA$3)),INDIRECT(LA$3)=0),COLUMN(),"")</f>
        <v/>
      </c>
      <c r="LB40" s="97" t="str">
        <f t="shared" ca="1" si="184"/>
        <v>x1</v>
      </c>
      <c r="LC40" s="97" t="str">
        <f t="shared" ca="1" si="185"/>
        <v>x2</v>
      </c>
      <c r="LD40" s="97" t="str">
        <f t="shared" ca="1" si="186"/>
        <v>x3</v>
      </c>
      <c r="LE40" s="97" t="str">
        <f ca="1">IFERROR(IF(ISNUMBER(LB40),LB40,SMALL($KV40:$LA40,VALUE(RIGHT(LB40,1)))),Stammdaten!$CA$17)</f>
        <v>Erstes Gerät nicht durchgeführt</v>
      </c>
      <c r="LF40" s="97" t="str">
        <f ca="1">IFERROR(IF(ISNUMBER(LC40),LC40,SMALL($KV40:$LA40,VALUE(RIGHT(LC40,1)))),Stammdaten!$CA$18)</f>
        <v>Zweites Gerät nicht durchgeführt</v>
      </c>
      <c r="LG40" s="97" t="str">
        <f ca="1">IFERROR(IF(ISNUMBER(LD40),LD40,SMALL($KV40:$LA40,VALUE(RIGHT(LD40,1)))),Stammdaten!$CA$19)</f>
        <v>Drittes Gerät nicht durchgeführt</v>
      </c>
      <c r="LH40" s="91" t="str" cm="1">
        <f t="array" aca="1" ref="LH40" ca="1">IFERROR(INDIRECT(ADDRESS(ROW($JR$5),LE40)),LE40)</f>
        <v>Erstes Gerät nicht durchgeführt</v>
      </c>
      <c r="LI40" s="97" t="str">
        <f t="shared" ca="1" si="187"/>
        <v/>
      </c>
      <c r="LJ40" s="97" t="str" cm="1">
        <f t="array" aca="1" ref="LJ40" ca="1">IFERROR(IF(INDIRECT(INDEX(INDIRECT(LJ$5),MATCH(LH40,INDIRECT(LJ$4),0)))&lt;&gt;"",INDEX(INDIRECT(LJ$5),MATCH(LH40,INDIRECT(LJ$4),0)),INDEX(INDIRECT(LJ$6),MATCH(LH40,INDIRECT(LJ$4),0))),"")</f>
        <v/>
      </c>
      <c r="LK40" s="97" t="str">
        <f t="shared" ca="1" si="188"/>
        <v/>
      </c>
      <c r="LL40" s="97" t="str" cm="1">
        <f t="array" aca="1" ref="LL40" ca="1">IFERROR(INDIRECT(LJ40),"")</f>
        <v/>
      </c>
      <c r="LM40" s="97" t="str">
        <f ca="1">IF(LL40="","",IF(AND(LI40=Stammdaten!$BX$20,LK40="0",LL40=1),SUBSTITUTE(TEXT(LL40,LK40)&amp;" "&amp;LEFT(LI40,LEN(LI40)-1),".",","),SUBSTITUTE(TEXT(LL40,LK40)&amp;" "&amp;LI40,".",",")))</f>
        <v/>
      </c>
      <c r="LN40" s="97" t="str">
        <f t="shared" ca="1" si="74"/>
        <v/>
      </c>
      <c r="LO40" s="97" t="str" cm="1">
        <f t="array" aca="1" ref="LO40" ca="1">IFERROR(LEFT(INDIRECT(LN40),1)&amp;"]","")</f>
        <v/>
      </c>
      <c r="LP40" s="97" t="str">
        <f t="shared" ca="1" si="75"/>
        <v/>
      </c>
      <c r="LQ40" s="97" t="str">
        <f ca="1">IFERROR(LEFT(LH40,FIND(Stammdaten!$CA$4,LH40,1)-2),IFERROR(LEFT(LH40,FIND(Stammdaten!$CC$3,LH40,1)-2),LH40))</f>
        <v>Erstes Gerät</v>
      </c>
      <c r="LR40" s="97" t="str">
        <f ca="1">IF(NOT(ISERROR(FIND(Stammdaten!$CA$4,LH40,1))),Stammdaten!$CA$4,IF(LS40&lt;&gt;Stammdaten!$CC$3,LP40,""))</f>
        <v>nicht durchgeführt</v>
      </c>
      <c r="LS40" s="91" t="str">
        <f ca="1">IF(LL40=$A$2,Stammdaten!$CC$3,LM40)</f>
        <v/>
      </c>
      <c r="LT40" s="91" t="str" cm="1">
        <f t="array" aca="1" ref="LT40" ca="1">IFERROR(INDIRECT(ADDRESS(ROW($JR$5),LF40)),LF40)</f>
        <v>Zweites Gerät nicht durchgeführt</v>
      </c>
      <c r="LU40" s="97" t="str">
        <f t="shared" ca="1" si="189"/>
        <v/>
      </c>
      <c r="LV40" s="97" t="str" cm="1">
        <f t="array" aca="1" ref="LV40" ca="1">IFERROR(IF(INDIRECT(INDEX(INDIRECT(LV$5),MATCH(LT40,INDIRECT(LV$4),0)))&lt;&gt;"",INDEX(INDIRECT(LV$5),MATCH(LT40,INDIRECT(LV$4),0)),INDEX(INDIRECT(LV$6),MATCH(LT40,INDIRECT(LV$4),0))),"")</f>
        <v/>
      </c>
      <c r="LW40" s="97" t="str">
        <f t="shared" ca="1" si="190"/>
        <v/>
      </c>
      <c r="LX40" s="97" t="str" cm="1">
        <f t="array" aca="1" ref="LX40" ca="1">IFERROR(INDIRECT(LV40),"")</f>
        <v/>
      </c>
      <c r="LY40" s="97" t="str">
        <f ca="1">IF(LX40="","",IF(AND(LU40=Stammdaten!$BX$20,LW40="0",LX40=1),SUBSTITUTE(TEXT(LX40,LW40)&amp;" "&amp;LEFT(LU40,LEN(LU40)-1),".",","),SUBSTITUTE(TEXT(LX40,LW40)&amp;" "&amp;LU40,".",",")))</f>
        <v/>
      </c>
      <c r="LZ40" s="97" t="str">
        <f t="shared" ca="1" si="76"/>
        <v/>
      </c>
      <c r="MA40" s="97" t="str" cm="1">
        <f t="array" aca="1" ref="MA40" ca="1">IFERROR(LEFT(INDIRECT(LZ40),1)&amp;"]","")</f>
        <v/>
      </c>
      <c r="MB40" s="97" t="str">
        <f t="shared" ca="1" si="77"/>
        <v/>
      </c>
      <c r="MC40" s="97" t="str">
        <f ca="1">IFERROR(LEFT(LT40,FIND(Stammdaten!$CA$4,LT40,1)-2),IFERROR(LEFT(LT40,FIND(Stammdaten!$CC$3,LT40,1)-2),LT40))</f>
        <v>Zweites Gerät</v>
      </c>
      <c r="MD40" s="97" t="str">
        <f ca="1">IF(NOT(ISERROR(FIND(Stammdaten!$CA$4,LT40,1))),Stammdaten!$CA$4,IF(ME40&lt;&gt;Stammdaten!$CC$3,MB40,""))</f>
        <v>nicht durchgeführt</v>
      </c>
      <c r="ME40" s="91" t="str">
        <f ca="1">IF(LX40=$A$2,Stammdaten!$CC$3,LY40)</f>
        <v/>
      </c>
      <c r="MF40" s="91" t="str" cm="1">
        <f t="array" aca="1" ref="MF40" ca="1">IFERROR(INDIRECT(ADDRESS(ROW($JR$5),LG40)),LG40)</f>
        <v>Drittes Gerät nicht durchgeführt</v>
      </c>
      <c r="MG40" s="97" t="str">
        <f t="shared" ca="1" si="191"/>
        <v/>
      </c>
      <c r="MH40" s="97" t="str" cm="1">
        <f t="array" aca="1" ref="MH40" ca="1">IFERROR(IF(INDIRECT(INDEX(INDIRECT(MH$5),MATCH(MF40,INDIRECT(MH$4),0)))&lt;&gt;"",INDEX(INDIRECT(MH$5),MATCH(MF40,INDIRECT(MH$4),0)),INDEX(INDIRECT(MH$6),MATCH(MF40,INDIRECT(MH$4),0))),"")</f>
        <v/>
      </c>
      <c r="MI40" s="97" t="str">
        <f t="shared" ca="1" si="192"/>
        <v/>
      </c>
      <c r="MJ40" s="97" t="str" cm="1">
        <f t="array" aca="1" ref="MJ40" ca="1">IFERROR(INDIRECT(MH40),"")</f>
        <v/>
      </c>
      <c r="MK40" s="97" t="str">
        <f ca="1">IF(MJ40="","",IF(AND(MG40=Stammdaten!$BX$20,MI40="0",MJ40=1),SUBSTITUTE(TEXT(MJ40,MI40)&amp;" "&amp;LEFT(MG40,LEN(MG40)-1),".",","),SUBSTITUTE(TEXT(MJ40,MI40)&amp;" "&amp;MG40,".",",")))</f>
        <v/>
      </c>
      <c r="ML40" s="97" t="str">
        <f t="shared" ca="1" si="78"/>
        <v/>
      </c>
      <c r="MM40" s="97" t="str" cm="1">
        <f t="array" aca="1" ref="MM40" ca="1">IFERROR(LEFT(INDIRECT(ML40),1)&amp;"]","")</f>
        <v/>
      </c>
      <c r="MN40" s="97" t="str">
        <f t="shared" ca="1" si="79"/>
        <v/>
      </c>
      <c r="MO40" s="97" t="str">
        <f ca="1">IFERROR(LEFT(MF40,FIND(Stammdaten!$CA$4,MF40,1)-2),IFERROR(LEFT(MF40,FIND(Stammdaten!$CC$3,MF40,1)-2),MF40))</f>
        <v>Drittes Gerät</v>
      </c>
      <c r="MP40" s="97" t="str">
        <f ca="1">IF(NOT(ISERROR(FIND(Stammdaten!$CA$4,MF40,1))),Stammdaten!$CA$4,IF(MQ40&lt;&gt;Stammdaten!$CC$3,MN40,""))</f>
        <v>nicht durchgeführt</v>
      </c>
      <c r="MQ40" s="91" t="str">
        <f ca="1">IF(MJ40=$A$2,Stammdaten!$CC$3,MK40)</f>
        <v/>
      </c>
      <c r="MR40" s="97">
        <f t="shared" ca="1" si="80"/>
        <v>0</v>
      </c>
      <c r="MS40" s="108">
        <f t="shared" ca="1" si="193"/>
        <v>0</v>
      </c>
      <c r="MT40" s="108">
        <f t="shared" ca="1" si="194"/>
        <v>0</v>
      </c>
      <c r="MU40" s="108">
        <f t="shared" ca="1" si="195"/>
        <v>0</v>
      </c>
      <c r="MV40" s="108" t="str">
        <f t="shared" ca="1" si="196"/>
        <v/>
      </c>
      <c r="MW40" s="97" t="str">
        <f ca="1">IF(MV40="",Stammdaten!$BZ$1,IF(AND(MS40+MT40=0,MU40&gt;=MV$25),$A$3,MR40))</f>
        <v>Zu wenige Werte</v>
      </c>
      <c r="MX40" s="97"/>
      <c r="MY40" s="91" t="str">
        <f t="shared" ca="1" si="81"/>
        <v/>
      </c>
      <c r="MZ40" s="96" t="str">
        <f>LEFT(Geschlecht[[#This Row],[Geschlecht (Skala)]],1)&amp;$MZ$27</f>
        <v>2</v>
      </c>
      <c r="NA40" s="96" t="str">
        <f t="shared" ca="1" si="82"/>
        <v>Geräteturnen_2[Resultat]</v>
      </c>
      <c r="NB40" s="97" t="str" cm="1">
        <f t="array" aca="1" ref="NB40" ca="1">IF(OR($MW40="",$MW40=Stammdaten!$BZ$1),"",IF($MW40=0,0,IF(OR($MW40=$A$2,$MW40=$A$3),$A$3,IFERROR(INDEX(INDIRECT(NA40),MATCH(INDIRECT(MY$3),INDIRECT(NA40),NA$25)),IFERROR(IF(NA$25=-1,MAX(INDIRECT(NA40)),IF(NA$25=1,MIN(INDIRECT(NA40)))),"")))))</f>
        <v/>
      </c>
      <c r="ND40" s="91" t="str">
        <f t="shared" ca="1" si="83"/>
        <v>Geräteturnen_2[Note]</v>
      </c>
      <c r="NE40" s="97" t="str" cm="1">
        <f t="array" aca="1" ref="NE40" ca="1">IFERROR(INDEX(INDIRECT(ND40),MATCH(INDIRECT(MY$5),INDIRECT(NA40),0)),IF(INDIRECT(MY$5)=0,1,""))</f>
        <v/>
      </c>
      <c r="NF40" s="97"/>
      <c r="NG40" s="307"/>
      <c r="NH40" s="96" t="str">
        <f>IFERROR(IFERROR(SUBSTITUTE(ParkourResultat[[#This Row],[Eingabe]],".",",")*1,SUBSTITUTE(ParkourResultat[[#This Row],[Eingabe]],",",".")*1),"")</f>
        <v/>
      </c>
      <c r="NI40" s="96" t="e">
        <f>INT(ParkourResultat[[#This Row],[Resultat]])=ParkourResultat[[#This Row],[Resultat]]</f>
        <v>#VALUE!</v>
      </c>
      <c r="NJ40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0" s="96"/>
      <c r="NL40" s="91" t="str" cm="1">
        <f t="array" aca="1" ref="NL40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0" s="96" t="str">
        <f ca="1">LEFT(Geschlecht[[#This Row],[Geschlecht (Skala)]],1)&amp;NR$4</f>
        <v>2</v>
      </c>
      <c r="NN40" s="96" t="str">
        <f t="shared" ca="1" si="84"/>
        <v>Parkour_2[Resultat]</v>
      </c>
      <c r="NO40" s="97" t="str" cm="1">
        <f t="array" aca="1" ref="NO40" ca="1">IF(INDIRECT(NL$1)="","",IF(INDIRECT(NL$2)=0,0,IF(OR(INDIRECT(NL$1)=$A$2,INDIRECT(NL$1)=$A$3),$A$3,IFERROR(INDEX(INDIRECT(NN40),MATCH(INDIRECT(NL$3),INDIRECT(NN40),NN$25)),IFERROR(IF(NN$25=-1,MAX(INDIRECT(NN40)),IF(NN$25=1,MIN(INDIRECT(NN40)))),"")))))</f>
        <v/>
      </c>
      <c r="NQ40" s="91" t="str">
        <f t="shared" ca="1" si="85"/>
        <v>Parkour_2[Note]</v>
      </c>
      <c r="NR40" s="97" t="str" cm="1">
        <f t="array" aca="1" ref="NR40" ca="1">IFERROR(INDEX(INDIRECT(NQ40),MATCH(INDIRECT(NL$5),INDIRECT(NN40),0)),IF(INDIRECT(NL$5)=0,1,""))</f>
        <v/>
      </c>
      <c r="NS40" s="97"/>
      <c r="NT40" s="97" t="str" cm="1">
        <f t="array" aca="1" ref="NT40" ca="1">INDIRECT(NT$5)</f>
        <v/>
      </c>
      <c r="NU40" s="97" t="str" cm="1">
        <f t="array" aca="1" ref="NU40" ca="1">INDIRECT(NU$5)</f>
        <v/>
      </c>
      <c r="NV40" s="97" t="str" cm="1">
        <f t="array" aca="1" ref="NV40" ca="1">INDIRECT(NV$5)</f>
        <v/>
      </c>
      <c r="NW40" s="97" t="str" cm="1">
        <f t="array" aca="1" ref="NW40" ca="1">INDIRECT(NW$5)</f>
        <v/>
      </c>
      <c r="NX40" s="97" t="str">
        <f t="shared" ca="1" si="86"/>
        <v>Parkour nicht durchgeführt</v>
      </c>
      <c r="NY40" s="97" t="str">
        <f t="shared" ca="1" si="197"/>
        <v/>
      </c>
      <c r="NZ40" s="97" t="str" cm="1">
        <f t="array" aca="1" ref="NZ40" ca="1">IFERROR(IF(INDIRECT(INDEX(INDIRECT(NZ$5),MATCH(NX40,INDIRECT(NZ$4),0)))&lt;&gt;"",INDEX(INDIRECT(NZ$5),MATCH(NX40,INDIRECT(NZ$4),0)),INDEX(INDIRECT(NZ$6),MATCH(NX40,INDIRECT(NZ$4),0))),"")</f>
        <v/>
      </c>
      <c r="OA40" s="97" t="str">
        <f t="shared" ca="1" si="198"/>
        <v/>
      </c>
      <c r="OB40" s="97" t="str" cm="1">
        <f t="array" aca="1" ref="OB40" ca="1">IFERROR(INDIRECT(NZ40),IF(NOT(ISERROR(FIND(Stammdaten!$CC$3,NX40,1))),$A$2,""))</f>
        <v/>
      </c>
      <c r="OC40" s="97" t="str">
        <f ca="1">IF(OB40="","",IF(AND(NY40=Stammdaten!$BX$20,OA40="0",OB40=1),SUBSTITUTE(TEXT(OB40,OA40)&amp;" "&amp;LEFT(NY40,LEN(NY40)-1),".",","),SUBSTITUTE(TEXT(OB40,OA40)&amp;" "&amp;NY40,".",",")))</f>
        <v/>
      </c>
      <c r="OD40" s="97" t="str">
        <f t="shared" ca="1" si="87"/>
        <v/>
      </c>
      <c r="OE40" s="97" t="str" cm="1">
        <f t="array" aca="1" ref="OE40" ca="1">IFERROR(LEFT(INDIRECT(OD40),1)&amp;"]","")</f>
        <v/>
      </c>
      <c r="OF40" s="97" t="str">
        <f t="shared" ca="1" si="88"/>
        <v/>
      </c>
      <c r="OG40" s="97" t="str">
        <f ca="1">IFERROR(LEFT(NX40,FIND(Stammdaten!$CA$4,NX40,1)-2),IFERROR(LEFT(NX40,FIND(Stammdaten!$CC$3,NX40,1)-2),NX40))</f>
        <v>Parkour</v>
      </c>
      <c r="OH40" s="97" t="str">
        <f ca="1">IF(NOT(ISERROR(FIND(Stammdaten!$CA$4,NX40,1))),Stammdaten!$CA$4,IF(OI40&lt;&gt;Stammdaten!$CC$3,OF40,""))</f>
        <v>nicht durchgeführt</v>
      </c>
      <c r="OI40" s="91" t="str">
        <f ca="1">IF(OB40=$A$2,Stammdaten!$CC$3,OC40)</f>
        <v/>
      </c>
      <c r="OJ40" s="97" t="str">
        <f t="shared" ca="1" si="89"/>
        <v/>
      </c>
      <c r="OK40" s="97" t="str">
        <f t="shared" ca="1" si="90"/>
        <v/>
      </c>
      <c r="OL40" s="97">
        <f t="shared" ca="1" si="199"/>
        <v>0</v>
      </c>
      <c r="OM40" s="108">
        <f t="shared" ca="1" si="91"/>
        <v>0</v>
      </c>
      <c r="ON40" s="108">
        <f t="shared" ca="1" si="92"/>
        <v>0</v>
      </c>
      <c r="OO40" s="108" t="str">
        <f t="shared" ca="1" si="200"/>
        <v/>
      </c>
      <c r="OP40" s="97" t="str">
        <f ca="1">IF(OO40="",Stammdaten!$BZ$1,IF(AND(OM40=0,ON40&gt;=OO$25),$A$3,ROUND(SUM(OL40/OO40)/OP$25,0)*OP$25))</f>
        <v>Zu wenige Werte</v>
      </c>
      <c r="OQ40" s="108">
        <f t="shared" ca="1" si="201"/>
        <v>6</v>
      </c>
      <c r="OR40" s="97" t="str">
        <f t="shared" ca="1" si="202"/>
        <v/>
      </c>
      <c r="OS40" s="97" t="str">
        <f t="shared" ca="1" si="203"/>
        <v/>
      </c>
      <c r="OT40" s="97" t="str">
        <f t="shared" ca="1" si="204"/>
        <v/>
      </c>
      <c r="OU40" s="97" t="str">
        <f t="shared" ca="1" si="205"/>
        <v>g</v>
      </c>
      <c r="OV40" s="97" t="str">
        <f t="shared" ca="1" si="206"/>
        <v/>
      </c>
      <c r="OW40" s="97">
        <f t="shared" ca="1" si="207"/>
        <v>1</v>
      </c>
      <c r="OX40" s="97" t="str">
        <f ca="1">IF(OR(Geschlecht[[#This Row],[Geschlecht (Skala)]]="",NOT(ISNUMBER(OO40))),"",OW40)</f>
        <v/>
      </c>
      <c r="OY40" s="97" t="str">
        <f t="shared" ca="1" si="208"/>
        <v/>
      </c>
      <c r="OZ40" s="97"/>
      <c r="PA40" s="308" t="str">
        <f t="shared" ca="1" si="209"/>
        <v>Zu wenige Werte</v>
      </c>
      <c r="PB40" s="97"/>
      <c r="PC40" s="307"/>
      <c r="PD40" s="96" t="str">
        <f>IFERROR(IFERROR(SUBSTITUTE(TanzenResultat[[#This Row],[Eingabe]],".",",")*1,SUBSTITUTE(TanzenResultat[[#This Row],[Eingabe]],",",".")*1),"")</f>
        <v/>
      </c>
      <c r="PE40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0" s="96"/>
      <c r="PG40" s="91" t="str" cm="1">
        <f t="array" aca="1" ref="PG40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0" s="96" t="str">
        <f ca="1">LEFT(Geschlecht[[#This Row],[Geschlecht (Skala)]],1)&amp;PM$4</f>
        <v>2</v>
      </c>
      <c r="PI40" s="96" t="str">
        <f t="shared" ca="1" si="93"/>
        <v>Tanzen_2[Resultat]</v>
      </c>
      <c r="PJ40" s="97" t="str" cm="1">
        <f t="array" aca="1" ref="PJ40" ca="1">IF(INDIRECT(PG$1)="","",IF(INDIRECT(PG$2)=0,0,IF(OR(INDIRECT(PG$1)=$A$2,INDIRECT(PG$1)=$A$3),$A$3,IFERROR(INDEX(INDIRECT(PI40),MATCH(INDIRECT(PG$3),INDIRECT(PI40),PI$25)),IFERROR(IF(PI$25=-1,MAX(INDIRECT(PI40)),IF(PI$25=1,MIN(INDIRECT(PI40)))),"")))))</f>
        <v/>
      </c>
      <c r="PL40" s="91" t="str">
        <f t="shared" ca="1" si="94"/>
        <v>Tanzen_2[Note]</v>
      </c>
      <c r="PM40" s="97" t="str" cm="1">
        <f t="array" aca="1" ref="PM40" ca="1">IFERROR(INDEX(INDIRECT(PL40),MATCH(INDIRECT(PG$5),INDIRECT(PI40),0)),IF(INDIRECT(PG$5)=0,1,""))</f>
        <v/>
      </c>
      <c r="PN40" s="97"/>
      <c r="PO40" s="307"/>
      <c r="PP40" s="96" t="str">
        <f>IFERROR(IFERROR(SUBSTITUTE(RopeSkippingResultat[[#This Row],[Eingabe]],".",",")*1,SUBSTITUTE(RopeSkippingResultat[[#This Row],[Eingabe]],",",".")*1),"")</f>
        <v/>
      </c>
      <c r="PQ40" s="96" t="e">
        <f>INT(RopeSkippingResultat[[#This Row],[Resultat]])=RopeSkippingResultat[[#This Row],[Resultat]]</f>
        <v>#VALUE!</v>
      </c>
      <c r="PR40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0" s="96"/>
      <c r="PT40" s="91" t="str" cm="1">
        <f t="array" aca="1" ref="PT40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0" s="96" t="str">
        <f ca="1">LEFT(Geschlecht[[#This Row],[Geschlecht (Skala)]],1)&amp;PZ$4</f>
        <v>2</v>
      </c>
      <c r="PV40" s="96" t="str">
        <f t="shared" ca="1" si="95"/>
        <v>RopeSkipping_2[Resultat]</v>
      </c>
      <c r="PW40" s="97" t="str" cm="1">
        <f t="array" aca="1" ref="PW40" ca="1">IF(INDIRECT(PT$1)="","",IF(INDIRECT(PT$2)=0,0,IF(OR(INDIRECT(PT$1)=$A$2,INDIRECT(PT$1)=$A$3),$A$3,IFERROR(INDEX(INDIRECT(PV40),MATCH(INDIRECT(PT$3),INDIRECT(PV40),PV$25)),IFERROR(IF(PV$25=-1,MAX(INDIRECT(PV40)),IF(PV$25=1,MIN(INDIRECT(PV40)))),"")))))</f>
        <v/>
      </c>
      <c r="PY40" s="91" t="str">
        <f t="shared" ca="1" si="96"/>
        <v>RopeSkipping_2[Note]</v>
      </c>
      <c r="PZ40" s="97" t="str" cm="1">
        <f t="array" aca="1" ref="PZ40" ca="1">IFERROR(INDEX(INDIRECT(PY40),MATCH(INDIRECT(PT$5),INDIRECT(PV40),0)),IF(INDIRECT(PT$5)=0,1,""))</f>
        <v/>
      </c>
      <c r="QA40" s="97"/>
      <c r="QB40" s="307"/>
      <c r="QC40" s="96" t="str">
        <f>IFERROR(IFERROR(SUBSTITUTE(AerobicResultat[[#This Row],[Eingabe]],".",",")*1,SUBSTITUTE(AerobicResultat[[#This Row],[Eingabe]],",",".")*1),"")</f>
        <v/>
      </c>
      <c r="QD40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0" s="96"/>
      <c r="QF40" s="91" t="str" cm="1">
        <f t="array" aca="1" ref="QF40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0" s="96" t="str">
        <f ca="1">LEFT(Geschlecht[[#This Row],[Geschlecht (Skala)]],1)&amp;QL$4</f>
        <v>2</v>
      </c>
      <c r="QH40" s="96" t="str">
        <f t="shared" ca="1" si="97"/>
        <v>Aerobic_2[Resultat]</v>
      </c>
      <c r="QI40" s="97" t="str" cm="1">
        <f t="array" aca="1" ref="QI40" ca="1">IF(INDIRECT(QF$1)="","",IF(INDIRECT(QF$2)=0,0,IF(OR(INDIRECT(QF$1)=$A$2,INDIRECT(QF$1)=$A$3),$A$3,IFERROR(INDEX(INDIRECT(QH40),MATCH(INDIRECT(QF$3),INDIRECT(QH40),QH$25)),IFERROR(IF(QH$25=-1,MAX(INDIRECT(QH40)),IF(QH$25=1,MIN(INDIRECT(QH40)))),"")))))</f>
        <v/>
      </c>
      <c r="QK40" s="91" t="str">
        <f t="shared" ca="1" si="98"/>
        <v>Aerobic_2[Note]</v>
      </c>
      <c r="QL40" s="97" t="str" cm="1">
        <f t="array" aca="1" ref="QL40" ca="1">IFERROR(INDEX(INDIRECT(QK40),MATCH(INDIRECT(QF$5),INDIRECT(QH40),0)),IF(INDIRECT(QF$5)=0,1,""))</f>
        <v/>
      </c>
      <c r="QM40" s="97"/>
      <c r="QN40" s="97" t="str" cm="1">
        <f t="array" aca="1" ref="QN40" ca="1">INDIRECT(QN$5)</f>
        <v/>
      </c>
      <c r="QO40" s="97" t="str" cm="1">
        <f t="array" aca="1" ref="QO40" ca="1">INDIRECT(QO$5)</f>
        <v/>
      </c>
      <c r="QP40" s="97" t="str" cm="1">
        <f t="array" aca="1" ref="QP40" ca="1">INDIRECT(QP$5)</f>
        <v/>
      </c>
      <c r="QQ40" s="97" t="str" cm="1">
        <f t="array" aca="1" ref="QQ40" ca="1">INDIRECT(QQ$5)</f>
        <v/>
      </c>
      <c r="QR40" s="97" t="str" cm="1">
        <f t="array" aca="1" ref="QR40" ca="1">INDIRECT(QR$5)</f>
        <v/>
      </c>
      <c r="QS40" s="97" t="str" cm="1">
        <f t="array" aca="1" ref="QS40" ca="1">INDIRECT(QS$5)</f>
        <v/>
      </c>
      <c r="QT40" s="97" t="str">
        <f t="shared" ca="1" si="99"/>
        <v>Darstellen und Tanzen nicht durchgeführt</v>
      </c>
      <c r="QU40" s="108">
        <f t="shared" ca="1" si="100"/>
        <v>0</v>
      </c>
      <c r="QV40" s="108">
        <f t="shared" ca="1" si="101"/>
        <v>0</v>
      </c>
      <c r="QW40" s="108" t="str">
        <f t="shared" ca="1" si="210"/>
        <v/>
      </c>
      <c r="QX40" s="97" t="str">
        <f t="shared" ca="1" si="211"/>
        <v>Darstellen und Tanzen nicht durchgeführt</v>
      </c>
      <c r="QY40" s="97" t="str">
        <f t="shared" ca="1" si="212"/>
        <v/>
      </c>
      <c r="QZ40" s="97" t="str" cm="1">
        <f t="array" aca="1" ref="QZ40" ca="1">IFERROR(IF(INDIRECT(INDEX(INDIRECT(QZ$5),MATCH(QX40,INDIRECT(QZ$4),0)))&lt;&gt;"",INDEX(INDIRECT(QZ$5),MATCH(QX40,INDIRECT(QZ$4),0)),INDEX(INDIRECT(QZ$6),MATCH(QX40,INDIRECT(QZ$4),0))),"")</f>
        <v/>
      </c>
      <c r="RA40" s="97" t="str">
        <f t="shared" ca="1" si="213"/>
        <v/>
      </c>
      <c r="RB40" s="97" t="str" cm="1">
        <f t="array" aca="1" ref="RB40" ca="1">IFERROR(INDIRECT(QZ40),IF(NOT(ISERROR(FIND(Stammdaten!$CC$3,QX40,1))),$A$2,""))</f>
        <v/>
      </c>
      <c r="RC40" s="97" t="str">
        <f ca="1">IF(RB40="","",IF(AND(QY40=Stammdaten!$BX$20,RA40="0",RB40=1),SUBSTITUTE(TEXT(RB40,RA40)&amp;" "&amp;LEFT(QY40,LEN(QY40)-1),".",","),SUBSTITUTE(TEXT(RB40,RA40)&amp;" "&amp;QY40,".",",")))</f>
        <v/>
      </c>
      <c r="RD40" s="97" t="str">
        <f t="shared" ca="1" si="102"/>
        <v/>
      </c>
      <c r="RE40" s="97" t="str" cm="1">
        <f t="array" aca="1" ref="RE40" ca="1">IFERROR(LEFT(INDIRECT(RD40),1)&amp;"]","")</f>
        <v/>
      </c>
      <c r="RF40" s="97" t="str">
        <f t="shared" ca="1" si="103"/>
        <v/>
      </c>
      <c r="RG40" s="97" t="str">
        <f ca="1">IFERROR(LEFT(QX40,FIND(Stammdaten!$CA$4,QX40,1)-2),IFERROR(LEFT(QX40,FIND(Stammdaten!$CC$3,QX40,1)-2),QX40))</f>
        <v>Darstellen und Tanzen</v>
      </c>
      <c r="RH40" s="97" t="str">
        <f ca="1">IF(NOT(ISERROR(FIND(Stammdaten!$CA$4,QX40,1))),Stammdaten!$CA$4,IF(RI40&lt;&gt;Stammdaten!$CC$3,RF40,""))</f>
        <v>nicht durchgeführt</v>
      </c>
      <c r="RI40" s="91" t="str">
        <f ca="1">IF(RB40=$A$2,Stammdaten!$CC$3,RC40)</f>
        <v/>
      </c>
      <c r="RJ40" s="108">
        <f t="shared" ca="1" si="214"/>
        <v>6</v>
      </c>
      <c r="RK40" s="97"/>
      <c r="RL40" s="308" t="str">
        <f ca="1">IF(QT40=$QT$4,Stammdaten!$BZ$1,IF(QT40=$QT$5,$A$3,QT40))</f>
        <v>Zu wenige Werte</v>
      </c>
      <c r="RM40" s="97"/>
      <c r="RN40" s="307"/>
      <c r="RO40" s="96" t="str">
        <f>IFERROR(IFERROR(SUBSTITUTE(BasketballResultat[[#This Row],[Eingabe]],".",",")*1,SUBSTITUTE(BasketballResultat[[#This Row],[Eingabe]],",",".")*1),"")</f>
        <v/>
      </c>
      <c r="RP40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0" s="96"/>
      <c r="RR40" s="91" t="str" cm="1">
        <f t="array" aca="1" ref="RR40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0" s="96" t="str">
        <f ca="1">LEFT(Geschlecht[[#This Row],[Geschlecht (Skala)]],1)&amp;RX$4</f>
        <v>2</v>
      </c>
      <c r="RT40" s="96" t="str">
        <f t="shared" ca="1" si="104"/>
        <v>Basketball_2[Resultat]</v>
      </c>
      <c r="RU40" s="97" t="str" cm="1">
        <f t="array" aca="1" ref="RU40" ca="1">IF(INDIRECT(RR$1)="","",IF(INDIRECT(RR$2)=0,0,IF(OR(INDIRECT(RR$1)=$A$2,INDIRECT(RR$1)=$A$3),$A$3,IFERROR(INDEX(INDIRECT(RT40),MATCH(INDIRECT(RR$3),INDIRECT(RT40),RT$25)),IFERROR(IF(RT$25=-1,MAX(INDIRECT(RT40)),IF(RT$25=1,MIN(INDIRECT(RT40)))),"")))))</f>
        <v/>
      </c>
      <c r="RW40" s="91" t="str">
        <f t="shared" ca="1" si="105"/>
        <v>Basketball_2[Note]</v>
      </c>
      <c r="RX40" s="97" t="str" cm="1">
        <f t="array" aca="1" ref="RX40" ca="1">IFERROR(INDEX(INDIRECT(RW40),MATCH(INDIRECT(RR$5),INDIRECT(RT40),0)),IF(INDIRECT(RR$5)=0,1,""))</f>
        <v/>
      </c>
      <c r="RY40" s="97"/>
      <c r="RZ40" s="307"/>
      <c r="SA40" s="96" t="str">
        <f>IFERROR(IFERROR(SUBSTITUTE(FussballResultat[[#This Row],[Eingabe]],".",",")*1,SUBSTITUTE(FussballResultat[[#This Row],[Eingabe]],",",".")*1),"")</f>
        <v/>
      </c>
      <c r="SB40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0" s="96"/>
      <c r="SD40" s="316" t="str" cm="1">
        <f t="array" aca="1" ref="SD40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0" s="96" t="str">
        <f ca="1">LEFT(Geschlecht[[#This Row],[Geschlecht (Skala)]],1)&amp;SJ$4</f>
        <v>2</v>
      </c>
      <c r="SF40" s="96" t="str">
        <f t="shared" ca="1" si="106"/>
        <v>Fussball_2[Resultat]</v>
      </c>
      <c r="SG40" s="97" t="str" cm="1">
        <f t="array" aca="1" ref="SG40" ca="1">IF(INDIRECT(SD$1)="","",IF(INDIRECT(SD$2)=0,0,IF(OR(INDIRECT(SD$1)=$A$2,INDIRECT(SD$1)=$A$3),$A$3,IFERROR(INDEX(INDIRECT(SF40),MATCH(INDIRECT(SD$3),INDIRECT(SF40),SF$25)),IFERROR(IF(SF$25=-1,MAX(INDIRECT(SF40)),IF(SF$25=1,MIN(INDIRECT(SF40)))),"")))))</f>
        <v/>
      </c>
      <c r="SI40" s="91" t="str">
        <f t="shared" ca="1" si="107"/>
        <v>Fussball_2[Note]</v>
      </c>
      <c r="SJ40" s="97" t="str" cm="1">
        <f t="array" aca="1" ref="SJ40" ca="1">IFERROR(INDEX(INDIRECT(SI40),MATCH(INDIRECT(SD$5),INDIRECT(SF40),0)),IF(INDIRECT(SD$5)=0,1,""))</f>
        <v/>
      </c>
      <c r="SK40" s="97"/>
      <c r="SL40" s="307"/>
      <c r="SM40" s="96" t="str">
        <f>IFERROR(IFERROR(SUBSTITUTE(HandballResultat[[#This Row],[Eingabe]],".",",")*1,SUBSTITUTE(HandballResultat[[#This Row],[Eingabe]],",",".")*1),"")</f>
        <v/>
      </c>
      <c r="SN40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0" s="96"/>
      <c r="SP40" s="91" t="str" cm="1">
        <f t="array" aca="1" ref="SP40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0" s="96" t="str">
        <f ca="1">LEFT(Geschlecht[[#This Row],[Geschlecht (Skala)]],1)&amp;SV$4</f>
        <v>2</v>
      </c>
      <c r="SR40" s="96" t="str">
        <f t="shared" ca="1" si="108"/>
        <v>Handball_2[Resultat]</v>
      </c>
      <c r="SS40" s="97" t="str" cm="1">
        <f t="array" aca="1" ref="SS40" ca="1">IF(INDIRECT(SP$1)="","",IF(INDIRECT(SP$2)=0,0,IF(OR(INDIRECT(SP$1)=$A$2,INDIRECT(SP$1)=$A$3),$A$3,IFERROR(INDEX(INDIRECT(SR40),MATCH(INDIRECT(SP$3),INDIRECT(SR40),SR$25)),IFERROR(IF(SR$25=-1,MAX(INDIRECT(SR40)),IF(SR$25=1,MIN(INDIRECT(SR40)))),"")))))</f>
        <v/>
      </c>
      <c r="SU40" s="91" t="str">
        <f t="shared" ca="1" si="109"/>
        <v>Handball_2[Note]</v>
      </c>
      <c r="SV40" s="97" t="str" cm="1">
        <f t="array" aca="1" ref="SV40" ca="1">IFERROR(INDEX(INDIRECT(SU40),MATCH(INDIRECT(SP$5),INDIRECT(SR40),0)),IF(INDIRECT(SP$5)=0,1,""))</f>
        <v/>
      </c>
      <c r="SW40" s="97"/>
      <c r="SX40" s="307"/>
      <c r="SY40" s="96" t="str">
        <f>IFERROR(IFERROR(SUBSTITUTE(UnihockeyResultat[[#This Row],[Eingabe]],".",",")*1,SUBSTITUTE(UnihockeyResultat[[#This Row],[Eingabe]],",",".")*1),"")</f>
        <v/>
      </c>
      <c r="SZ40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0" s="96"/>
      <c r="TB40" s="91" t="str" cm="1">
        <f t="array" aca="1" ref="TB40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0" s="96" t="str">
        <f ca="1">LEFT(Geschlecht[[#This Row],[Geschlecht (Skala)]],1)&amp;TH$4</f>
        <v>2</v>
      </c>
      <c r="TD40" s="96" t="str">
        <f t="shared" ca="1" si="110"/>
        <v>Unihockey_2[Resultat]</v>
      </c>
      <c r="TE40" s="97" t="str" cm="1">
        <f t="array" aca="1" ref="TE40" ca="1">IF(INDIRECT(TB$1)="","",IF(INDIRECT(TB$2)=0,0,IF(OR(INDIRECT(TB$1)=$A$2,INDIRECT(TB$1)=$A$3),$A$3,IFERROR(INDEX(INDIRECT(TD40),MATCH(INDIRECT(TB$3),INDIRECT(TD40),TD$25)),IFERROR(IF(TD$25=-1,MAX(INDIRECT(TD40)),IF(TD$25=1,MIN(INDIRECT(TD40)))),"")))))</f>
        <v/>
      </c>
      <c r="TG40" s="91" t="str">
        <f t="shared" ca="1" si="111"/>
        <v>Unihockey_2[Note]</v>
      </c>
      <c r="TH40" s="97" t="str" cm="1">
        <f t="array" aca="1" ref="TH40" ca="1">IFERROR(INDEX(INDIRECT(TG40),MATCH(INDIRECT(TB$5),INDIRECT(TD40),0)),IF(INDIRECT(TB$5)=0,1,""))</f>
        <v/>
      </c>
      <c r="TI40" s="97"/>
      <c r="TJ40" s="307"/>
      <c r="TK40" s="96" t="str">
        <f>IFERROR(IFERROR(SUBSTITUTE(VolleyballResultat[[#This Row],[Eingabe]],".",",")*1,SUBSTITUTE(VolleyballResultat[[#This Row],[Eingabe]],",",".")*1),"")</f>
        <v/>
      </c>
      <c r="TL40" s="96" t="e">
        <f>INT(VolleyballResultat[[#This Row],[Resultat]])=VolleyballResultat[[#This Row],[Resultat]]</f>
        <v>#VALUE!</v>
      </c>
      <c r="TM40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0" s="96"/>
      <c r="TO40" s="91" t="str" cm="1">
        <f t="array" aca="1" ref="TO40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0" s="96" t="str">
        <f ca="1">LEFT(Geschlecht[[#This Row],[Geschlecht (Skala)]],1)&amp;TU$4</f>
        <v>2</v>
      </c>
      <c r="TQ40" s="96" t="str">
        <f t="shared" ca="1" si="112"/>
        <v>Volleyball_2[Resultat]</v>
      </c>
      <c r="TR40" s="97" t="str" cm="1">
        <f t="array" aca="1" ref="TR40" ca="1">IF(INDIRECT(TO$1)="","",IF(INDIRECT(TO$2)=0,0,IF(OR(INDIRECT(TO$1)=$A$2,INDIRECT(TO$1)=$A$3),$A$3,IFERROR(INDEX(INDIRECT(TQ40),MATCH(INDIRECT(TO$3),INDIRECT(TQ40),TQ$25)),IFERROR(IF(TQ$25=-1,MAX(INDIRECT(TQ40)),IF(TQ$25=1,MIN(INDIRECT(TQ40)))),"")))))</f>
        <v/>
      </c>
      <c r="TT40" s="91" t="str">
        <f t="shared" ca="1" si="113"/>
        <v>Volleyball_2[Note]</v>
      </c>
      <c r="TU40" s="97" t="str" cm="1">
        <f t="array" aca="1" ref="TU40" ca="1">IFERROR(INDEX(INDIRECT(TT40),MATCH(INDIRECT(TO$5),INDIRECT(TQ40),0)),IF(INDIRECT(TO$5)=0,1,""))</f>
        <v/>
      </c>
      <c r="TV40" s="97"/>
      <c r="TW40" s="309" t="str" cm="1">
        <f t="array" aca="1" ref="TW40" ca="1">IF(AND(ISNUMBER(INDIRECT(TW$3)),INDIRECT(TW$3)&gt;1),INDIRECT(TW$3),"")</f>
        <v/>
      </c>
      <c r="TX40" s="309" t="str" cm="1">
        <f t="array" aca="1" ref="TX40" ca="1">IF(AND(ISNUMBER(INDIRECT(TX$3)),INDIRECT(TX$3)&gt;1),INDIRECT(TX$3),"")</f>
        <v/>
      </c>
      <c r="TY40" s="309" t="str" cm="1">
        <f t="array" aca="1" ref="TY40" ca="1">IF(AND(ISNUMBER(INDIRECT(TY$3)),INDIRECT(TY$3)&gt;1),INDIRECT(TY$3),"")</f>
        <v/>
      </c>
      <c r="TZ40" s="309" t="str" cm="1">
        <f t="array" aca="1" ref="TZ40" ca="1">IF(AND(ISNUMBER(INDIRECT(TZ$3)),INDIRECT(TZ$3)&gt;1),INDIRECT(TZ$3),"")</f>
        <v/>
      </c>
      <c r="UA40" s="309" t="str" cm="1">
        <f t="array" aca="1" ref="UA40" ca="1">IF(AND(ISNUMBER(INDIRECT(UA$3)),INDIRECT(UA$3)&gt;1),INDIRECT(UA$3),"")</f>
        <v/>
      </c>
      <c r="UB40" s="309" t="str">
        <f t="shared" ca="1" si="114"/>
        <v>x</v>
      </c>
      <c r="UC40" s="309" t="str">
        <f t="shared" ca="1" si="115"/>
        <v>y</v>
      </c>
      <c r="UD40" s="309" t="str">
        <f t="shared" ca="1" si="116"/>
        <v>z</v>
      </c>
      <c r="UE40" s="309" t="str">
        <f t="shared" ca="1" si="215"/>
        <v>a</v>
      </c>
      <c r="UF40" s="309" t="str" cm="1">
        <f t="array" aca="1" ref="UF40" ca="1">IF(UE40="a","",INDEX($TW$23:$UA$23,,MATCH(UE40,$TW40:$UA40,0)))</f>
        <v/>
      </c>
      <c r="UG40" s="309" t="str" cm="1">
        <f t="array" aca="1" ref="UG40" ca="1">IF(OR(UF40="",UF40&gt;=$UA$23),"",INDEX(INDIRECT(ADDRESS(ROW($TW$23),UF40+1)):$UA$23,,MATCH(UE40,INDIRECT(ADDRESS(ROW(),UF40+1)):$UA40,0)))</f>
        <v/>
      </c>
      <c r="UH40" s="309" t="str" cm="1">
        <f t="array" aca="1" ref="UH40" ca="1">IF(OR(UG40="",UG40&gt;=$UA$23),"",INDEX(INDIRECT(ADDRESS(ROW($TW$23),UG40+1)):$UA$23,,MATCH(UE40,INDIRECT(ADDRESS(ROW(),UG40+1)):$UA40,0)))</f>
        <v/>
      </c>
      <c r="UI40" s="309" t="str">
        <f t="shared" ca="1" si="216"/>
        <v>c</v>
      </c>
      <c r="UJ40" s="309" t="str" cm="1">
        <f t="array" aca="1" ref="UJ40" ca="1">IF(OR(UI40="b",UI40="c"),"",INDEX($TW$23:$UA$23,,MATCH(UI40,$TW40:$UA40,0)))</f>
        <v/>
      </c>
      <c r="UK40" s="309" t="str" cm="1">
        <f t="array" aca="1" ref="UK40" ca="1">IF(OR(UJ40="",UJ40&gt;=$UA$23),"",INDEX(INDIRECT(ADDRESS(ROW($TW$23),UJ40+1)):$UA$23,,MATCH(UI40,INDIRECT(ADDRESS(ROW(),UJ40+1)):$UA40,0)))</f>
        <v/>
      </c>
      <c r="UL40" s="309" t="str">
        <f t="shared" ca="1" si="117"/>
        <v/>
      </c>
      <c r="UM40" s="309" t="str">
        <f t="shared" ca="1" si="217"/>
        <v>e</v>
      </c>
      <c r="UN40" s="309" t="str">
        <f t="shared" ca="1" si="118"/>
        <v/>
      </c>
      <c r="UO40" s="309" t="str" cm="1">
        <f t="array" aca="1" ref="UO40" ca="1">IF(OR(UM40="d",UM40="e"),"",INDEX($TW$23:$UA$23,,MATCH(UM40,$TW40:$UA40,0)))</f>
        <v/>
      </c>
      <c r="UP40" s="309" t="str" cm="1">
        <f t="array" aca="1" ref="UP40" ca="1">IF(OR(UO40="",UO40&gt;=$UA$23),"",INDEX(INDIRECT(ADDRESS(ROW($TW$23),UO40+1)):$UA$23,,MATCH(UM40,INDIRECT(ADDRESS(ROW(),UO40+1)):$UA40,0)))</f>
        <v/>
      </c>
      <c r="UQ40" s="309" t="str" cm="1">
        <f t="array" aca="1" ref="UQ40" ca="1">IFERROR(IF(ISNUMBER(UF40),UF40,IF(ISNUMBER(UJ40),UJ40,IF(ISNUMBER(UN40),UN40,INDEX($TW$23:$UA$23,,MATCH(UB40,$TW40:$UA40,0))))),"x1")</f>
        <v>x1</v>
      </c>
      <c r="UR40" s="309" t="str" cm="1">
        <f t="array" aca="1" ref="UR40" ca="1">IFERROR(IF(ISNUMBER(UG40),UG40,IF(ISNUMBER(UK40),UK40,IF(ISNUMBER(UO40),UO40,INDEX($TW$23:$UA$23,,MATCH(UC40,$TW40:$UA40,0))))),IF(UQ40="x1","x2","x1"))</f>
        <v>x2</v>
      </c>
      <c r="US40" s="309" t="str" cm="1">
        <f t="array" aca="1" ref="US40" ca="1">IFERROR(IF(ISNUMBER(UH40),UH40,IF(ISNUMBER(UL40),UL40,IF(ISNUMBER(UP40),UP40,INDEX($TW$23:$UA$23,,MATCH(UD40,$TW40:$UA40,0))))),IF(UR40="x1","x2",IF(UR40="x2","x3","x1")))</f>
        <v>x3</v>
      </c>
      <c r="UT40" s="97" t="str" cm="1">
        <f t="array" aca="1" ref="UT40" ca="1">IF(OR(INDIRECT(UT$3)=$A$2,INDIRECT(UT$3)=$A$3),COLUMN(),"")</f>
        <v/>
      </c>
      <c r="UU40" s="97" t="str" cm="1">
        <f t="array" aca="1" ref="UU40" ca="1">IF(OR(INDIRECT(UU$3)=$A$2,INDIRECT(UU$3)=$A$3),COLUMN(),"")</f>
        <v/>
      </c>
      <c r="UV40" s="97" t="str" cm="1">
        <f t="array" aca="1" ref="UV40" ca="1">IF(OR(INDIRECT(UV$3)=$A$2,INDIRECT(UV$3)=$A$3),COLUMN(),"")</f>
        <v/>
      </c>
      <c r="UW40" s="97" t="str" cm="1">
        <f t="array" aca="1" ref="UW40" ca="1">IF(OR(INDIRECT(UW$3)=$A$2,INDIRECT(UW$3)=$A$3),COLUMN(),"")</f>
        <v/>
      </c>
      <c r="UX40" s="97" t="str" cm="1">
        <f t="array" aca="1" ref="UX40" ca="1">IF(OR(INDIRECT(UX$3)=$A$2,INDIRECT(UX$3)=$A$3),COLUMN(),"")</f>
        <v/>
      </c>
      <c r="UY40" s="97" t="str" cm="1">
        <f t="array" aca="1" ref="UY40" ca="1">IF(AND(ISNUMBER(INDIRECT(UY$3)),INDIRECT(UY$3)=0),COLUMN(),"")</f>
        <v/>
      </c>
      <c r="UZ40" s="97" t="str" cm="1">
        <f t="array" aca="1" ref="UZ40" ca="1">IF(AND(ISNUMBER(INDIRECT(UZ$3)),INDIRECT(UZ$3)=0),COLUMN(),"")</f>
        <v/>
      </c>
      <c r="VA40" s="97" t="str" cm="1">
        <f t="array" aca="1" ref="VA40" ca="1">IF(AND(ISNUMBER(INDIRECT(VA$3)),INDIRECT(VA$3)=0),COLUMN(),"")</f>
        <v/>
      </c>
      <c r="VB40" s="97" t="str" cm="1">
        <f t="array" aca="1" ref="VB40" ca="1">IF(AND(ISNUMBER(INDIRECT(VB$3)),INDIRECT(VB$3)=0),COLUMN(),"")</f>
        <v/>
      </c>
      <c r="VC40" s="97" t="str" cm="1">
        <f t="array" aca="1" ref="VC40" ca="1">IF(AND(ISNUMBER(INDIRECT(VC$3)),INDIRECT(VC$3)=0),COLUMN(),"")</f>
        <v/>
      </c>
      <c r="VD40" s="97" t="str">
        <f t="shared" ca="1" si="218"/>
        <v>x1</v>
      </c>
      <c r="VE40" s="97" t="str">
        <f t="shared" ca="1" si="219"/>
        <v>x2</v>
      </c>
      <c r="VF40" s="97" t="str">
        <f t="shared" ca="1" si="220"/>
        <v>x3</v>
      </c>
      <c r="VG40" s="97" t="str">
        <f ca="1">IFERROR(IF(ISNUMBER(VD40),VD40,SMALL($UY40:$VC40,VALUE(RIGHT(VD40,1)))),Stammdaten!$CB$17)</f>
        <v>Erste Spielsportart nicht durchgeführt</v>
      </c>
      <c r="VH40" s="97" t="str">
        <f ca="1">IFERROR(IF(ISNUMBER(VE40),VE40,SMALL($UY40:$VC40,VALUE(RIGHT(VE40,1)))),Stammdaten!$CB$18)</f>
        <v>Zweite Spielsportart nicht durchgeführt</v>
      </c>
      <c r="VI40" s="97" t="str">
        <f ca="1">IFERROR(IF(ISNUMBER(VF40),VF40,SMALL($UY40:$VC40,VALUE(RIGHT(VF40,1)))),Stammdaten!$CB$19)</f>
        <v>Dritte Spielsportart nicht durchgeführt</v>
      </c>
      <c r="VJ40" s="91" t="str" cm="1">
        <f t="array" aca="1" ref="VJ40" ca="1">IFERROR(INDIRECT(ADDRESS(ROW($TW$5),VG40)),VG40)</f>
        <v>Erste Spielsportart nicht durchgeführt</v>
      </c>
      <c r="VK40" s="97" t="str">
        <f t="shared" ca="1" si="221"/>
        <v/>
      </c>
      <c r="VL40" s="97" t="str" cm="1">
        <f t="array" aca="1" ref="VL40" ca="1">IFERROR(IF(INDIRECT(INDEX(INDIRECT(VL$5),MATCH(VJ40,INDIRECT(VL$4),0)))&lt;&gt;"",INDEX(INDIRECT(VL$5),MATCH(VJ40,INDIRECT(VL$4),0)),INDEX(INDIRECT(VL$6),MATCH(VJ40,INDIRECT(VL$4),0))),"")</f>
        <v/>
      </c>
      <c r="VM40" s="97" t="str">
        <f t="shared" ca="1" si="222"/>
        <v/>
      </c>
      <c r="VN40" s="97" t="str" cm="1">
        <f t="array" aca="1" ref="VN40" ca="1">IFERROR(INDIRECT(VL40),"")</f>
        <v/>
      </c>
      <c r="VO40" s="97" t="str">
        <f ca="1">IF(VN40="","",IF(AND(VK40=Stammdaten!$BX$20,VM40="0",VN40=1),SUBSTITUTE(TEXT(VN40,VM40)&amp;" "&amp;LEFT(VK40,LEN(VK40)-1),".",","),SUBSTITUTE(TEXT(VN40,VM40)&amp;" "&amp;VK40,".",",")))</f>
        <v/>
      </c>
      <c r="VP40" s="97" t="str">
        <f t="shared" ca="1" si="119"/>
        <v/>
      </c>
      <c r="VQ40" s="97" t="str" cm="1">
        <f t="array" aca="1" ref="VQ40" ca="1">IFERROR(LEFT(INDIRECT(VP40),1)&amp;"]","")</f>
        <v/>
      </c>
      <c r="VR40" s="97" t="str">
        <f t="shared" ca="1" si="120"/>
        <v/>
      </c>
      <c r="VS40" s="97" t="str">
        <f ca="1">IFERROR(LEFT(VJ40,FIND(Stammdaten!$CA$4,VJ40,1)-2),IFERROR(LEFT(VJ40,FIND(Stammdaten!$CC$3,VJ40,1)-2),VJ40))</f>
        <v>Erste Spielsportart</v>
      </c>
      <c r="VT40" s="97" t="str">
        <f ca="1">IF(NOT(ISERROR(FIND(Stammdaten!$CA$4,VJ40,1))),Stammdaten!$CA$4,IF(VU40&lt;&gt;Stammdaten!$CC$3,VR40,""))</f>
        <v>nicht durchgeführt</v>
      </c>
      <c r="VU40" s="91" t="str">
        <f ca="1">IF(VN40=$A$2,Stammdaten!$CC$3,VO40)</f>
        <v/>
      </c>
      <c r="VV40" s="91" t="str" cm="1">
        <f t="array" aca="1" ref="VV40" ca="1">IFERROR(INDIRECT(ADDRESS(ROW($TW$5),VH40)),VH40)</f>
        <v>Zweite Spielsportart nicht durchgeführt</v>
      </c>
      <c r="VW40" s="97" t="str">
        <f t="shared" ca="1" si="223"/>
        <v/>
      </c>
      <c r="VX40" s="97" t="str" cm="1">
        <f t="array" aca="1" ref="VX40" ca="1">IFERROR(IF(INDIRECT(INDEX(INDIRECT(VX$5),MATCH(VV40,INDIRECT(VX$4),0)))&lt;&gt;"",INDEX(INDIRECT(VX$5),MATCH(VV40,INDIRECT(VX$4),0)),INDEX(INDIRECT(VX$6),MATCH(VV40,INDIRECT(VX$4),0))),"")</f>
        <v/>
      </c>
      <c r="VY40" s="97" t="str">
        <f t="shared" ca="1" si="224"/>
        <v/>
      </c>
      <c r="VZ40" s="97" t="str" cm="1">
        <f t="array" aca="1" ref="VZ40" ca="1">IFERROR(INDIRECT(VX40),"")</f>
        <v/>
      </c>
      <c r="WA40" s="97" t="str">
        <f ca="1">IF(VZ40="","",IF(AND(VW40=Stammdaten!$BX$20,VY40="0",VZ40=1),SUBSTITUTE(TEXT(VZ40,VY40)&amp;" "&amp;LEFT(VW40,LEN(VW40)-1),".",","),SUBSTITUTE(TEXT(VZ40,VY40)&amp;" "&amp;VW40,".",",")))</f>
        <v/>
      </c>
      <c r="WB40" s="97" t="str">
        <f t="shared" ca="1" si="121"/>
        <v/>
      </c>
      <c r="WC40" s="97" t="str" cm="1">
        <f t="array" aca="1" ref="WC40" ca="1">IFERROR(LEFT(INDIRECT(WB40),1)&amp;"]","")</f>
        <v/>
      </c>
      <c r="WD40" s="97" t="str">
        <f t="shared" ca="1" si="122"/>
        <v/>
      </c>
      <c r="WE40" s="97" t="str">
        <f ca="1">IFERROR(LEFT(VV40,FIND(Stammdaten!$CA$4,VV40,1)-2),IFERROR(LEFT(VV40,FIND(Stammdaten!$CC$3,VV40,1)-2),VV40))</f>
        <v>Zweite Spielsportart</v>
      </c>
      <c r="WF40" s="97" t="str">
        <f ca="1">IF(NOT(ISERROR(FIND(Stammdaten!$CA$4,VV40,1))),Stammdaten!$CA$4,IF(WG40&lt;&gt;Stammdaten!$CC$3,WD40,""))</f>
        <v>nicht durchgeführt</v>
      </c>
      <c r="WG40" s="91" t="str">
        <f ca="1">IF(VZ40=$A$2,Stammdaten!$CC$3,WA40)</f>
        <v/>
      </c>
      <c r="WH40" s="91" t="str" cm="1">
        <f t="array" aca="1" ref="WH40" ca="1">IFERROR(INDIRECT(ADDRESS(ROW($TW$5),VI40)),VI40)</f>
        <v>Dritte Spielsportart nicht durchgeführt</v>
      </c>
      <c r="WI40" s="97" t="str">
        <f t="shared" ca="1" si="225"/>
        <v/>
      </c>
      <c r="WJ40" s="97" t="str" cm="1">
        <f t="array" aca="1" ref="WJ40" ca="1">IFERROR(IF(INDIRECT(INDEX(INDIRECT(WJ$5),MATCH(WH40,INDIRECT(WJ$4),0)))&lt;&gt;"",INDEX(INDIRECT(WJ$5),MATCH(WH40,INDIRECT(WJ$4),0)),INDEX(INDIRECT(WJ$6),MATCH(WH40,INDIRECT(WJ$4),0))),"")</f>
        <v/>
      </c>
      <c r="WK40" s="97" t="str">
        <f t="shared" ca="1" si="226"/>
        <v/>
      </c>
      <c r="WL40" s="97" t="str" cm="1">
        <f t="array" aca="1" ref="WL40" ca="1">IFERROR(INDIRECT(WJ40),"")</f>
        <v/>
      </c>
      <c r="WM40" s="97" t="str">
        <f ca="1">IF(WL40="","",IF(AND(WI40=Stammdaten!$BX$20,WK40="0",WL40=1),SUBSTITUTE(TEXT(WL40,WK40)&amp;" "&amp;LEFT(WI40,LEN(WI40)-1),".",","),SUBSTITUTE(TEXT(WL40,WK40)&amp;" "&amp;WI40,".",",")))</f>
        <v/>
      </c>
      <c r="WN40" s="97" t="str">
        <f t="shared" ca="1" si="123"/>
        <v/>
      </c>
      <c r="WO40" s="97" t="str" cm="1">
        <f t="array" aca="1" ref="WO40" ca="1">IFERROR(LEFT(INDIRECT(WN40),1)&amp;"]","")</f>
        <v/>
      </c>
      <c r="WP40" s="97" t="str">
        <f t="shared" ca="1" si="124"/>
        <v/>
      </c>
      <c r="WQ40" s="97" t="str">
        <f ca="1">IFERROR(LEFT(WH40,FIND(Stammdaten!$CA$4,WH40,1)-2),IFERROR(LEFT(WH40,FIND(Stammdaten!$CC$3,WH40,1)-2),WH40))</f>
        <v>Dritte Spielsportart</v>
      </c>
      <c r="WR40" s="97" t="str">
        <f ca="1">IF(NOT(ISERROR(FIND(Stammdaten!$CA$4,WH40,1))),Stammdaten!$CA$4,IF(WS40&lt;&gt;Stammdaten!$CC$3,WP40,""))</f>
        <v>nicht durchgeführt</v>
      </c>
      <c r="WS40" s="91" t="str">
        <f ca="1">IF(WL40=$A$2,Stammdaten!$CC$3,WM40)</f>
        <v/>
      </c>
      <c r="WT40" s="97" t="str" cm="1">
        <f t="array" aca="1" ref="WT40" ca="1">INDIRECT(WT$5)</f>
        <v/>
      </c>
      <c r="WU40" s="97" t="str" cm="1">
        <f t="array" aca="1" ref="WU40" ca="1">INDIRECT(WU$5)</f>
        <v/>
      </c>
      <c r="WV40" s="97" t="str" cm="1">
        <f t="array" aca="1" ref="WV40" ca="1">INDIRECT(WV$5)</f>
        <v/>
      </c>
      <c r="WW40" s="97" t="str" cm="1">
        <f t="array" aca="1" ref="WW40" ca="1">INDIRECT(WW$5)</f>
        <v/>
      </c>
      <c r="WX40" s="97" t="str" cm="1">
        <f t="array" aca="1" ref="WX40" ca="1">INDIRECT(WX$5)</f>
        <v/>
      </c>
      <c r="WY40" s="97" cm="1">
        <f t="array" aca="1" ref="WY40" ca="1">IF(INDIRECT(WY$5)&lt;&gt;"",INDIRECT(WY$5),0)</f>
        <v>0</v>
      </c>
      <c r="WZ40" s="97" cm="1">
        <f t="array" aca="1" ref="WZ40" ca="1">IF(INDIRECT(WZ$5)&lt;&gt;"",INDIRECT(WZ$5),0)</f>
        <v>0</v>
      </c>
      <c r="XA40" s="97" cm="1">
        <f t="array" aca="1" ref="XA40" ca="1">IF(INDIRECT(XA$5)&lt;&gt;"",INDIRECT(XA$5),0)</f>
        <v>0</v>
      </c>
      <c r="XB40" s="97" cm="1">
        <f t="array" aca="1" ref="XB40" ca="1">IF(INDIRECT(XB$5)&lt;&gt;"",INDIRECT(XB$5),0)</f>
        <v>0</v>
      </c>
      <c r="XC40" s="97" cm="1">
        <f t="array" aca="1" ref="XC40" ca="1">IF(INDIRECT(XC$5)&lt;&gt;"",INDIRECT(XC$5),0)</f>
        <v>0</v>
      </c>
      <c r="XD40" s="97">
        <f t="shared" ca="1" si="125"/>
        <v>0</v>
      </c>
      <c r="XE40" s="97">
        <f t="shared" ca="1" si="125"/>
        <v>0</v>
      </c>
      <c r="XF40" s="97">
        <f t="shared" ca="1" si="125"/>
        <v>0</v>
      </c>
      <c r="XG40" s="97">
        <f t="shared" ca="1" si="227"/>
        <v>0</v>
      </c>
      <c r="XH40" s="108">
        <f t="shared" ca="1" si="228"/>
        <v>0</v>
      </c>
      <c r="XI40" s="108">
        <f t="shared" ca="1" si="126"/>
        <v>0</v>
      </c>
      <c r="XJ40" s="108" t="str">
        <f t="shared" ca="1" si="229"/>
        <v/>
      </c>
      <c r="XK40" s="97" t="str">
        <f ca="1">IF(XJ40="",Stammdaten!$BZ$1,IF(AND(XH40=0,XI40&gt;=XJ$25),$A$3,ROUND(SUM(XG40/XJ40)/XK$25,0)*XK$25))</f>
        <v>Zu wenige Werte</v>
      </c>
      <c r="XL40" s="108">
        <f t="shared" ca="1" si="230"/>
        <v>6</v>
      </c>
      <c r="XM40" s="97" t="str">
        <f t="shared" ca="1" si="231"/>
        <v/>
      </c>
      <c r="XN40" s="97" t="str">
        <f t="shared" ca="1" si="232"/>
        <v/>
      </c>
      <c r="XO40" s="97" t="str">
        <f t="shared" ca="1" si="233"/>
        <v/>
      </c>
      <c r="XP40" s="97" t="str">
        <f t="shared" ca="1" si="234"/>
        <v/>
      </c>
      <c r="XQ40" s="97" t="str">
        <f t="shared" ca="1" si="235"/>
        <v>g</v>
      </c>
      <c r="XR40" s="97" t="str">
        <f t="shared" ca="1" si="236"/>
        <v/>
      </c>
      <c r="XS40" s="97">
        <f t="shared" ca="1" si="237"/>
        <v>1</v>
      </c>
      <c r="XT40" s="97" t="str">
        <f ca="1">IF(OR(Geschlecht[[#This Row],[Geschlecht (Skala)]]="",NOT(ISNUMBER(XJ40))),"",XS40)</f>
        <v/>
      </c>
      <c r="XU40" s="97" t="str">
        <f t="shared" ca="1" si="238"/>
        <v/>
      </c>
      <c r="XV40" s="97"/>
      <c r="XW40" s="308" t="str">
        <f t="shared" ca="1" si="127"/>
        <v>Zu wenige Werte</v>
      </c>
      <c r="XX40" s="97"/>
      <c r="XY40" s="97" t="str">
        <f t="shared" ca="1" si="128"/>
        <v>Zu wenige Werte</v>
      </c>
      <c r="XZ40" s="97" t="str">
        <f t="shared" ca="1" si="129"/>
        <v>Zu wenige Werte</v>
      </c>
      <c r="YA40" s="97" t="str">
        <f t="shared" ca="1" si="130"/>
        <v>Zu wenige Werte</v>
      </c>
      <c r="YB40" s="97" t="str">
        <f t="shared" ca="1" si="131"/>
        <v>Zu wenige Werte</v>
      </c>
      <c r="YC40" s="97">
        <f t="shared" ca="1" si="239"/>
        <v>0</v>
      </c>
      <c r="YD40" s="108">
        <f t="shared" ca="1" si="240"/>
        <v>0</v>
      </c>
      <c r="YE40" s="108">
        <f t="shared" ca="1" si="241"/>
        <v>0</v>
      </c>
      <c r="YF40" s="108" t="str">
        <f t="shared" ca="1" si="242"/>
        <v/>
      </c>
      <c r="YG40" s="97" t="str">
        <f ca="1">IF(YF40="",Stammdaten!$BZ$1,IF(YE40=YF$25,$A$3,ROUND(SUM(YC40/YF40)/YG$25,0)*YG$25))</f>
        <v>Zu wenige Werte</v>
      </c>
      <c r="YH40" s="97" t="str">
        <f ca="1">IF(NOT(ISNUMBER(XY40)),"",IF(YH$11&lt;&gt;"2+",TEXT(XY40,YH$11)&amp;" / ",IF(RIGHT(XY40*100,2)="00",TEXT(XY40,"0"&amp;Stammdaten!$AZ$3&amp;"0")&amp;" / ",XY40&amp;" / ")))</f>
        <v/>
      </c>
      <c r="YI40" s="97" t="str">
        <f ca="1">IF(NOT(ISNUMBER(XZ40)),"",IF(YI$11&lt;&gt;"2+",TEXT(XZ40,YI$11)&amp;" / ",IF(RIGHT(XZ40*100,2)="00",TEXT(XZ40,"0"&amp;Stammdaten!$AZ$3&amp;"0")&amp;" / ",XZ40&amp;" / ")))</f>
        <v/>
      </c>
      <c r="YJ40" s="97" t="str">
        <f ca="1">IF(NOT(ISNUMBER(YA40)),"",IF(YJ$11&lt;&gt;"2+",TEXT(YA40,YJ$11)&amp;" / ",IF(RIGHT(YA40*100,2)="00",TEXT(YA40,"0"&amp;Stammdaten!$AZ$3&amp;"0")&amp;" / ",YA40&amp;" / ")))</f>
        <v/>
      </c>
      <c r="YK40" s="97" t="str">
        <f ca="1">IF(NOT(ISNUMBER(YB40)),"",IF(YK$11&lt;&gt;"2+",TEXT(YB40,YK$11)&amp;" / ",IF(RIGHT(YB40*100,2)="00",TEXT(YB40,"0"&amp;Stammdaten!$AZ$3&amp;"0")&amp;" / ",YB40&amp;" / ")))</f>
        <v/>
      </c>
      <c r="YL40" s="97" t="str">
        <f t="shared" ca="1" si="243"/>
        <v/>
      </c>
      <c r="YM40" s="97" t="str">
        <f>IF(Geschlecht[[#This Row],[Geschlecht (Skala)]]="","",IF(ISNUMBER(XY40),1,IF(XY40=$A$3,$A$2,"R")))</f>
        <v/>
      </c>
      <c r="YN40" s="97" t="str">
        <f>IF(Geschlecht[[#This Row],[Geschlecht (Skala)]]="","",IF(ISNUMBER(XZ40),1,IF(XZ40=$A$3,$A$2,"R")))</f>
        <v/>
      </c>
      <c r="YO40" s="97" t="str">
        <f>IF(Geschlecht[[#This Row],[Geschlecht (Skala)]]="","",IF(ISNUMBER(YA40),1,IF(YA40=$A$3,$A$2,"R")))</f>
        <v/>
      </c>
      <c r="YP40" s="97" t="str">
        <f>IF(Geschlecht[[#This Row],[Geschlecht (Skala)]]="","",IF(ISNUMBER(YB40),1,IF(YB40=$A$3,$A$2,"R")))</f>
        <v/>
      </c>
      <c r="YQ40" s="97" t="str">
        <f t="shared" si="244"/>
        <v>g</v>
      </c>
      <c r="YR40" s="97" t="str">
        <f t="shared" ca="1" si="245"/>
        <v/>
      </c>
      <c r="YS40" s="97">
        <f t="shared" ca="1" si="246"/>
        <v>1</v>
      </c>
      <c r="YT40" s="97" t="str">
        <f ca="1">IF(OR(Geschlecht[[#This Row],[Geschlecht (Skala)]]="",NOT(ISNUMBER(YG40))),"",YS40)</f>
        <v/>
      </c>
      <c r="YU40" s="97"/>
      <c r="YV40" s="311" t="str">
        <f t="shared" si="247"/>
        <v>D</v>
      </c>
      <c r="YW40" s="302"/>
      <c r="YX40" s="311" t="str">
        <f t="shared" si="248"/>
        <v>D</v>
      </c>
      <c r="YY40" s="302"/>
      <c r="YZ40" s="311" t="str">
        <f t="shared" si="249"/>
        <v>D</v>
      </c>
      <c r="ZA40" s="302"/>
      <c r="ZB40" s="311" t="str">
        <f t="shared" si="250"/>
        <v>D</v>
      </c>
      <c r="ZC40" s="97"/>
      <c r="ZD40" s="97" t="str">
        <f t="shared" ca="1" si="132"/>
        <v/>
      </c>
      <c r="ZE40" s="97"/>
      <c r="ZF40" s="308" t="str">
        <f t="shared" ca="1" si="251"/>
        <v>Zu wenige Werte</v>
      </c>
      <c r="ZH40" s="317" t="s">
        <v>134</v>
      </c>
      <c r="ZJ40" s="91" t="str" cm="1">
        <f t="array" ref="ZJ40">IF(OR(Geschlecht[[#This Row],[Geschlecht (Skala)]]="",ZH40="",ZH40=Stammdaten!$BZ$5),"",REPLACE(INDEX(StdDisziplinen[TabÜberschriftNote],ZH$3),FIND("X",INDEX(StdDisziplinen[TabÜberschriftNote],ZH$3),1),1,Geschlecht[[#This Row],[Geschlecht (Skala)]]))</f>
        <v/>
      </c>
      <c r="ZK40" s="314"/>
      <c r="ZM40" s="315"/>
      <c r="ZN40" s="97" t="str">
        <f>IFERROR(IFERROR(SUBSTITUTE(SchwimmenResultatMin[[#This Row],[Min]],".",",")*1,SUBSTITUTE(SchwimmenResultatMin[[#This Row],[Min]],",",".")*1),"")</f>
        <v/>
      </c>
      <c r="ZO40" s="91" t="e">
        <f>INT(SchwimmenResultatMin[[#This Row],[Resultat]])=SchwimmenResultatMin[[#This Row],[Resultat]]</f>
        <v>#VALUE!</v>
      </c>
      <c r="ZP40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0" s="315"/>
      <c r="ZS40" s="97" t="str">
        <f>IFERROR(IFERROR(SUBSTITUTE(SchwimmenResultatSek[[#This Row],[Sek]],".",",")*1,SUBSTITUTE(SchwimmenResultatSek[[#This Row],[Sek]],",",".")*1),"")</f>
        <v/>
      </c>
      <c r="ZT40" s="108" t="e">
        <f>INT(SchwimmenResultatSek[[#This Row],[Resultat]])=SchwimmenResultatSek[[#This Row],[Resultat]]</f>
        <v>#VALUE!</v>
      </c>
      <c r="ZU40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0" s="97" t="str" cm="1">
        <f t="array" aca="1" ref="ZW40" ca="1">IF(AND(INDIRECT(ZW$2)="",INDIRECT(ZX$2)=""),"",IFERROR((INDIRECT(ZW$2)*$ZW$25)+INDIRECT(ZX$2),""))</f>
        <v/>
      </c>
      <c r="ZX40" s="91" t="str">
        <f ca="1">REPLACE(ZW$4,ZX$6,1,Geschlecht[[#This Row],[Geschlecht (Skala)]])</f>
        <v>Schwimmen_[Resultat]</v>
      </c>
      <c r="ZY40" s="91" t="str">
        <f ca="1">IFERROR(REPLACE($ZX40,FIND(Stammdaten!$V$2,$ZX40,1),LEN(Stammdaten!$V$2),Stammdaten!$BZ$9),"")</f>
        <v>Schwimmen_[Anzeige]</v>
      </c>
      <c r="ZZ40" s="97" t="str" cm="1">
        <f t="array" aca="1" ref="ZZ40" ca="1">IF(INDIRECT(ZW$3)="","",IF(INDIRECT(ZW$3)=0,0,IF(OR(INDIRECT(ZW$1)=$A$2,INDIRECT(ZW$1)=$A$3),$A$3,IFERROR(INDEX(INDIRECT(ZX40),MATCH(INDIRECT(ZW$3),INDIRECT(ZX40),ZY$25)),IFERROR(IF(ZY$25=-1,MAX(INDIRECT(ZX40)),IF(ZY$25=1,MIN(INDIRECT(ZX40)))),"")))))</f>
        <v/>
      </c>
      <c r="AAA40" s="97" t="str" cm="1">
        <f t="array" aca="1" ref="AAA40" ca="1">IF(INDIRECT(ZX$5)=0,0,IF(OR(INDIRECT(ZW$1)=$A$2,INDIRECT(ZW$1)=$A$3),$A$3,IFERROR(INDEX(INDIRECT($ZY40),MATCH(INDIRECT(ZX$5),INDIRECT($ZX40),0)),"")))</f>
        <v/>
      </c>
      <c r="AAC40" s="91" t="str">
        <f ca="1">REPLACE(ZW$6,ZX$6,1,Geschlecht[[#This Row],[Geschlecht (Skala)]])</f>
        <v>Schwimmen_[Note]</v>
      </c>
      <c r="AAD40" s="97" t="str" cm="1">
        <f t="array" aca="1" ref="AAD40" ca="1">IFERROR(INDEX(INDIRECT(AAC40),MATCH(INDIRECT(ZX$5),INDIRECT(ZX40),0)),IF(INDIRECT(ZX$5)=0,1,""))</f>
        <v/>
      </c>
      <c r="AAE40" s="97"/>
      <c r="AAF40" s="96" t="str">
        <f>ZwölfMinLaufHalleResultat[[#This Row],[Resultat]]</f>
        <v/>
      </c>
      <c r="AAG40" s="96"/>
      <c r="AAH40" s="97" t="str">
        <f ca="1">ZwölfMinLaufHalleSkalawert[[#This Row],[Skala-Wert]]</f>
        <v/>
      </c>
      <c r="AAJ40" s="97" t="str">
        <f ca="1">ZwölfMinLaufHalleNote[[#This Row],[Note]]</f>
        <v/>
      </c>
      <c r="AAK40" s="97"/>
      <c r="AAL40" s="96" t="str">
        <f>ZwölfMinLaufimFreienResultat[[#This Row],[Resultat]]</f>
        <v/>
      </c>
      <c r="AAM40" s="96"/>
      <c r="AAN40" s="97" t="str">
        <f ca="1">ZwölfMinLaufimFreienSkalawert[[#This Row],[Skala-Wert]]</f>
        <v/>
      </c>
      <c r="AAP40" s="97" t="str">
        <f ca="1">ZwölfMinLaufimFreienNote[[#This Row],[Note]]</f>
        <v/>
      </c>
      <c r="AAQ40" s="97"/>
      <c r="AAR40" s="307"/>
      <c r="AAS40" s="96" t="str">
        <f>IFERROR(IFERROR(SUBSTITUTE(BeweglichkeitResultat[[#This Row],[Eingabe]],".",",")*1,SUBSTITUTE(BeweglichkeitResultat[[#This Row],[Eingabe]],",",".")*1),"")</f>
        <v/>
      </c>
      <c r="AAT40" s="96" t="e">
        <f>INT(BeweglichkeitResultat[[#This Row],[Resultat]])=BeweglichkeitResultat[[#This Row],[Resultat]]</f>
        <v>#VALUE!</v>
      </c>
      <c r="AAU40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0" s="96"/>
      <c r="AAW40" s="91" t="str" cm="1">
        <f t="array" aca="1" ref="AAW40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0" s="96" t="str">
        <f ca="1">REPLACE(AAW$4,AAX$6,1,Geschlecht[[#This Row],[Geschlecht (Skala)]])</f>
        <v>Beweglichkeit_[Resultat]</v>
      </c>
      <c r="AAY40" s="96" t="str" cm="1">
        <f t="array" aca="1" ref="AAY40" ca="1">IF(OR(INDIRECT(AAW$1)=$A$2,INDIRECT(AAW$1)=$A$3),$A$3,IF(OR(INDIRECT(AAW$2)="",AND(Geschlecht[[#This Row],[Geschlecht (Skala)]]=Stammdaten!$D$7,INDIRECT(AAW$2)&lt;0)),"",IFERROR(INDEX(INDIRECT(AAX40),MATCH(INDIRECT(AAW$3),INDIRECT(AAX40),AAX$25)),IFERROR(IF(AAX$25=-1,MAX(INDIRECT(AAX40)),IF(AAX$25=1,MIN(INDIRECT(AAX40)))),""))))</f>
        <v/>
      </c>
      <c r="AAZ40" s="97" t="str" cm="1">
        <f t="array" aca="1" ref="AAZ40" ca="1">IF(INDIRECT(AAW$1)="","",IF(INDIRECT(AAW$1)=0,0,IF(OR(INDIRECT(AAW$1)=$A$2,INDIRECT(AAW$1)=$A$3),$A$3,IFERROR(INDEX(INDIRECT(AAY40),MATCH(INDIRECT(AAW$3),INDIRECT(AAY40),AAY$27)),IFERROR(IF(AAY$27=-1,MAX(INDIRECT(AAY40)),IF(AAY$27=1,MIN(INDIRECT(AAY40)))),"")))))</f>
        <v/>
      </c>
      <c r="ABA40" s="96" t="str">
        <f ca="1">REPLACE(AAW$6,AAX$6,1,Geschlecht[[#This Row],[Geschlecht (Skala)]])</f>
        <v>Beweglichkeit_[Note]</v>
      </c>
      <c r="ABB40" s="91" t="str" cm="1">
        <f t="array" aca="1" ref="ABB40" ca="1">IFERROR(INDEX(INDIRECT(ABA40),MATCH(INDIRECT(AAW$5),INDIRECT(AAX40),0)),"")</f>
        <v/>
      </c>
      <c r="ABC40" s="97" t="str" cm="1">
        <f t="array" aca="1" ref="ABC40" ca="1">IFERROR(INDEX(INDIRECT(ABB40),MATCH(INDIRECT(AAW$5),INDIRECT(AAY40),0)),"")</f>
        <v/>
      </c>
      <c r="ABD40" s="307"/>
      <c r="ABE40" s="96" t="str">
        <f>IFERROR(IFERROR(SUBSTITUTE(RumpfkraftResultat[[#This Row],[Eingabe]],".",",")*1,SUBSTITUTE(RumpfkraftResultat[[#This Row],[Eingabe]],",",".")*1),"")</f>
        <v/>
      </c>
      <c r="ABF40" s="96" t="e">
        <f>INT(RumpfkraftResultat[[#This Row],[Resultat]])=RumpfkraftResultat[[#This Row],[Resultat]]</f>
        <v>#VALUE!</v>
      </c>
      <c r="ABG40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0" s="96"/>
      <c r="ABI40" s="91" t="str" cm="1">
        <f t="array" aca="1" ref="ABI40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0" s="96" t="str">
        <f ca="1">REPLACE(ABI$4,ABJ$6,1,Geschlecht[[#This Row],[Geschlecht (Skala)]])</f>
        <v>Rumpfkraft_[Resultat]</v>
      </c>
      <c r="ABK40" s="97" t="str" cm="1">
        <f t="array" aca="1" ref="ABK40" ca="1">IF(INDIRECT(ABI$1)="","",IF(OR(INDIRECT(ABI$1)=$A$2,INDIRECT(ABI$1)=$A$3),$A$3,IFERROR(INDEX(INDIRECT(ABJ40),MATCH(INDIRECT(ABI$3),INDIRECT(ABJ40),ABJ$25)),IFERROR(IF(ABJ$25=-1,MAX(INDIRECT(ABJ40)),IF(ABJ$25=1,MIN(INDIRECT(ABJ40)))),""))))</f>
        <v/>
      </c>
      <c r="ABM40" s="91" t="str">
        <f ca="1">REPLACE(ABI$6,ABJ$6,1,Geschlecht[[#This Row],[Geschlecht (Skala)]])</f>
        <v>Rumpfkraft_[Note]</v>
      </c>
      <c r="ABN40" s="97" t="str" cm="1">
        <f t="array" aca="1" ref="ABN40" ca="1">IFERROR(INDEX(INDIRECT(ABM40),MATCH(INDIRECT(ABI$5),INDIRECT(ABJ40),0)),"")</f>
        <v/>
      </c>
      <c r="ABO40" s="97"/>
      <c r="ABP40" s="96" t="str">
        <f>SechzigmLaufResultat[[#This Row],[Resultat]]</f>
        <v/>
      </c>
      <c r="ABQ40" s="96"/>
      <c r="ABR40" s="97" t="str">
        <f ca="1">SechzigmLaufSkalawert[[#This Row],[Skala-Wert]]</f>
        <v/>
      </c>
      <c r="ABT40" s="97" t="str">
        <f ca="1">SechzigmLaufNote[[#This Row],[Note]]</f>
        <v/>
      </c>
      <c r="ABU40" s="97"/>
      <c r="ABV40" s="96" t="str">
        <f>AchtzigmLaufResultat[[#This Row],[Resultat]]</f>
        <v/>
      </c>
      <c r="ABW40" s="96"/>
      <c r="ABX40" s="97" t="str">
        <f ca="1">AchtzigmLaufSkalawert[[#This Row],[Skala-Wert]]</f>
        <v/>
      </c>
      <c r="ABZ40" s="97" t="str">
        <f ca="1">AchtzigmLaufNote[[#This Row],[Note]]</f>
        <v/>
      </c>
      <c r="ACA40" s="97"/>
      <c r="ACB40" s="307"/>
      <c r="ACC40" s="96" t="str">
        <f>IFERROR(IFERROR(SUBSTITUTE(KonditionsparcoursResultat[[#This Row],[Eingabe]],".",",")*1,SUBSTITUTE(KonditionsparcoursResultat[[#This Row],[Eingabe]],",",".")*1),"")</f>
        <v/>
      </c>
      <c r="ACD40" s="96" t="e">
        <f>INT(KonditionsparcoursResultat[[#This Row],[Resultat]])=KonditionsparcoursResultat[[#This Row],[Resultat]]</f>
        <v>#VALUE!</v>
      </c>
      <c r="ACE40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0" s="96"/>
      <c r="ACG40" s="91" t="str" cm="1">
        <f t="array" aca="1" ref="ACG40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0" s="96" t="str">
        <f ca="1">LEFT(Geschlecht[[#This Row],[Geschlecht (Skala)]],1)&amp;ACM$4</f>
        <v>2</v>
      </c>
      <c r="ACI40" s="96" t="str">
        <f t="shared" ca="1" si="133"/>
        <v>Konditionsparcours_2[Resultat]</v>
      </c>
      <c r="ACJ40" s="97" t="str" cm="1">
        <f t="array" aca="1" ref="ACJ40" ca="1">IF(INDIRECT(ACG$1)="","",IF(OR(INDIRECT(ACG$1)=$A$2,INDIRECT(ACG$1)=$A$3),$A$3,IFERROR(INDEX(INDIRECT(ACI40),MATCH(INDIRECT(ACG$3),INDIRECT(ACI40),ACI$25)),IFERROR(IF(ACI$25=-1,MAX(INDIRECT(ACI40)),IF(ACI$25=1,MIN(INDIRECT(ACI40)))),""))))</f>
        <v/>
      </c>
      <c r="ACL40" s="91" t="str">
        <f t="shared" ca="1" si="134"/>
        <v>Konditionsparcours_2[Note]</v>
      </c>
      <c r="ACM40" s="97" t="str" cm="1">
        <f t="array" aca="1" ref="ACM40" ca="1">IFERROR(INDEX(INDIRECT(ACL40),MATCH(INDIRECT(ACG$5),INDIRECT(ACI40),0)),"")</f>
        <v/>
      </c>
      <c r="ACN40" s="102"/>
    </row>
    <row r="41" spans="1:768">
      <c r="A41" s="305">
        <v>14</v>
      </c>
      <c r="B41" s="133"/>
      <c r="C41" s="133"/>
      <c r="E41" s="306"/>
      <c r="G41" s="307"/>
      <c r="H41" s="96" t="str">
        <f>IFERROR(IFERROR(SUBSTITUTE(SechzigmLaufResultat[[#This Row],[Eingabe]],".",",")*1,SUBSTITUTE(SechzigmLaufResultat[[#This Row],[Eingabe]],",",".")*1),"")</f>
        <v/>
      </c>
      <c r="I41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1" s="96"/>
      <c r="K41" s="91" t="str" cm="1">
        <f t="array" aca="1" ref="K41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1" s="96" t="str">
        <f ca="1">LEFT(Geschlecht[[#This Row],[Geschlecht (Skala)]],1)&amp;Q$4</f>
        <v>2</v>
      </c>
      <c r="M41" s="96" t="str">
        <f t="shared" ca="1" si="37"/>
        <v>SechzigmLauf_2[Resultat]</v>
      </c>
      <c r="N41" s="97" t="str" cm="1">
        <f t="array" aca="1" ref="N41" ca="1">IF(INDIRECT(K$1)="","",IF(INDIRECT(K$2)=0,0,IF(OR(INDIRECT(K$1)=$A$2,INDIRECT(K$1)=$A$3),$A$3,IFERROR(INDEX(INDIRECT(M41),MATCH(INDIRECT(K$3),INDIRECT(M41),M$25)),IFERROR(IF(M$25=-1,MAX(INDIRECT(M41)),IF(M$25=1,MIN(INDIRECT(M41)))),"")))))</f>
        <v/>
      </c>
      <c r="P41" s="91" t="str">
        <f t="shared" ca="1" si="38"/>
        <v>SechzigmLauf_2[Note]</v>
      </c>
      <c r="Q41" s="97" t="str" cm="1">
        <f t="array" aca="1" ref="Q41" ca="1">IFERROR(INDEX(INDIRECT(P41),MATCH(INDIRECT(K$5),INDIRECT(M41),0)),IF(INDIRECT(K$5)=0,1,""))</f>
        <v/>
      </c>
      <c r="R41" s="97"/>
      <c r="S41" s="307"/>
      <c r="T41" s="96" t="str">
        <f>IFERROR(IFERROR(SUBSTITUTE(AchtzigmLaufResultat[[#This Row],[Eingabe]],".",",")*1,SUBSTITUTE(AchtzigmLaufResultat[[#This Row],[Eingabe]],",",".")*1),"")</f>
        <v/>
      </c>
      <c r="U41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1" s="96"/>
      <c r="W41" s="91" t="str" cm="1">
        <f t="array" aca="1" ref="W41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1" s="96" t="str">
        <f ca="1">LEFT(Geschlecht[[#This Row],[Geschlecht (Skala)]],1)&amp;AC$4</f>
        <v>2</v>
      </c>
      <c r="Y41" s="96" t="str">
        <f t="shared" ca="1" si="39"/>
        <v>AchtzigmLauf_2[Resultat]</v>
      </c>
      <c r="Z41" s="97" t="str" cm="1">
        <f t="array" aca="1" ref="Z41" ca="1">IF(INDIRECT(W$1)="","",IF(INDIRECT(W$2)=0,0,IF(OR(INDIRECT(W$1)=$A$2,INDIRECT(W$1)=$A$3),$A$3,IFERROR(INDEX(INDIRECT(Y41),MATCH(INDIRECT(W$3),INDIRECT(Y41),Y$25)),IFERROR(IF(Y$25=-1,MAX(INDIRECT(Y41)),IF(Y$25=1,MIN(INDIRECT(Y41)))),"")))))</f>
        <v/>
      </c>
      <c r="AB41" s="91" t="str">
        <f t="shared" ca="1" si="40"/>
        <v>AchtzigmLauf_2[Note]</v>
      </c>
      <c r="AC41" s="97" t="str" cm="1">
        <f t="array" aca="1" ref="AC41" ca="1">IFERROR(INDEX(INDIRECT(AB41),MATCH(INDIRECT(W$5),INDIRECT(Y41),0)),IF(INDIRECT(W$5)=0,1,""))</f>
        <v/>
      </c>
      <c r="AD41" s="97"/>
      <c r="AE41" s="307"/>
      <c r="AF41" s="96" t="str">
        <f>IFERROR(IFERROR(SUBSTITUTE(ZwölfMinLaufHalleResultat[[#This Row],[Eingabe]],".",",")*1,SUBSTITUTE(ZwölfMinLaufHalleResultat[[#This Row],[Eingabe]],",",".")*1),"")</f>
        <v/>
      </c>
      <c r="AG41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1" s="96"/>
      <c r="AI41" s="91" t="str" cm="1">
        <f t="array" aca="1" ref="AI41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1" s="96" t="str">
        <f ca="1">LEFT(Geschlecht[[#This Row],[Geschlecht (Skala)]],1)&amp;AO$4</f>
        <v>2</v>
      </c>
      <c r="AK41" s="96" t="str">
        <f t="shared" ca="1" si="41"/>
        <v>ZwölfMinLaufHalle_2[Resultat]</v>
      </c>
      <c r="AL41" s="97" t="str" cm="1">
        <f t="array" aca="1" ref="AL41" ca="1">IF(INDIRECT(AI$1)="","",IF(INDIRECT(AI$2)=0,0,IF(OR(INDIRECT(AI$1)=$A$2,INDIRECT(AI$1)=$A$3),$A$3,IFERROR(INDEX(INDIRECT(AK41),MATCH(INDIRECT(AI$3),INDIRECT(AK41),AK$25)),IFERROR(IF(AK$25=-1,MAX(INDIRECT(AK41)),IF(AK$25=1,MIN(INDIRECT(AK41)))),"")))))</f>
        <v/>
      </c>
      <c r="AN41" s="91" t="str">
        <f t="shared" ca="1" si="42"/>
        <v>ZwölfMinLaufHalle_2[Note]</v>
      </c>
      <c r="AO41" s="97" t="str" cm="1">
        <f t="array" aca="1" ref="AO41" ca="1">IFERROR(INDEX(INDIRECT(AN41),MATCH(INDIRECT(AI$5),INDIRECT(AK41),0)),IF(INDIRECT(AI$5)=0,1,""))</f>
        <v/>
      </c>
      <c r="AP41" s="97"/>
      <c r="AQ41" s="307"/>
      <c r="AR41" s="96" t="str">
        <f>IFERROR(IFERROR(SUBSTITUTE(ZwölfMinLaufimFreienResultat[[#This Row],[Eingabe]],".",",")*1,SUBSTITUTE(ZwölfMinLaufimFreienResultat[[#This Row],[Eingabe]],",",".")*1),"")</f>
        <v/>
      </c>
      <c r="AS41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1" s="96"/>
      <c r="AU41" s="91" t="str" cm="1">
        <f t="array" aca="1" ref="AU41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1" s="96" t="str">
        <f ca="1">LEFT(Geschlecht[[#This Row],[Geschlecht (Skala)]],1)&amp;BA$4</f>
        <v>2</v>
      </c>
      <c r="AW41" s="96" t="str">
        <f t="shared" ca="1" si="43"/>
        <v>ZwölfMinLaufimFreien_2[Resultat]</v>
      </c>
      <c r="AX41" s="97" t="str" cm="1">
        <f t="array" aca="1" ref="AX41" ca="1">IF(INDIRECT(AU$1)="","",IF(INDIRECT(AU$2)=0,0,IF(OR(INDIRECT(AU$1)=$A$2,INDIRECT(AU$1)=$A$3),$A$3,IFERROR(INDEX(INDIRECT(AW41),MATCH(INDIRECT(AU$3),INDIRECT(AW41),AW$25)),IFERROR(IF(AW$25=-1,MAX(INDIRECT(AW41)),IF(AW$25=1,MIN(INDIRECT(AW41)))),"")))))</f>
        <v/>
      </c>
      <c r="AZ41" s="91" t="str">
        <f t="shared" ca="1" si="44"/>
        <v>ZwölfMinLaufimFreien_2[Note]</v>
      </c>
      <c r="BA41" s="97" t="str" cm="1">
        <f t="array" aca="1" ref="BA41" ca="1">IFERROR(INDEX(INDIRECT(AZ41),MATCH(INDIRECT(AU$5),INDIRECT(AW41),0)),IF(INDIRECT(AU$5)=0,1,""))</f>
        <v/>
      </c>
      <c r="BB41" s="97"/>
      <c r="BC41" s="307"/>
      <c r="BD41" s="96" t="str">
        <f>IFERROR(IFERROR(SUBSTITUTE(HochsprungResultat[[#This Row],[Eingabe]],".",",")*1,SUBSTITUTE(HochsprungResultat[[#This Row],[Eingabe]],",",".")*1),"")</f>
        <v/>
      </c>
      <c r="BE41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1" s="96"/>
      <c r="BG41" s="91" t="str" cm="1">
        <f t="array" aca="1" ref="BG41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1" s="96" t="str">
        <f ca="1">LEFT(Geschlecht[[#This Row],[Geschlecht (Skala)]],1)&amp;BM$4</f>
        <v>2</v>
      </c>
      <c r="BI41" s="96" t="str">
        <f t="shared" ca="1" si="45"/>
        <v>Hochsprung_2[Resultat]</v>
      </c>
      <c r="BJ41" s="97" t="str" cm="1">
        <f t="array" aca="1" ref="BJ41" ca="1">IF(INDIRECT(BG$1)="","",IF(INDIRECT(BG$2)=0,0,IF(OR(INDIRECT(BG$1)=$A$2,INDIRECT(BG$1)=$A$3),$A$3,IFERROR(INDEX(INDIRECT(BI41),MATCH(INDIRECT(BG$3),INDIRECT(BI41),BI$25)),IFERROR(IF(BI$25=-1,MAX(INDIRECT(BI41)),IF(BI$25=1,MIN(INDIRECT(BI41)))),"")))))</f>
        <v/>
      </c>
      <c r="BL41" s="91" t="str">
        <f t="shared" ca="1" si="46"/>
        <v>Hochsprung_2[Note]</v>
      </c>
      <c r="BM41" s="97" t="str" cm="1">
        <f t="array" aca="1" ref="BM41" ca="1">IFERROR(INDEX(INDIRECT(BL41),MATCH(INDIRECT(BG$5),INDIRECT(BI41),0)),IF(INDIRECT(BG$5)=0,1,""))</f>
        <v/>
      </c>
      <c r="BN41" s="97"/>
      <c r="BO41" s="307"/>
      <c r="BP41" s="96" t="str">
        <f>IFERROR(IFERROR(SUBSTITUTE(WeitsprungResultat[[#This Row],[Eingabe]],".",",")*1,SUBSTITUTE(WeitsprungResultat[[#This Row],[Eingabe]],",",".")*1),"")</f>
        <v/>
      </c>
      <c r="BQ41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1" s="96"/>
      <c r="BS41" s="91" t="str" cm="1">
        <f t="array" aca="1" ref="BS41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1" s="96" t="str">
        <f ca="1">LEFT(Geschlecht[[#This Row],[Geschlecht (Skala)]],1)&amp;BY$4</f>
        <v>2</v>
      </c>
      <c r="BU41" s="96" t="str">
        <f t="shared" ca="1" si="47"/>
        <v>Weitsprung_2[Resultat]</v>
      </c>
      <c r="BV41" s="97" t="str" cm="1">
        <f t="array" aca="1" ref="BV41" ca="1">IF(INDIRECT(BS$1)="","",IF(INDIRECT(BS$2)=0,0,IF(OR(INDIRECT(BS$1)=$A$2,INDIRECT(BS$1)=$A$3),$A$3,IFERROR(INDEX(INDIRECT(BU41),MATCH(INDIRECT(BS$3),INDIRECT(BU41),BU$25)),IFERROR(IF(BU$25=-1,MAX(INDIRECT(BU41)),IF(BU$25=1,MIN(INDIRECT(BU41)))),"")))))</f>
        <v/>
      </c>
      <c r="BX41" s="91" t="str">
        <f t="shared" ca="1" si="48"/>
        <v>Weitsprung_2[Note]</v>
      </c>
      <c r="BY41" s="97" t="str" cm="1">
        <f t="array" aca="1" ref="BY41" ca="1">IFERROR(INDEX(INDIRECT(BX41),MATCH(INDIRECT(BS$5),INDIRECT(BU41),0)),IF(INDIRECT(BS$5)=0,1,""))</f>
        <v/>
      </c>
      <c r="BZ41" s="97"/>
      <c r="CA41" s="307"/>
      <c r="CB41" s="96" t="str">
        <f>IFERROR(IFERROR(SUBSTITUTE(BallwurfResultat[[#This Row],[Eingabe]],".",",")*1,SUBSTITUTE(BallwurfResultat[[#This Row],[Eingabe]],",",".")*1),"")</f>
        <v/>
      </c>
      <c r="CC41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1" s="96"/>
      <c r="CE41" s="91" t="str" cm="1">
        <f t="array" aca="1" ref="CE41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1" s="96" t="str">
        <f ca="1">LEFT(Geschlecht[[#This Row],[Geschlecht (Skala)]],1)&amp;CK$4</f>
        <v>2</v>
      </c>
      <c r="CG41" s="96" t="str">
        <f t="shared" ca="1" si="49"/>
        <v>Ballwurf_2[Resultat]</v>
      </c>
      <c r="CH41" s="97" t="str" cm="1">
        <f t="array" aca="1" ref="CH41" ca="1">IF(INDIRECT(CE$1)="","",IF(INDIRECT(CE$2)=0,0,IF(OR(INDIRECT(CE$1)=$A$2,INDIRECT(CE$1)=$A$3),$A$3,IFERROR(INDEX(INDIRECT(CG41),MATCH(INDIRECT(CE$3),INDIRECT(CG41),CG$25)),IFERROR(IF(CG$25=-1,MAX(INDIRECT(CG41)),IF(CG$25=1,MIN(INDIRECT(CG41)))),"")))))</f>
        <v/>
      </c>
      <c r="CJ41" s="91" t="str">
        <f t="shared" ca="1" si="50"/>
        <v>Ballwurf_2[Note]</v>
      </c>
      <c r="CK41" s="97" t="str" cm="1">
        <f t="array" aca="1" ref="CK41" ca="1">IFERROR(INDEX(INDIRECT(CJ41),MATCH(INDIRECT(CE$5),INDIRECT(CG41),0)),IF(INDIRECT(CE$5)=0,1,""))</f>
        <v/>
      </c>
      <c r="CL41" s="97"/>
      <c r="CM41" s="307"/>
      <c r="CN41" s="96" t="str">
        <f>IFERROR(IFERROR(SUBSTITUTE(KugelstossenResultat[[#This Row],[Eingabe]],".",",")*1,SUBSTITUTE(KugelstossenResultat[[#This Row],[Eingabe]],",",".")*1),"")</f>
        <v/>
      </c>
      <c r="CO41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1" s="96"/>
      <c r="CQ41" s="91" t="str" cm="1">
        <f t="array" aca="1" ref="CQ41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1" s="96" t="str">
        <f ca="1">LEFT(Geschlecht[[#This Row],[Geschlecht (Skala)]],1)&amp;CW$4</f>
        <v>2</v>
      </c>
      <c r="CS41" s="96" t="str">
        <f t="shared" ca="1" si="51"/>
        <v>Kugelstossen_2[Resultat]</v>
      </c>
      <c r="CT41" s="97" t="str" cm="1">
        <f t="array" aca="1" ref="CT41" ca="1">IF(INDIRECT(CQ$1)="","",IF(INDIRECT(CQ$2)=0,0,IF(OR(INDIRECT(CQ$1)=$A$2,INDIRECT(CQ$1)=$A$3),$A$3,IFERROR(INDEX(INDIRECT(CS41),MATCH(INDIRECT(CQ$3),INDIRECT(CS41),CS$25)),IFERROR(IF(CS$25=-1,MAX(INDIRECT(CS41)),IF(CS$25=1,MIN(INDIRECT(CS41)))),"")))))</f>
        <v/>
      </c>
      <c r="CV41" s="91" t="str">
        <f t="shared" ca="1" si="52"/>
        <v>Kugelstossen_2[Note]</v>
      </c>
      <c r="CW41" s="97" t="str" cm="1">
        <f t="array" aca="1" ref="CW41" ca="1">IFERROR(INDEX(INDIRECT(CV41),MATCH(INDIRECT(CQ$5),INDIRECT(CS41),0)),IF(INDIRECT(CQ$5)=0,1,""))</f>
        <v/>
      </c>
      <c r="CX41" s="97"/>
      <c r="CY41" s="307"/>
      <c r="CZ41" s="96" t="str">
        <f>IFERROR(IFERROR(SUBSTITUTE(SpeerwurfResultat[[#This Row],[Eingabe]],".",",")*1,SUBSTITUTE(SpeerwurfResultat[[#This Row],[Eingabe]],",",".")*1),"")</f>
        <v/>
      </c>
      <c r="DA41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1" s="96"/>
      <c r="DC41" s="91" t="str" cm="1">
        <f t="array" aca="1" ref="DC41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1" s="96" t="str">
        <f ca="1">LEFT(Geschlecht[[#This Row],[Geschlecht (Skala)]],1)&amp;DI$4</f>
        <v>2</v>
      </c>
      <c r="DE41" s="96" t="str">
        <f t="shared" ca="1" si="53"/>
        <v>Speerwurf_2[Resultat]</v>
      </c>
      <c r="DF41" s="97" t="str" cm="1">
        <f t="array" aca="1" ref="DF41" ca="1">IF(INDIRECT(DC$1)="","",IF(INDIRECT(DC$2)=0,0,IF(OR(INDIRECT(DC$1)=$A$2,INDIRECT(DC$1)=$A$3),$A$3,IFERROR(INDEX(INDIRECT(DE41),MATCH(INDIRECT(DC$3),INDIRECT(DE41),DE$25)),IFERROR(IF(DE$25=-1,MAX(INDIRECT(DE41)),IF(DE$25=1,MIN(INDIRECT(DE41)))),"")))))</f>
        <v/>
      </c>
      <c r="DH41" s="91" t="str">
        <f t="shared" ca="1" si="54"/>
        <v>Speerwurf_2[Note]</v>
      </c>
      <c r="DI41" s="97" t="str" cm="1">
        <f t="array" aca="1" ref="DI41" ca="1">IFERROR(INDEX(INDIRECT(DH41),MATCH(INDIRECT(DC$5),INDIRECT(DE41),0)),IF(INDIRECT(DC$5)=0,1,""))</f>
        <v/>
      </c>
      <c r="DJ41" s="97"/>
      <c r="DK41" s="97" t="str" cm="1">
        <f t="array" aca="1" ref="DK41" ca="1">INDIRECT(DK$5)</f>
        <v/>
      </c>
      <c r="DL41" s="97" t="str" cm="1">
        <f t="array" aca="1" ref="DL41" ca="1">INDIRECT(DL$5)</f>
        <v/>
      </c>
      <c r="DM41" s="97" t="str" cm="1">
        <f t="array" aca="1" ref="DM41" ca="1">INDIRECT(DM$5)</f>
        <v/>
      </c>
      <c r="DN41" s="97" t="str" cm="1">
        <f t="array" aca="1" ref="DN41" ca="1">INDIRECT(DN$5)</f>
        <v/>
      </c>
      <c r="DO41" s="97" t="str">
        <f t="shared" ca="1" si="135"/>
        <v>Sprintdisziplinen nicht durchgeführt</v>
      </c>
      <c r="DP41" s="97" t="str">
        <f t="shared" ca="1" si="136"/>
        <v/>
      </c>
      <c r="DQ41" s="108">
        <f t="shared" ca="1" si="137"/>
        <v>0</v>
      </c>
      <c r="DR41" s="108">
        <f t="shared" ca="1" si="138"/>
        <v>0</v>
      </c>
      <c r="DS41" s="108" t="str">
        <f t="shared" ca="1" si="139"/>
        <v/>
      </c>
      <c r="DT41" s="97" t="str">
        <f t="shared" ca="1" si="140"/>
        <v>Sprintdisziplinen nicht durchgeführt</v>
      </c>
      <c r="DU41" s="97" t="str">
        <f t="shared" ca="1" si="141"/>
        <v/>
      </c>
      <c r="DV41" s="97" t="str" cm="1">
        <f t="array" aca="1" ref="DV41" ca="1">IFERROR(IF(INDIRECT(INDEX(INDIRECT(DV$5),MATCH(DT41,INDIRECT(DV$4),0)))&lt;&gt;"",INDEX(INDIRECT(DV$5),MATCH(DT41,INDIRECT(DV$4),0)),INDEX(INDIRECT(DV$6),MATCH(DT41,INDIRECT(DV$4),0))),"")</f>
        <v/>
      </c>
      <c r="DW41" s="97" t="str">
        <f t="shared" ca="1" si="142"/>
        <v/>
      </c>
      <c r="DX41" s="97" t="str" cm="1">
        <f t="array" aca="1" ref="DX41" ca="1">IFERROR(INDIRECT(DV41),IF(NOT(ISERROR(FIND(Stammdaten!$CC$3,DT41,1))),$A$2,""))</f>
        <v/>
      </c>
      <c r="DY41" s="97" t="str">
        <f ca="1">IF(DX41="","",IF(AND(DU41=Stammdaten!$BX$20,DW41="0",DX41=1),SUBSTITUTE(TEXT(DX41,DW41)&amp;" "&amp;LEFT(DU41,LEN(DU41)-1),".",","),SUBSTITUTE(TEXT(DX41,DW41)&amp;" "&amp;DU41,".",",")))</f>
        <v/>
      </c>
      <c r="DZ41" s="97" t="str">
        <f t="shared" ca="1" si="55"/>
        <v/>
      </c>
      <c r="EA41" s="97" t="str" cm="1">
        <f t="array" aca="1" ref="EA41" ca="1">IFERROR(LEFT(INDIRECT(DZ41),1)&amp;"]","")</f>
        <v/>
      </c>
      <c r="EB41" s="97" t="str">
        <f t="shared" ca="1" si="56"/>
        <v/>
      </c>
      <c r="EC41" s="97" t="str">
        <f ca="1">IFERROR(LEFT(DT41,FIND(Stammdaten!$CA$4,DT41,1)-2),IFERROR(LEFT(DT41,FIND(Stammdaten!$CC$3,DT41,1)-2),DT41))</f>
        <v>Sprintdisziplinen</v>
      </c>
      <c r="ED41" s="97" t="str">
        <f ca="1">IF(NOT(ISERROR(FIND(Stammdaten!$CA$4,DT41,1))),Stammdaten!$CA$4,IF(EE41&lt;&gt;Stammdaten!$CC$3,EB41,""))</f>
        <v>nicht durchgeführt</v>
      </c>
      <c r="EE41" s="91" t="str">
        <f ca="1">IF(DX41=$A$2,Stammdaten!$CC$3,DY41)</f>
        <v/>
      </c>
      <c r="EF41" s="97" t="str" cm="1">
        <f t="array" aca="1" ref="EF41" ca="1">INDIRECT(EF$5)</f>
        <v/>
      </c>
      <c r="EG41" s="97" t="str" cm="1">
        <f t="array" aca="1" ref="EG41" ca="1">INDIRECT(EG$5)</f>
        <v/>
      </c>
      <c r="EH41" s="97" t="str" cm="1">
        <f t="array" aca="1" ref="EH41" ca="1">INDIRECT(EH$5)</f>
        <v/>
      </c>
      <c r="EI41" s="97" t="str" cm="1">
        <f t="array" aca="1" ref="EI41" ca="1">INDIRECT(EI$5)</f>
        <v/>
      </c>
      <c r="EJ41" s="97" t="str">
        <f t="shared" ca="1" si="143"/>
        <v>Ausdauerdisziplinen nicht durchgeführt</v>
      </c>
      <c r="EK41" s="97" t="str">
        <f t="shared" ca="1" si="144"/>
        <v/>
      </c>
      <c r="EL41" s="108">
        <f t="shared" ca="1" si="145"/>
        <v>0</v>
      </c>
      <c r="EM41" s="108">
        <f t="shared" ca="1" si="146"/>
        <v>0</v>
      </c>
      <c r="EN41" s="108" t="str">
        <f t="shared" ca="1" si="147"/>
        <v/>
      </c>
      <c r="EO41" s="97" t="str">
        <f t="shared" ca="1" si="148"/>
        <v>Ausdauerdisziplinen nicht durchgeführt</v>
      </c>
      <c r="EP41" s="97" t="str">
        <f t="shared" ca="1" si="149"/>
        <v/>
      </c>
      <c r="EQ41" s="97" t="str" cm="1">
        <f t="array" aca="1" ref="EQ41" ca="1">IFERROR(IF(INDIRECT(INDEX(INDIRECT(EQ$5),MATCH(EO41,INDIRECT(EQ$4),0)))&lt;&gt;"",INDEX(INDIRECT(EQ$5),MATCH(EO41,INDIRECT(EQ$4),0)),INDEX(INDIRECT(EQ$6),MATCH(EO41,INDIRECT(EQ$4),0))),"")</f>
        <v/>
      </c>
      <c r="ER41" s="97" t="str">
        <f t="shared" ca="1" si="150"/>
        <v/>
      </c>
      <c r="ES41" s="97" t="str" cm="1">
        <f t="array" aca="1" ref="ES41" ca="1">IFERROR(INDIRECT(EQ41),IF(NOT(ISERROR(FIND(Stammdaten!$CC$3,EO41,1))),$A$2,""))</f>
        <v/>
      </c>
      <c r="ET41" s="97" t="str">
        <f ca="1">IF(ES41="","",IF(AND(EP41=Stammdaten!$BX$20,ER41="0",ES41=1),SUBSTITUTE(TEXT(ES41,ER41)&amp;" "&amp;LEFT(EP41,LEN(EP41)-1),".",","),SUBSTITUTE(TEXT(ES41,ER41)&amp;" "&amp;EP41,".",",")))</f>
        <v/>
      </c>
      <c r="EU41" s="97" t="str">
        <f t="shared" ca="1" si="57"/>
        <v/>
      </c>
      <c r="EV41" s="97" t="str" cm="1">
        <f t="array" aca="1" ref="EV41" ca="1">IFERROR(LEFT(INDIRECT(EU41),1)&amp;"]","")</f>
        <v/>
      </c>
      <c r="EW41" s="97" t="str">
        <f t="shared" ca="1" si="58"/>
        <v/>
      </c>
      <c r="EX41" s="97" t="str">
        <f ca="1">IFERROR(LEFT(EO41,FIND(Stammdaten!$CA$4,EO41,1)-2),IFERROR(LEFT(EO41,FIND(Stammdaten!$CC$3,EO41,1)-2),EO41))</f>
        <v>Ausdauerdisziplinen</v>
      </c>
      <c r="EY41" s="97" t="str">
        <f ca="1">IF(NOT(ISERROR(FIND(Stammdaten!$CA$4,EO41,1))),Stammdaten!$CA$4,IF(EZ41&lt;&gt;Stammdaten!$CC$3,EW41,""))</f>
        <v>nicht durchgeführt</v>
      </c>
      <c r="EZ41" s="91" t="str">
        <f ca="1">IF(ES41=$A$2,Stammdaten!$CC$3,ET41)</f>
        <v/>
      </c>
      <c r="FA41" s="97" t="str" cm="1">
        <f t="array" aca="1" ref="FA41" ca="1">INDIRECT(FA$5)</f>
        <v/>
      </c>
      <c r="FB41" s="97" t="str" cm="1">
        <f t="array" aca="1" ref="FB41" ca="1">INDIRECT(FB$5)</f>
        <v/>
      </c>
      <c r="FC41" s="97" t="str" cm="1">
        <f t="array" aca="1" ref="FC41" ca="1">INDIRECT(FC$5)</f>
        <v/>
      </c>
      <c r="FD41" s="97" t="str" cm="1">
        <f t="array" aca="1" ref="FD41" ca="1">INDIRECT(FD$5)</f>
        <v/>
      </c>
      <c r="FE41" s="97" t="str">
        <f t="shared" ca="1" si="151"/>
        <v>Sprungdisziplinen nicht durchgeführt</v>
      </c>
      <c r="FF41" s="97" t="str">
        <f t="shared" ca="1" si="152"/>
        <v/>
      </c>
      <c r="FG41" s="108">
        <f t="shared" ca="1" si="153"/>
        <v>0</v>
      </c>
      <c r="FH41" s="108">
        <f t="shared" ca="1" si="154"/>
        <v>0</v>
      </c>
      <c r="FI41" s="108" t="str">
        <f t="shared" ca="1" si="155"/>
        <v/>
      </c>
      <c r="FJ41" s="97" t="str">
        <f t="shared" ca="1" si="156"/>
        <v>Sprungdisziplinen nicht durchgeführt</v>
      </c>
      <c r="FK41" s="97" t="str">
        <f t="shared" ca="1" si="157"/>
        <v/>
      </c>
      <c r="FL41" s="97" t="str" cm="1">
        <f t="array" aca="1" ref="FL41" ca="1">IFERROR(IF(INDIRECT(INDEX(INDIRECT(FL$5),MATCH(FJ41,INDIRECT(FL$4),0)))&lt;&gt;"",INDEX(INDIRECT(FL$5),MATCH(FJ41,INDIRECT(FL$4),0)),INDEX(INDIRECT(FL$6),MATCH(FJ41,INDIRECT(FL$4),0))),"")</f>
        <v/>
      </c>
      <c r="FM41" s="97" t="str">
        <f t="shared" ca="1" si="158"/>
        <v/>
      </c>
      <c r="FN41" s="97" t="str" cm="1">
        <f t="array" aca="1" ref="FN41" ca="1">IFERROR(INDIRECT(FL41),IF(NOT(ISERROR(FIND(Stammdaten!$CC$3,FJ41,1))),$A$2,""))</f>
        <v/>
      </c>
      <c r="FO41" s="97" t="str">
        <f ca="1">IF(FN41="","",IF(AND(FK41=Stammdaten!$BX$20,FM41="0",FN41=1),SUBSTITUTE(TEXT(FN41,FM41)&amp;" "&amp;LEFT(FK41,LEN(FK41)-1),".",","),SUBSTITUTE(TEXT(FN41,FM41)&amp;" "&amp;FK41,".",",")))</f>
        <v/>
      </c>
      <c r="FP41" s="97" t="str">
        <f t="shared" ca="1" si="59"/>
        <v/>
      </c>
      <c r="FQ41" s="97" t="str" cm="1">
        <f t="array" aca="1" ref="FQ41" ca="1">IFERROR(LEFT(INDIRECT(FP41),1)&amp;"]","")</f>
        <v/>
      </c>
      <c r="FR41" s="97" t="str">
        <f t="shared" ca="1" si="60"/>
        <v/>
      </c>
      <c r="FS41" s="97" t="str">
        <f ca="1">IFERROR(LEFT(FJ41,FIND(Stammdaten!$CA$4,FJ41,1)-2),IFERROR(LEFT(FJ41,FIND(Stammdaten!$CC$3,FJ41,1)-2),FJ41))</f>
        <v>Sprungdisziplinen</v>
      </c>
      <c r="FT41" s="97" t="str">
        <f ca="1">IF(NOT(ISERROR(FIND(Stammdaten!$CA$4,FJ41,1))),Stammdaten!$CA$4,IF(FU41&lt;&gt;Stammdaten!$CC$3,FR41,""))</f>
        <v>nicht durchgeführt</v>
      </c>
      <c r="FU41" s="91" t="str">
        <f ca="1">IF(FN41=$A$2,Stammdaten!$CC$3,FO41)</f>
        <v/>
      </c>
      <c r="FV41" s="97" t="str" cm="1">
        <f t="array" aca="1" ref="FV41" ca="1">INDIRECT(FV$5)</f>
        <v/>
      </c>
      <c r="FW41" s="97" t="str" cm="1">
        <f t="array" aca="1" ref="FW41" ca="1">INDIRECT(FW$5)</f>
        <v/>
      </c>
      <c r="FX41" s="97" t="str" cm="1">
        <f t="array" aca="1" ref="FX41" ca="1">INDIRECT(FX$5)</f>
        <v/>
      </c>
      <c r="FY41" s="97" t="str" cm="1">
        <f t="array" aca="1" ref="FY41" ca="1">INDIRECT(FY$5)</f>
        <v/>
      </c>
      <c r="FZ41" s="97" t="str" cm="1">
        <f t="array" aca="1" ref="FZ41" ca="1">INDIRECT(FZ$5)</f>
        <v/>
      </c>
      <c r="GA41" s="97" t="str" cm="1">
        <f t="array" aca="1" ref="GA41" ca="1">INDIRECT(GA$5)</f>
        <v/>
      </c>
      <c r="GB41" s="97" t="str">
        <f t="shared" ca="1" si="159"/>
        <v>Wurfdisziplinen nicht durchgeführt</v>
      </c>
      <c r="GC41" s="97" t="str">
        <f t="shared" ca="1" si="160"/>
        <v/>
      </c>
      <c r="GD41" s="108">
        <f t="shared" ca="1" si="161"/>
        <v>0</v>
      </c>
      <c r="GE41" s="108">
        <f t="shared" ca="1" si="162"/>
        <v>0</v>
      </c>
      <c r="GF41" s="108" t="str">
        <f t="shared" ca="1" si="163"/>
        <v/>
      </c>
      <c r="GG41" s="97" t="str">
        <f t="shared" ca="1" si="164"/>
        <v>Wurfdisziplinen nicht durchgeführt</v>
      </c>
      <c r="GH41" s="97" t="str">
        <f t="shared" ca="1" si="165"/>
        <v/>
      </c>
      <c r="GI41" s="97" t="str" cm="1">
        <f t="array" aca="1" ref="GI41" ca="1">IFERROR(IF(INDIRECT(INDEX(INDIRECT(GI$5),MATCH(GG41,INDIRECT(GI$4),0)))&lt;&gt;"",INDEX(INDIRECT(GI$5),MATCH(GG41,INDIRECT(GI$4),0)),INDEX(INDIRECT(GI$6),MATCH(GG41,INDIRECT(GI$4),0))),"")</f>
        <v/>
      </c>
      <c r="GJ41" s="97" t="str">
        <f t="shared" ca="1" si="166"/>
        <v/>
      </c>
      <c r="GK41" s="97" t="str" cm="1">
        <f t="array" aca="1" ref="GK41" ca="1">IFERROR(INDIRECT(GI41),IF(NOT(ISERROR(FIND(Stammdaten!$CC$3,GG41,1))),$A$2,""))</f>
        <v/>
      </c>
      <c r="GL41" s="97" t="str">
        <f ca="1">IF(GK41="","",IF(AND(GH41=Stammdaten!$BX$20,GJ41="0",GK41=1),SUBSTITUTE(TEXT(GK41,GJ41)&amp;" "&amp;LEFT(GH41,LEN(GH41)-1),".",","),SUBSTITUTE(TEXT(GK41,GJ41)&amp;" "&amp;GH41,".",",")))</f>
        <v/>
      </c>
      <c r="GM41" s="97" t="str">
        <f t="shared" ca="1" si="61"/>
        <v/>
      </c>
      <c r="GN41" s="97" t="str" cm="1">
        <f t="array" aca="1" ref="GN41" ca="1">IFERROR(LEFT(INDIRECT(GM41),1)&amp;"]","")</f>
        <v/>
      </c>
      <c r="GO41" s="97" t="str">
        <f t="shared" ca="1" si="62"/>
        <v/>
      </c>
      <c r="GP41" s="97" t="str">
        <f ca="1">IFERROR(LEFT(GG41,FIND(Stammdaten!$CA$4,GG41,1)-2),IFERROR(LEFT(GG41,FIND(Stammdaten!$CC$3,GG41,1)-2),GG41))</f>
        <v>Wurfdisziplinen</v>
      </c>
      <c r="GQ41" s="97" t="str">
        <f ca="1">IF(NOT(ISERROR(FIND(Stammdaten!$CA$4,GG41,1))),Stammdaten!$CA$4,IF(GR41&lt;&gt;Stammdaten!$CC$3,GO41,""))</f>
        <v>nicht durchgeführt</v>
      </c>
      <c r="GR41" s="91" t="str">
        <f ca="1">IF(GK41=$A$2,Stammdaten!$CC$3,GL41)</f>
        <v/>
      </c>
      <c r="GS41" s="97" t="str">
        <f t="shared" ca="1" si="63"/>
        <v/>
      </c>
      <c r="GT41" s="97" t="str">
        <f t="shared" ca="1" si="64"/>
        <v/>
      </c>
      <c r="GU41" s="97" t="str">
        <f t="shared" ca="1" si="65"/>
        <v/>
      </c>
      <c r="GV41" s="97" t="str">
        <f t="shared" ca="1" si="66"/>
        <v/>
      </c>
      <c r="GW41" s="97">
        <f t="shared" ca="1" si="167"/>
        <v>0</v>
      </c>
      <c r="GX41" s="108">
        <f t="shared" ca="1" si="168"/>
        <v>0</v>
      </c>
      <c r="GY41" s="108">
        <f t="shared" ca="1" si="169"/>
        <v>0</v>
      </c>
      <c r="GZ41" s="108" t="str">
        <f t="shared" ca="1" si="170"/>
        <v/>
      </c>
      <c r="HA41" s="97" t="str">
        <f ca="1">IF(GZ41="",Stammdaten!$BZ$1,IF(AND(GX41=0,GY41&gt;=GZ$25),$A$3,ROUND(SUM(GW41/GZ41)/HA$25,0)*HA$25))</f>
        <v>Zu wenige Werte</v>
      </c>
      <c r="HB41" s="108">
        <f t="shared" ca="1" si="171"/>
        <v>6</v>
      </c>
      <c r="HC41" s="97" t="str">
        <f t="shared" ca="1" si="172"/>
        <v/>
      </c>
      <c r="HD41" s="97" t="str">
        <f t="shared" ca="1" si="173"/>
        <v/>
      </c>
      <c r="HE41" s="97" t="str">
        <f t="shared" ca="1" si="174"/>
        <v/>
      </c>
      <c r="HF41" s="97" t="str">
        <f t="shared" ca="1" si="175"/>
        <v/>
      </c>
      <c r="HG41" s="97" t="str">
        <f t="shared" ca="1" si="176"/>
        <v/>
      </c>
      <c r="HH41" s="97" t="str">
        <f t="shared" ca="1" si="177"/>
        <v>g</v>
      </c>
      <c r="HI41" s="97" t="str">
        <f t="shared" ca="1" si="178"/>
        <v/>
      </c>
      <c r="HJ41" s="97">
        <f t="shared" ca="1" si="179"/>
        <v>1</v>
      </c>
      <c r="HK41" s="97" t="str">
        <f ca="1">IF(OR(Geschlecht[[#This Row],[Geschlecht (Skala)]]="",NOT(ISNUMBER(GZ41))),"",HJ41)</f>
        <v/>
      </c>
      <c r="HL41" s="97" t="str">
        <f t="shared" ca="1" si="180"/>
        <v/>
      </c>
      <c r="HM41" s="97"/>
      <c r="HN41" s="308" t="str">
        <f t="shared" ca="1" si="68"/>
        <v>Zu wenige Werte</v>
      </c>
      <c r="HO41" s="97"/>
      <c r="HP41" s="307"/>
      <c r="HQ41" s="96" t="str">
        <f>IFERROR(IFERROR(SUBSTITUTE(ReckResultat[[#This Row],[Eingabe]],".",",")*1,SUBSTITUTE(ReckResultat[[#This Row],[Eingabe]],",",".")*1),"")</f>
        <v/>
      </c>
      <c r="HR41" s="96" t="e">
        <f>INT(ReckResultat[[#This Row],[Resultat]])=ReckResultat[[#This Row],[Resultat]]</f>
        <v>#VALUE!</v>
      </c>
      <c r="HS41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1" s="96"/>
      <c r="HX41" s="97"/>
      <c r="HY41" s="307"/>
      <c r="HZ41" s="96" t="str">
        <f>IFERROR(IFERROR(SUBSTITUTE(BodenResultat[[#This Row],[Eingabe]],".",",")*1,SUBSTITUTE(BodenResultat[[#This Row],[Eingabe]],",",".")*1),"")</f>
        <v/>
      </c>
      <c r="IA41" s="96" t="e">
        <f>INT(BodenResultat[[#This Row],[Resultat]])=BodenResultat[[#This Row],[Resultat]]</f>
        <v>#VALUE!</v>
      </c>
      <c r="IB41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1" s="96"/>
      <c r="IG41" s="97"/>
      <c r="IH41" s="307"/>
      <c r="II41" s="96" t="str">
        <f>IFERROR(IFERROR(SUBSTITUTE(StufenbarrenResultat[[#This Row],[Eingabe]],".",",")*1,SUBSTITUTE(StufenbarrenResultat[[#This Row],[Eingabe]],",",".")*1),"")</f>
        <v/>
      </c>
      <c r="IJ41" s="96" t="e">
        <f>INT(StufenbarrenResultat[[#This Row],[Resultat]])=StufenbarrenResultat[[#This Row],[Resultat]]</f>
        <v>#VALUE!</v>
      </c>
      <c r="IK41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1" s="96"/>
      <c r="IP41" s="97"/>
      <c r="IQ41" s="307"/>
      <c r="IR41" s="96" t="str">
        <f>IFERROR(IFERROR(SUBSTITUTE(ParallelbarrenResultat[[#This Row],[Eingabe]],".",",")*1,SUBSTITUTE(ParallelbarrenResultat[[#This Row],[Eingabe]],",",".")*1),"")</f>
        <v/>
      </c>
      <c r="IS41" s="96" t="e">
        <f>INT(ParallelbarrenResultat[[#This Row],[Resultat]])=ParallelbarrenResultat[[#This Row],[Resultat]]</f>
        <v>#VALUE!</v>
      </c>
      <c r="IT41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1" s="96"/>
      <c r="IY41" s="97"/>
      <c r="IZ41" s="307"/>
      <c r="JA41" s="96" t="str">
        <f>IFERROR(IFERROR(SUBSTITUTE(SchaukelringeResultat[[#This Row],[Eingabe]],".",",")*1,SUBSTITUTE(SchaukelringeResultat[[#This Row],[Eingabe]],",",".")*1),"")</f>
        <v/>
      </c>
      <c r="JB41" s="96" t="e">
        <f>INT(SchaukelringeResultat[[#This Row],[Resultat]])=SchaukelringeResultat[[#This Row],[Resultat]]</f>
        <v>#VALUE!</v>
      </c>
      <c r="JC41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1" s="96"/>
      <c r="JH41" s="97"/>
      <c r="JI41" s="307"/>
      <c r="JJ41" s="96" t="str">
        <f>IFERROR(IFERROR(SUBSTITUTE(SprungResultat[[#This Row],[Eingabe]],".",",")*1,SUBSTITUTE(SprungResultat[[#This Row],[Eingabe]],",",".")*1),"")</f>
        <v/>
      </c>
      <c r="JK41" s="96" t="e">
        <f>INT(SprungResultat[[#This Row],[Resultat]])=SprungResultat[[#This Row],[Resultat]]</f>
        <v>#VALUE!</v>
      </c>
      <c r="JL41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1" s="96"/>
      <c r="JQ41" s="97"/>
      <c r="JR41" s="309" t="str" cm="1">
        <f t="array" aca="1" ref="JR41" ca="1">IF(AND(ISNUMBER(INDIRECT(JR$3)),INDIRECT(JR$3)&gt;0),INDIRECT(JR$3),"")</f>
        <v/>
      </c>
      <c r="JS41" s="309" t="str" cm="1">
        <f t="array" aca="1" ref="JS41" ca="1">IF(AND(ISNUMBER(INDIRECT(JS$3)),INDIRECT(JS$3)&gt;0),INDIRECT(JS$3),"")</f>
        <v/>
      </c>
      <c r="JT41" s="309" t="str" cm="1">
        <f t="array" aca="1" ref="JT41" ca="1">IF(AND(ISNUMBER(INDIRECT(JT$3)),INDIRECT(JT$3)&gt;0),INDIRECT(JT$3),"")</f>
        <v/>
      </c>
      <c r="JU41" s="309" t="str" cm="1">
        <f t="array" aca="1" ref="JU41" ca="1">IF(AND(ISNUMBER(INDIRECT(JU$3)),INDIRECT(JU$3)&gt;0),INDIRECT(JU$3),"")</f>
        <v/>
      </c>
      <c r="JV41" s="309" t="str" cm="1">
        <f t="array" aca="1" ref="JV41" ca="1">IF(AND(ISNUMBER(INDIRECT(JV$3)),INDIRECT(JV$3)&gt;0),INDIRECT(JV$3),"")</f>
        <v/>
      </c>
      <c r="JW41" s="309" t="str" cm="1">
        <f t="array" aca="1" ref="JW41" ca="1">IF(AND(ISNUMBER(INDIRECT(JW$3)),INDIRECT(JW$3)&gt;0),INDIRECT(JW$3),"")</f>
        <v/>
      </c>
      <c r="JX41" s="309" t="str">
        <f t="shared" ca="1" si="69"/>
        <v>x</v>
      </c>
      <c r="JY41" s="309" t="str">
        <f t="shared" ca="1" si="70"/>
        <v>y</v>
      </c>
      <c r="JZ41" s="309" t="str">
        <f t="shared" ca="1" si="71"/>
        <v>z</v>
      </c>
      <c r="KA41" s="309" t="str">
        <f t="shared" ca="1" si="181"/>
        <v>a</v>
      </c>
      <c r="KB41" s="309" t="str" cm="1">
        <f t="array" aca="1" ref="KB41" ca="1">IF(KA41="a","",INDEX($JR$23:$JW$23,,MATCH(KA41,$JR41:$JW41,0)))</f>
        <v/>
      </c>
      <c r="KC41" s="309" t="str" cm="1">
        <f t="array" aca="1" ref="KC41" ca="1">IF(OR(KB41="",KB41&gt;=$JW$23),"",INDEX(INDIRECT(ADDRESS(ROW($JR$23),KB41+1)):$JW$23,,MATCH(KA41,INDIRECT(ADDRESS(ROW(),KB41+1)):$JW41,0)))</f>
        <v/>
      </c>
      <c r="KD41" s="309" t="str" cm="1">
        <f t="array" aca="1" ref="KD41" ca="1">IF(OR(KC41="",KC41&gt;=$JW$23),"",INDEX(INDIRECT(ADDRESS(ROW($JR$23),KC41+1)):$JW$23,,MATCH(KA41,INDIRECT(ADDRESS(ROW(),KC41+1)):$JW41,0)))</f>
        <v/>
      </c>
      <c r="KE41" s="309" t="str">
        <f t="shared" ca="1" si="182"/>
        <v>c</v>
      </c>
      <c r="KF41" s="309" t="str" cm="1">
        <f t="array" aca="1" ref="KF41" ca="1">IF(OR(KE41="b",KE41="c"),"",INDEX($JR$23:$JW$23,,MATCH(KE41,$JR41:$JW41,0)))</f>
        <v/>
      </c>
      <c r="KG41" s="309" t="str" cm="1">
        <f t="array" aca="1" ref="KG41" ca="1">IF(OR(KF41="",KF41&gt;=$JW$23),"",INDEX(INDIRECT(ADDRESS(ROW($JR$23),KF41+1)):$JW$23,,MATCH(KE41,INDIRECT(ADDRESS(ROW(),KF41+1)):$JW41,0)))</f>
        <v/>
      </c>
      <c r="KH41" s="309" t="str">
        <f t="shared" ca="1" si="72"/>
        <v/>
      </c>
      <c r="KI41" s="309" t="str">
        <f t="shared" ca="1" si="183"/>
        <v>e</v>
      </c>
      <c r="KJ41" s="309" t="str">
        <f t="shared" ca="1" si="73"/>
        <v/>
      </c>
      <c r="KK41" s="309" t="str" cm="1">
        <f t="array" aca="1" ref="KK41" ca="1">IF(OR(KI41="d",KI41="e"),"",INDEX($JR$23:$JW$23,,MATCH(KI41,$JR41:$JW41,0)))</f>
        <v/>
      </c>
      <c r="KL41" s="309" t="str" cm="1">
        <f t="array" aca="1" ref="KL41" ca="1">IF(OR(KK41="",KK41&gt;=$JW$23),"",INDEX(INDIRECT(ADDRESS(ROW($JR$23),KK41+1)):$JW$23,,MATCH(KI41,INDIRECT(ADDRESS(ROW(),KK41+1)):$JW41,0)))</f>
        <v/>
      </c>
      <c r="KM41" s="309" t="str" cm="1">
        <f t="array" aca="1" ref="KM41" ca="1">IFERROR(IF(ISNUMBER(KB41),KB41,IF(ISNUMBER(KF41),KF41,IF(ISNUMBER(KJ41),KJ41,INDEX($JR$23:$JW$23,,MATCH(JX41,$JR41:$JW41,0))))),"x1")</f>
        <v>x1</v>
      </c>
      <c r="KN41" s="309" t="str" cm="1">
        <f t="array" aca="1" ref="KN41" ca="1">IFERROR(IF(ISNUMBER(KC41),KC41,IF(ISNUMBER(KG41),KG41,IF(ISNUMBER(KK41),KK41,INDEX($JR$23:$JW$23,,MATCH(JY41,$JR41:$JW41,0))))),IF(KM41="x1","x2","x1"))</f>
        <v>x2</v>
      </c>
      <c r="KO41" s="309" t="str" cm="1">
        <f t="array" aca="1" ref="KO41" ca="1">IFERROR(IF(ISNUMBER(KD41),KD41,IF(ISNUMBER(KH41),KH41,IF(ISNUMBER(KL41),KL41,INDEX($JR$23:$JW$23,,MATCH(JZ41,$JR41:$JW41,0))))),IF(KN41="x1","x2",IF(KN41="x2","x3","x1")))</f>
        <v>x3</v>
      </c>
      <c r="KP41" s="97" t="str" cm="1">
        <f t="array" aca="1" ref="KP41" ca="1">IF(OR(INDIRECT(KP$3)=$A$2,INDIRECT(KP$3)=$A$3),COLUMN(),"")</f>
        <v/>
      </c>
      <c r="KQ41" s="97" t="str" cm="1">
        <f t="array" aca="1" ref="KQ41" ca="1">IF(OR(INDIRECT(KQ$3)=$A$2,INDIRECT(KQ$3)=$A$3),COLUMN(),"")</f>
        <v/>
      </c>
      <c r="KR41" s="97" t="str" cm="1">
        <f t="array" aca="1" ref="KR41" ca="1">IF(OR(INDIRECT(KR$3)=$A$2,INDIRECT(KR$3)=$A$3),COLUMN(),"")</f>
        <v/>
      </c>
      <c r="KS41" s="97" t="str" cm="1">
        <f t="array" aca="1" ref="KS41" ca="1">IF(OR(INDIRECT(KS$3)=$A$2,INDIRECT(KS$3)=$A$3),COLUMN(),"")</f>
        <v/>
      </c>
      <c r="KT41" s="97" t="str" cm="1">
        <f t="array" aca="1" ref="KT41" ca="1">IF(OR(INDIRECT(KT$3)=$A$2,INDIRECT(KT$3)=$A$3),COLUMN(),"")</f>
        <v/>
      </c>
      <c r="KU41" s="97" t="str" cm="1">
        <f t="array" aca="1" ref="KU41" ca="1">IF(OR(INDIRECT(KU$3)=$A$2,INDIRECT(KU$3)=$A$3),COLUMN(),"")</f>
        <v/>
      </c>
      <c r="KV41" s="97" t="str" cm="1">
        <f t="array" aca="1" ref="KV41" ca="1">IF(AND(ISNUMBER(INDIRECT(KV$3)),INDIRECT(KV$3)=0),COLUMN(),"")</f>
        <v/>
      </c>
      <c r="KW41" s="97" t="str" cm="1">
        <f t="array" aca="1" ref="KW41" ca="1">IF(AND(ISNUMBER(INDIRECT(KW$3)),INDIRECT(KW$3)=0),COLUMN(),"")</f>
        <v/>
      </c>
      <c r="KX41" s="97" t="str" cm="1">
        <f t="array" aca="1" ref="KX41" ca="1">IF(AND(ISNUMBER(INDIRECT(KX$3)),INDIRECT(KX$3)=0),COLUMN(),"")</f>
        <v/>
      </c>
      <c r="KY41" s="97" t="str" cm="1">
        <f t="array" aca="1" ref="KY41" ca="1">IF(AND(ISNUMBER(INDIRECT(KY$3)),INDIRECT(KY$3)=0),COLUMN(),"")</f>
        <v/>
      </c>
      <c r="KZ41" s="97" t="str" cm="1">
        <f t="array" aca="1" ref="KZ41" ca="1">IF(AND(ISNUMBER(INDIRECT(KZ$3)),INDIRECT(KZ$3)=0),COLUMN(),"")</f>
        <v/>
      </c>
      <c r="LA41" s="97" t="str" cm="1">
        <f t="array" aca="1" ref="LA41" ca="1">IF(AND(ISNUMBER(INDIRECT(LA$3)),INDIRECT(LA$3)=0),COLUMN(),"")</f>
        <v/>
      </c>
      <c r="LB41" s="97" t="str">
        <f t="shared" ca="1" si="184"/>
        <v>x1</v>
      </c>
      <c r="LC41" s="97" t="str">
        <f t="shared" ca="1" si="185"/>
        <v>x2</v>
      </c>
      <c r="LD41" s="97" t="str">
        <f t="shared" ca="1" si="186"/>
        <v>x3</v>
      </c>
      <c r="LE41" s="97" t="str">
        <f ca="1">IFERROR(IF(ISNUMBER(LB41),LB41,SMALL($KV41:$LA41,VALUE(RIGHT(LB41,1)))),Stammdaten!$CA$17)</f>
        <v>Erstes Gerät nicht durchgeführt</v>
      </c>
      <c r="LF41" s="97" t="str">
        <f ca="1">IFERROR(IF(ISNUMBER(LC41),LC41,SMALL($KV41:$LA41,VALUE(RIGHT(LC41,1)))),Stammdaten!$CA$18)</f>
        <v>Zweites Gerät nicht durchgeführt</v>
      </c>
      <c r="LG41" s="97" t="str">
        <f ca="1">IFERROR(IF(ISNUMBER(LD41),LD41,SMALL($KV41:$LA41,VALUE(RIGHT(LD41,1)))),Stammdaten!$CA$19)</f>
        <v>Drittes Gerät nicht durchgeführt</v>
      </c>
      <c r="LH41" s="91" t="str" cm="1">
        <f t="array" aca="1" ref="LH41" ca="1">IFERROR(INDIRECT(ADDRESS(ROW($JR$5),LE41)),LE41)</f>
        <v>Erstes Gerät nicht durchgeführt</v>
      </c>
      <c r="LI41" s="97" t="str">
        <f t="shared" ca="1" si="187"/>
        <v/>
      </c>
      <c r="LJ41" s="97" t="str" cm="1">
        <f t="array" aca="1" ref="LJ41" ca="1">IFERROR(IF(INDIRECT(INDEX(INDIRECT(LJ$5),MATCH(LH41,INDIRECT(LJ$4),0)))&lt;&gt;"",INDEX(INDIRECT(LJ$5),MATCH(LH41,INDIRECT(LJ$4),0)),INDEX(INDIRECT(LJ$6),MATCH(LH41,INDIRECT(LJ$4),0))),"")</f>
        <v/>
      </c>
      <c r="LK41" s="97" t="str">
        <f t="shared" ca="1" si="188"/>
        <v/>
      </c>
      <c r="LL41" s="97" t="str" cm="1">
        <f t="array" aca="1" ref="LL41" ca="1">IFERROR(INDIRECT(LJ41),"")</f>
        <v/>
      </c>
      <c r="LM41" s="97" t="str">
        <f ca="1">IF(LL41="","",IF(AND(LI41=Stammdaten!$BX$20,LK41="0",LL41=1),SUBSTITUTE(TEXT(LL41,LK41)&amp;" "&amp;LEFT(LI41,LEN(LI41)-1),".",","),SUBSTITUTE(TEXT(LL41,LK41)&amp;" "&amp;LI41,".",",")))</f>
        <v/>
      </c>
      <c r="LN41" s="97" t="str">
        <f t="shared" ca="1" si="74"/>
        <v/>
      </c>
      <c r="LO41" s="97" t="str" cm="1">
        <f t="array" aca="1" ref="LO41" ca="1">IFERROR(LEFT(INDIRECT(LN41),1)&amp;"]","")</f>
        <v/>
      </c>
      <c r="LP41" s="97" t="str">
        <f t="shared" ca="1" si="75"/>
        <v/>
      </c>
      <c r="LQ41" s="97" t="str">
        <f ca="1">IFERROR(LEFT(LH41,FIND(Stammdaten!$CA$4,LH41,1)-2),IFERROR(LEFT(LH41,FIND(Stammdaten!$CC$3,LH41,1)-2),LH41))</f>
        <v>Erstes Gerät</v>
      </c>
      <c r="LR41" s="97" t="str">
        <f ca="1">IF(NOT(ISERROR(FIND(Stammdaten!$CA$4,LH41,1))),Stammdaten!$CA$4,IF(LS41&lt;&gt;Stammdaten!$CC$3,LP41,""))</f>
        <v>nicht durchgeführt</v>
      </c>
      <c r="LS41" s="91" t="str">
        <f ca="1">IF(LL41=$A$2,Stammdaten!$CC$3,LM41)</f>
        <v/>
      </c>
      <c r="LT41" s="91" t="str" cm="1">
        <f t="array" aca="1" ref="LT41" ca="1">IFERROR(INDIRECT(ADDRESS(ROW($JR$5),LF41)),LF41)</f>
        <v>Zweites Gerät nicht durchgeführt</v>
      </c>
      <c r="LU41" s="97" t="str">
        <f t="shared" ca="1" si="189"/>
        <v/>
      </c>
      <c r="LV41" s="97" t="str" cm="1">
        <f t="array" aca="1" ref="LV41" ca="1">IFERROR(IF(INDIRECT(INDEX(INDIRECT(LV$5),MATCH(LT41,INDIRECT(LV$4),0)))&lt;&gt;"",INDEX(INDIRECT(LV$5),MATCH(LT41,INDIRECT(LV$4),0)),INDEX(INDIRECT(LV$6),MATCH(LT41,INDIRECT(LV$4),0))),"")</f>
        <v/>
      </c>
      <c r="LW41" s="97" t="str">
        <f t="shared" ca="1" si="190"/>
        <v/>
      </c>
      <c r="LX41" s="97" t="str" cm="1">
        <f t="array" aca="1" ref="LX41" ca="1">IFERROR(INDIRECT(LV41),"")</f>
        <v/>
      </c>
      <c r="LY41" s="97" t="str">
        <f ca="1">IF(LX41="","",IF(AND(LU41=Stammdaten!$BX$20,LW41="0",LX41=1),SUBSTITUTE(TEXT(LX41,LW41)&amp;" "&amp;LEFT(LU41,LEN(LU41)-1),".",","),SUBSTITUTE(TEXT(LX41,LW41)&amp;" "&amp;LU41,".",",")))</f>
        <v/>
      </c>
      <c r="LZ41" s="97" t="str">
        <f t="shared" ca="1" si="76"/>
        <v/>
      </c>
      <c r="MA41" s="97" t="str" cm="1">
        <f t="array" aca="1" ref="MA41" ca="1">IFERROR(LEFT(INDIRECT(LZ41),1)&amp;"]","")</f>
        <v/>
      </c>
      <c r="MB41" s="97" t="str">
        <f t="shared" ca="1" si="77"/>
        <v/>
      </c>
      <c r="MC41" s="97" t="str">
        <f ca="1">IFERROR(LEFT(LT41,FIND(Stammdaten!$CA$4,LT41,1)-2),IFERROR(LEFT(LT41,FIND(Stammdaten!$CC$3,LT41,1)-2),LT41))</f>
        <v>Zweites Gerät</v>
      </c>
      <c r="MD41" s="97" t="str">
        <f ca="1">IF(NOT(ISERROR(FIND(Stammdaten!$CA$4,LT41,1))),Stammdaten!$CA$4,IF(ME41&lt;&gt;Stammdaten!$CC$3,MB41,""))</f>
        <v>nicht durchgeführt</v>
      </c>
      <c r="ME41" s="91" t="str">
        <f ca="1">IF(LX41=$A$2,Stammdaten!$CC$3,LY41)</f>
        <v/>
      </c>
      <c r="MF41" s="91" t="str" cm="1">
        <f t="array" aca="1" ref="MF41" ca="1">IFERROR(INDIRECT(ADDRESS(ROW($JR$5),LG41)),LG41)</f>
        <v>Drittes Gerät nicht durchgeführt</v>
      </c>
      <c r="MG41" s="97" t="str">
        <f t="shared" ca="1" si="191"/>
        <v/>
      </c>
      <c r="MH41" s="97" t="str" cm="1">
        <f t="array" aca="1" ref="MH41" ca="1">IFERROR(IF(INDIRECT(INDEX(INDIRECT(MH$5),MATCH(MF41,INDIRECT(MH$4),0)))&lt;&gt;"",INDEX(INDIRECT(MH$5),MATCH(MF41,INDIRECT(MH$4),0)),INDEX(INDIRECT(MH$6),MATCH(MF41,INDIRECT(MH$4),0))),"")</f>
        <v/>
      </c>
      <c r="MI41" s="97" t="str">
        <f t="shared" ca="1" si="192"/>
        <v/>
      </c>
      <c r="MJ41" s="97" t="str" cm="1">
        <f t="array" aca="1" ref="MJ41" ca="1">IFERROR(INDIRECT(MH41),"")</f>
        <v/>
      </c>
      <c r="MK41" s="97" t="str">
        <f ca="1">IF(MJ41="","",IF(AND(MG41=Stammdaten!$BX$20,MI41="0",MJ41=1),SUBSTITUTE(TEXT(MJ41,MI41)&amp;" "&amp;LEFT(MG41,LEN(MG41)-1),".",","),SUBSTITUTE(TEXT(MJ41,MI41)&amp;" "&amp;MG41,".",",")))</f>
        <v/>
      </c>
      <c r="ML41" s="97" t="str">
        <f t="shared" ca="1" si="78"/>
        <v/>
      </c>
      <c r="MM41" s="97" t="str" cm="1">
        <f t="array" aca="1" ref="MM41" ca="1">IFERROR(LEFT(INDIRECT(ML41),1)&amp;"]","")</f>
        <v/>
      </c>
      <c r="MN41" s="97" t="str">
        <f t="shared" ca="1" si="79"/>
        <v/>
      </c>
      <c r="MO41" s="97" t="str">
        <f ca="1">IFERROR(LEFT(MF41,FIND(Stammdaten!$CA$4,MF41,1)-2),IFERROR(LEFT(MF41,FIND(Stammdaten!$CC$3,MF41,1)-2),MF41))</f>
        <v>Drittes Gerät</v>
      </c>
      <c r="MP41" s="97" t="str">
        <f ca="1">IF(NOT(ISERROR(FIND(Stammdaten!$CA$4,MF41,1))),Stammdaten!$CA$4,IF(MQ41&lt;&gt;Stammdaten!$CC$3,MN41,""))</f>
        <v>nicht durchgeführt</v>
      </c>
      <c r="MQ41" s="91" t="str">
        <f ca="1">IF(MJ41=$A$2,Stammdaten!$CC$3,MK41)</f>
        <v/>
      </c>
      <c r="MR41" s="97">
        <f t="shared" ca="1" si="80"/>
        <v>0</v>
      </c>
      <c r="MS41" s="108">
        <f t="shared" ca="1" si="193"/>
        <v>0</v>
      </c>
      <c r="MT41" s="108">
        <f t="shared" ca="1" si="194"/>
        <v>0</v>
      </c>
      <c r="MU41" s="108">
        <f t="shared" ca="1" si="195"/>
        <v>0</v>
      </c>
      <c r="MV41" s="108" t="str">
        <f t="shared" ca="1" si="196"/>
        <v/>
      </c>
      <c r="MW41" s="97" t="str">
        <f ca="1">IF(MV41="",Stammdaten!$BZ$1,IF(AND(MS41+MT41=0,MU41&gt;=MV$25),$A$3,MR41))</f>
        <v>Zu wenige Werte</v>
      </c>
      <c r="MX41" s="97"/>
      <c r="MY41" s="91" t="str">
        <f t="shared" ca="1" si="81"/>
        <v/>
      </c>
      <c r="MZ41" s="96" t="str">
        <f>LEFT(Geschlecht[[#This Row],[Geschlecht (Skala)]],1)&amp;$MZ$27</f>
        <v>2</v>
      </c>
      <c r="NA41" s="96" t="str">
        <f t="shared" ca="1" si="82"/>
        <v>Geräteturnen_2[Resultat]</v>
      </c>
      <c r="NB41" s="97" t="str" cm="1">
        <f t="array" aca="1" ref="NB41" ca="1">IF(OR($MW41="",$MW41=Stammdaten!$BZ$1),"",IF($MW41=0,0,IF(OR($MW41=$A$2,$MW41=$A$3),$A$3,IFERROR(INDEX(INDIRECT(NA41),MATCH(INDIRECT(MY$3),INDIRECT(NA41),NA$25)),IFERROR(IF(NA$25=-1,MAX(INDIRECT(NA41)),IF(NA$25=1,MIN(INDIRECT(NA41)))),"")))))</f>
        <v/>
      </c>
      <c r="ND41" s="91" t="str">
        <f t="shared" ca="1" si="83"/>
        <v>Geräteturnen_2[Note]</v>
      </c>
      <c r="NE41" s="97" t="str" cm="1">
        <f t="array" aca="1" ref="NE41" ca="1">IFERROR(INDEX(INDIRECT(ND41),MATCH(INDIRECT(MY$5),INDIRECT(NA41),0)),IF(INDIRECT(MY$5)=0,1,""))</f>
        <v/>
      </c>
      <c r="NF41" s="97"/>
      <c r="NG41" s="307"/>
      <c r="NH41" s="96" t="str">
        <f>IFERROR(IFERROR(SUBSTITUTE(ParkourResultat[[#This Row],[Eingabe]],".",",")*1,SUBSTITUTE(ParkourResultat[[#This Row],[Eingabe]],",",".")*1),"")</f>
        <v/>
      </c>
      <c r="NI41" s="96" t="e">
        <f>INT(ParkourResultat[[#This Row],[Resultat]])=ParkourResultat[[#This Row],[Resultat]]</f>
        <v>#VALUE!</v>
      </c>
      <c r="NJ41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1" s="96"/>
      <c r="NL41" s="91" t="str" cm="1">
        <f t="array" aca="1" ref="NL41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1" s="96" t="str">
        <f ca="1">LEFT(Geschlecht[[#This Row],[Geschlecht (Skala)]],1)&amp;NR$4</f>
        <v>2</v>
      </c>
      <c r="NN41" s="96" t="str">
        <f t="shared" ca="1" si="84"/>
        <v>Parkour_2[Resultat]</v>
      </c>
      <c r="NO41" s="97" t="str" cm="1">
        <f t="array" aca="1" ref="NO41" ca="1">IF(INDIRECT(NL$1)="","",IF(INDIRECT(NL$2)=0,0,IF(OR(INDIRECT(NL$1)=$A$2,INDIRECT(NL$1)=$A$3),$A$3,IFERROR(INDEX(INDIRECT(NN41),MATCH(INDIRECT(NL$3),INDIRECT(NN41),NN$25)),IFERROR(IF(NN$25=-1,MAX(INDIRECT(NN41)),IF(NN$25=1,MIN(INDIRECT(NN41)))),"")))))</f>
        <v/>
      </c>
      <c r="NQ41" s="91" t="str">
        <f t="shared" ca="1" si="85"/>
        <v>Parkour_2[Note]</v>
      </c>
      <c r="NR41" s="97" t="str" cm="1">
        <f t="array" aca="1" ref="NR41" ca="1">IFERROR(INDEX(INDIRECT(NQ41),MATCH(INDIRECT(NL$5),INDIRECT(NN41),0)),IF(INDIRECT(NL$5)=0,1,""))</f>
        <v/>
      </c>
      <c r="NS41" s="97"/>
      <c r="NT41" s="97" t="str" cm="1">
        <f t="array" aca="1" ref="NT41" ca="1">INDIRECT(NT$5)</f>
        <v/>
      </c>
      <c r="NU41" s="97" t="str" cm="1">
        <f t="array" aca="1" ref="NU41" ca="1">INDIRECT(NU$5)</f>
        <v/>
      </c>
      <c r="NV41" s="97" t="str" cm="1">
        <f t="array" aca="1" ref="NV41" ca="1">INDIRECT(NV$5)</f>
        <v/>
      </c>
      <c r="NW41" s="97" t="str" cm="1">
        <f t="array" aca="1" ref="NW41" ca="1">INDIRECT(NW$5)</f>
        <v/>
      </c>
      <c r="NX41" s="97" t="str">
        <f t="shared" ca="1" si="86"/>
        <v>Parkour nicht durchgeführt</v>
      </c>
      <c r="NY41" s="97" t="str">
        <f t="shared" ca="1" si="197"/>
        <v/>
      </c>
      <c r="NZ41" s="97" t="str" cm="1">
        <f t="array" aca="1" ref="NZ41" ca="1">IFERROR(IF(INDIRECT(INDEX(INDIRECT(NZ$5),MATCH(NX41,INDIRECT(NZ$4),0)))&lt;&gt;"",INDEX(INDIRECT(NZ$5),MATCH(NX41,INDIRECT(NZ$4),0)),INDEX(INDIRECT(NZ$6),MATCH(NX41,INDIRECT(NZ$4),0))),"")</f>
        <v/>
      </c>
      <c r="OA41" s="97" t="str">
        <f t="shared" ca="1" si="198"/>
        <v/>
      </c>
      <c r="OB41" s="97" t="str" cm="1">
        <f t="array" aca="1" ref="OB41" ca="1">IFERROR(INDIRECT(NZ41),IF(NOT(ISERROR(FIND(Stammdaten!$CC$3,NX41,1))),$A$2,""))</f>
        <v/>
      </c>
      <c r="OC41" s="97" t="str">
        <f ca="1">IF(OB41="","",IF(AND(NY41=Stammdaten!$BX$20,OA41="0",OB41=1),SUBSTITUTE(TEXT(OB41,OA41)&amp;" "&amp;LEFT(NY41,LEN(NY41)-1),".",","),SUBSTITUTE(TEXT(OB41,OA41)&amp;" "&amp;NY41,".",",")))</f>
        <v/>
      </c>
      <c r="OD41" s="97" t="str">
        <f t="shared" ca="1" si="87"/>
        <v/>
      </c>
      <c r="OE41" s="97" t="str" cm="1">
        <f t="array" aca="1" ref="OE41" ca="1">IFERROR(LEFT(INDIRECT(OD41),1)&amp;"]","")</f>
        <v/>
      </c>
      <c r="OF41" s="97" t="str">
        <f t="shared" ca="1" si="88"/>
        <v/>
      </c>
      <c r="OG41" s="97" t="str">
        <f ca="1">IFERROR(LEFT(NX41,FIND(Stammdaten!$CA$4,NX41,1)-2),IFERROR(LEFT(NX41,FIND(Stammdaten!$CC$3,NX41,1)-2),NX41))</f>
        <v>Parkour</v>
      </c>
      <c r="OH41" s="97" t="str">
        <f ca="1">IF(NOT(ISERROR(FIND(Stammdaten!$CA$4,NX41,1))),Stammdaten!$CA$4,IF(OI41&lt;&gt;Stammdaten!$CC$3,OF41,""))</f>
        <v>nicht durchgeführt</v>
      </c>
      <c r="OI41" s="91" t="str">
        <f ca="1">IF(OB41=$A$2,Stammdaten!$CC$3,OC41)</f>
        <v/>
      </c>
      <c r="OJ41" s="97" t="str">
        <f t="shared" ca="1" si="89"/>
        <v/>
      </c>
      <c r="OK41" s="97" t="str">
        <f t="shared" ca="1" si="90"/>
        <v/>
      </c>
      <c r="OL41" s="97">
        <f t="shared" ca="1" si="199"/>
        <v>0</v>
      </c>
      <c r="OM41" s="108">
        <f t="shared" ca="1" si="91"/>
        <v>0</v>
      </c>
      <c r="ON41" s="108">
        <f t="shared" ca="1" si="92"/>
        <v>0</v>
      </c>
      <c r="OO41" s="108" t="str">
        <f t="shared" ca="1" si="200"/>
        <v/>
      </c>
      <c r="OP41" s="97" t="str">
        <f ca="1">IF(OO41="",Stammdaten!$BZ$1,IF(AND(OM41=0,ON41&gt;=OO$25),$A$3,ROUND(SUM(OL41/OO41)/OP$25,0)*OP$25))</f>
        <v>Zu wenige Werte</v>
      </c>
      <c r="OQ41" s="108">
        <f t="shared" ca="1" si="201"/>
        <v>6</v>
      </c>
      <c r="OR41" s="97" t="str">
        <f t="shared" ca="1" si="202"/>
        <v/>
      </c>
      <c r="OS41" s="97" t="str">
        <f t="shared" ca="1" si="203"/>
        <v/>
      </c>
      <c r="OT41" s="97" t="str">
        <f t="shared" ca="1" si="204"/>
        <v/>
      </c>
      <c r="OU41" s="97" t="str">
        <f t="shared" ca="1" si="205"/>
        <v>g</v>
      </c>
      <c r="OV41" s="97" t="str">
        <f t="shared" ca="1" si="206"/>
        <v/>
      </c>
      <c r="OW41" s="97">
        <f t="shared" ca="1" si="207"/>
        <v>1</v>
      </c>
      <c r="OX41" s="97" t="str">
        <f ca="1">IF(OR(Geschlecht[[#This Row],[Geschlecht (Skala)]]="",NOT(ISNUMBER(OO41))),"",OW41)</f>
        <v/>
      </c>
      <c r="OY41" s="97" t="str">
        <f t="shared" ca="1" si="208"/>
        <v/>
      </c>
      <c r="OZ41" s="97"/>
      <c r="PA41" s="308" t="str">
        <f t="shared" ca="1" si="209"/>
        <v>Zu wenige Werte</v>
      </c>
      <c r="PB41" s="97"/>
      <c r="PC41" s="307"/>
      <c r="PD41" s="96" t="str">
        <f>IFERROR(IFERROR(SUBSTITUTE(TanzenResultat[[#This Row],[Eingabe]],".",",")*1,SUBSTITUTE(TanzenResultat[[#This Row],[Eingabe]],",",".")*1),"")</f>
        <v/>
      </c>
      <c r="PE41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1" s="96"/>
      <c r="PG41" s="91" t="str" cm="1">
        <f t="array" aca="1" ref="PG41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1" s="96" t="str">
        <f ca="1">LEFT(Geschlecht[[#This Row],[Geschlecht (Skala)]],1)&amp;PM$4</f>
        <v>2</v>
      </c>
      <c r="PI41" s="96" t="str">
        <f t="shared" ca="1" si="93"/>
        <v>Tanzen_2[Resultat]</v>
      </c>
      <c r="PJ41" s="97" t="str" cm="1">
        <f t="array" aca="1" ref="PJ41" ca="1">IF(INDIRECT(PG$1)="","",IF(INDIRECT(PG$2)=0,0,IF(OR(INDIRECT(PG$1)=$A$2,INDIRECT(PG$1)=$A$3),$A$3,IFERROR(INDEX(INDIRECT(PI41),MATCH(INDIRECT(PG$3),INDIRECT(PI41),PI$25)),IFERROR(IF(PI$25=-1,MAX(INDIRECT(PI41)),IF(PI$25=1,MIN(INDIRECT(PI41)))),"")))))</f>
        <v/>
      </c>
      <c r="PL41" s="91" t="str">
        <f t="shared" ca="1" si="94"/>
        <v>Tanzen_2[Note]</v>
      </c>
      <c r="PM41" s="97" t="str" cm="1">
        <f t="array" aca="1" ref="PM41" ca="1">IFERROR(INDEX(INDIRECT(PL41),MATCH(INDIRECT(PG$5),INDIRECT(PI41),0)),IF(INDIRECT(PG$5)=0,1,""))</f>
        <v/>
      </c>
      <c r="PN41" s="97"/>
      <c r="PO41" s="307"/>
      <c r="PP41" s="96" t="str">
        <f>IFERROR(IFERROR(SUBSTITUTE(RopeSkippingResultat[[#This Row],[Eingabe]],".",",")*1,SUBSTITUTE(RopeSkippingResultat[[#This Row],[Eingabe]],",",".")*1),"")</f>
        <v/>
      </c>
      <c r="PQ41" s="96" t="e">
        <f>INT(RopeSkippingResultat[[#This Row],[Resultat]])=RopeSkippingResultat[[#This Row],[Resultat]]</f>
        <v>#VALUE!</v>
      </c>
      <c r="PR41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1" s="96"/>
      <c r="PT41" s="91" t="str" cm="1">
        <f t="array" aca="1" ref="PT41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1" s="96" t="str">
        <f ca="1">LEFT(Geschlecht[[#This Row],[Geschlecht (Skala)]],1)&amp;PZ$4</f>
        <v>2</v>
      </c>
      <c r="PV41" s="96" t="str">
        <f t="shared" ca="1" si="95"/>
        <v>RopeSkipping_2[Resultat]</v>
      </c>
      <c r="PW41" s="97" t="str" cm="1">
        <f t="array" aca="1" ref="PW41" ca="1">IF(INDIRECT(PT$1)="","",IF(INDIRECT(PT$2)=0,0,IF(OR(INDIRECT(PT$1)=$A$2,INDIRECT(PT$1)=$A$3),$A$3,IFERROR(INDEX(INDIRECT(PV41),MATCH(INDIRECT(PT$3),INDIRECT(PV41),PV$25)),IFERROR(IF(PV$25=-1,MAX(INDIRECT(PV41)),IF(PV$25=1,MIN(INDIRECT(PV41)))),"")))))</f>
        <v/>
      </c>
      <c r="PY41" s="91" t="str">
        <f t="shared" ca="1" si="96"/>
        <v>RopeSkipping_2[Note]</v>
      </c>
      <c r="PZ41" s="97" t="str" cm="1">
        <f t="array" aca="1" ref="PZ41" ca="1">IFERROR(INDEX(INDIRECT(PY41),MATCH(INDIRECT(PT$5),INDIRECT(PV41),0)),IF(INDIRECT(PT$5)=0,1,""))</f>
        <v/>
      </c>
      <c r="QA41" s="97"/>
      <c r="QB41" s="307"/>
      <c r="QC41" s="96" t="str">
        <f>IFERROR(IFERROR(SUBSTITUTE(AerobicResultat[[#This Row],[Eingabe]],".",",")*1,SUBSTITUTE(AerobicResultat[[#This Row],[Eingabe]],",",".")*1),"")</f>
        <v/>
      </c>
      <c r="QD41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1" s="96"/>
      <c r="QF41" s="91" t="str" cm="1">
        <f t="array" aca="1" ref="QF41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1" s="96" t="str">
        <f ca="1">LEFT(Geschlecht[[#This Row],[Geschlecht (Skala)]],1)&amp;QL$4</f>
        <v>2</v>
      </c>
      <c r="QH41" s="96" t="str">
        <f t="shared" ca="1" si="97"/>
        <v>Aerobic_2[Resultat]</v>
      </c>
      <c r="QI41" s="97" t="str" cm="1">
        <f t="array" aca="1" ref="QI41" ca="1">IF(INDIRECT(QF$1)="","",IF(INDIRECT(QF$2)=0,0,IF(OR(INDIRECT(QF$1)=$A$2,INDIRECT(QF$1)=$A$3),$A$3,IFERROR(INDEX(INDIRECT(QH41),MATCH(INDIRECT(QF$3),INDIRECT(QH41),QH$25)),IFERROR(IF(QH$25=-1,MAX(INDIRECT(QH41)),IF(QH$25=1,MIN(INDIRECT(QH41)))),"")))))</f>
        <v/>
      </c>
      <c r="QK41" s="91" t="str">
        <f t="shared" ca="1" si="98"/>
        <v>Aerobic_2[Note]</v>
      </c>
      <c r="QL41" s="97" t="str" cm="1">
        <f t="array" aca="1" ref="QL41" ca="1">IFERROR(INDEX(INDIRECT(QK41),MATCH(INDIRECT(QF$5),INDIRECT(QH41),0)),IF(INDIRECT(QF$5)=0,1,""))</f>
        <v/>
      </c>
      <c r="QM41" s="97"/>
      <c r="QN41" s="97" t="str" cm="1">
        <f t="array" aca="1" ref="QN41" ca="1">INDIRECT(QN$5)</f>
        <v/>
      </c>
      <c r="QO41" s="97" t="str" cm="1">
        <f t="array" aca="1" ref="QO41" ca="1">INDIRECT(QO$5)</f>
        <v/>
      </c>
      <c r="QP41" s="97" t="str" cm="1">
        <f t="array" aca="1" ref="QP41" ca="1">INDIRECT(QP$5)</f>
        <v/>
      </c>
      <c r="QQ41" s="97" t="str" cm="1">
        <f t="array" aca="1" ref="QQ41" ca="1">INDIRECT(QQ$5)</f>
        <v/>
      </c>
      <c r="QR41" s="97" t="str" cm="1">
        <f t="array" aca="1" ref="QR41" ca="1">INDIRECT(QR$5)</f>
        <v/>
      </c>
      <c r="QS41" s="97" t="str" cm="1">
        <f t="array" aca="1" ref="QS41" ca="1">INDIRECT(QS$5)</f>
        <v/>
      </c>
      <c r="QT41" s="97" t="str">
        <f t="shared" ca="1" si="99"/>
        <v>Darstellen und Tanzen nicht durchgeführt</v>
      </c>
      <c r="QU41" s="108">
        <f t="shared" ca="1" si="100"/>
        <v>0</v>
      </c>
      <c r="QV41" s="108">
        <f t="shared" ca="1" si="101"/>
        <v>0</v>
      </c>
      <c r="QW41" s="108" t="str">
        <f t="shared" ca="1" si="210"/>
        <v/>
      </c>
      <c r="QX41" s="97" t="str">
        <f t="shared" ca="1" si="211"/>
        <v>Darstellen und Tanzen nicht durchgeführt</v>
      </c>
      <c r="QY41" s="97" t="str">
        <f t="shared" ca="1" si="212"/>
        <v/>
      </c>
      <c r="QZ41" s="97" t="str" cm="1">
        <f t="array" aca="1" ref="QZ41" ca="1">IFERROR(IF(INDIRECT(INDEX(INDIRECT(QZ$5),MATCH(QX41,INDIRECT(QZ$4),0)))&lt;&gt;"",INDEX(INDIRECT(QZ$5),MATCH(QX41,INDIRECT(QZ$4),0)),INDEX(INDIRECT(QZ$6),MATCH(QX41,INDIRECT(QZ$4),0))),"")</f>
        <v/>
      </c>
      <c r="RA41" s="97" t="str">
        <f t="shared" ca="1" si="213"/>
        <v/>
      </c>
      <c r="RB41" s="97" t="str" cm="1">
        <f t="array" aca="1" ref="RB41" ca="1">IFERROR(INDIRECT(QZ41),IF(NOT(ISERROR(FIND(Stammdaten!$CC$3,QX41,1))),$A$2,""))</f>
        <v/>
      </c>
      <c r="RC41" s="97" t="str">
        <f ca="1">IF(RB41="","",IF(AND(QY41=Stammdaten!$BX$20,RA41="0",RB41=1),SUBSTITUTE(TEXT(RB41,RA41)&amp;" "&amp;LEFT(QY41,LEN(QY41)-1),".",","),SUBSTITUTE(TEXT(RB41,RA41)&amp;" "&amp;QY41,".",",")))</f>
        <v/>
      </c>
      <c r="RD41" s="97" t="str">
        <f t="shared" ca="1" si="102"/>
        <v/>
      </c>
      <c r="RE41" s="97" t="str" cm="1">
        <f t="array" aca="1" ref="RE41" ca="1">IFERROR(LEFT(INDIRECT(RD41),1)&amp;"]","")</f>
        <v/>
      </c>
      <c r="RF41" s="97" t="str">
        <f t="shared" ca="1" si="103"/>
        <v/>
      </c>
      <c r="RG41" s="97" t="str">
        <f ca="1">IFERROR(LEFT(QX41,FIND(Stammdaten!$CA$4,QX41,1)-2),IFERROR(LEFT(QX41,FIND(Stammdaten!$CC$3,QX41,1)-2),QX41))</f>
        <v>Darstellen und Tanzen</v>
      </c>
      <c r="RH41" s="97" t="str">
        <f ca="1">IF(NOT(ISERROR(FIND(Stammdaten!$CA$4,QX41,1))),Stammdaten!$CA$4,IF(RI41&lt;&gt;Stammdaten!$CC$3,RF41,""))</f>
        <v>nicht durchgeführt</v>
      </c>
      <c r="RI41" s="91" t="str">
        <f ca="1">IF(RB41=$A$2,Stammdaten!$CC$3,RC41)</f>
        <v/>
      </c>
      <c r="RJ41" s="108">
        <f t="shared" ca="1" si="214"/>
        <v>6</v>
      </c>
      <c r="RK41" s="97"/>
      <c r="RL41" s="308" t="str">
        <f ca="1">IF(QT41=$QT$4,Stammdaten!$BZ$1,IF(QT41=$QT$5,$A$3,QT41))</f>
        <v>Zu wenige Werte</v>
      </c>
      <c r="RM41" s="97"/>
      <c r="RN41" s="307"/>
      <c r="RO41" s="96" t="str">
        <f>IFERROR(IFERROR(SUBSTITUTE(BasketballResultat[[#This Row],[Eingabe]],".",",")*1,SUBSTITUTE(BasketballResultat[[#This Row],[Eingabe]],",",".")*1),"")</f>
        <v/>
      </c>
      <c r="RP41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1" s="96"/>
      <c r="RR41" s="91" t="str" cm="1">
        <f t="array" aca="1" ref="RR41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1" s="96" t="str">
        <f ca="1">LEFT(Geschlecht[[#This Row],[Geschlecht (Skala)]],1)&amp;RX$4</f>
        <v>2</v>
      </c>
      <c r="RT41" s="96" t="str">
        <f t="shared" ca="1" si="104"/>
        <v>Basketball_2[Resultat]</v>
      </c>
      <c r="RU41" s="97" t="str" cm="1">
        <f t="array" aca="1" ref="RU41" ca="1">IF(INDIRECT(RR$1)="","",IF(INDIRECT(RR$2)=0,0,IF(OR(INDIRECT(RR$1)=$A$2,INDIRECT(RR$1)=$A$3),$A$3,IFERROR(INDEX(INDIRECT(RT41),MATCH(INDIRECT(RR$3),INDIRECT(RT41),RT$25)),IFERROR(IF(RT$25=-1,MAX(INDIRECT(RT41)),IF(RT$25=1,MIN(INDIRECT(RT41)))),"")))))</f>
        <v/>
      </c>
      <c r="RW41" s="91" t="str">
        <f t="shared" ca="1" si="105"/>
        <v>Basketball_2[Note]</v>
      </c>
      <c r="RX41" s="97" t="str" cm="1">
        <f t="array" aca="1" ref="RX41" ca="1">IFERROR(INDEX(INDIRECT(RW41),MATCH(INDIRECT(RR$5),INDIRECT(RT41),0)),IF(INDIRECT(RR$5)=0,1,""))</f>
        <v/>
      </c>
      <c r="RY41" s="97"/>
      <c r="RZ41" s="307"/>
      <c r="SA41" s="96" t="str">
        <f>IFERROR(IFERROR(SUBSTITUTE(FussballResultat[[#This Row],[Eingabe]],".",",")*1,SUBSTITUTE(FussballResultat[[#This Row],[Eingabe]],",",".")*1),"")</f>
        <v/>
      </c>
      <c r="SB41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1" s="96"/>
      <c r="SD41" s="316" t="str" cm="1">
        <f t="array" aca="1" ref="SD41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1" s="96" t="str">
        <f ca="1">LEFT(Geschlecht[[#This Row],[Geschlecht (Skala)]],1)&amp;SJ$4</f>
        <v>2</v>
      </c>
      <c r="SF41" s="96" t="str">
        <f t="shared" ca="1" si="106"/>
        <v>Fussball_2[Resultat]</v>
      </c>
      <c r="SG41" s="97" t="str" cm="1">
        <f t="array" aca="1" ref="SG41" ca="1">IF(INDIRECT(SD$1)="","",IF(INDIRECT(SD$2)=0,0,IF(OR(INDIRECT(SD$1)=$A$2,INDIRECT(SD$1)=$A$3),$A$3,IFERROR(INDEX(INDIRECT(SF41),MATCH(INDIRECT(SD$3),INDIRECT(SF41),SF$25)),IFERROR(IF(SF$25=-1,MAX(INDIRECT(SF41)),IF(SF$25=1,MIN(INDIRECT(SF41)))),"")))))</f>
        <v/>
      </c>
      <c r="SI41" s="91" t="str">
        <f t="shared" ca="1" si="107"/>
        <v>Fussball_2[Note]</v>
      </c>
      <c r="SJ41" s="97" t="str" cm="1">
        <f t="array" aca="1" ref="SJ41" ca="1">IFERROR(INDEX(INDIRECT(SI41),MATCH(INDIRECT(SD$5),INDIRECT(SF41),0)),IF(INDIRECT(SD$5)=0,1,""))</f>
        <v/>
      </c>
      <c r="SK41" s="97"/>
      <c r="SL41" s="307"/>
      <c r="SM41" s="96" t="str">
        <f>IFERROR(IFERROR(SUBSTITUTE(HandballResultat[[#This Row],[Eingabe]],".",",")*1,SUBSTITUTE(HandballResultat[[#This Row],[Eingabe]],",",".")*1),"")</f>
        <v/>
      </c>
      <c r="SN41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1" s="96"/>
      <c r="SP41" s="91" t="str" cm="1">
        <f t="array" aca="1" ref="SP41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1" s="96" t="str">
        <f ca="1">LEFT(Geschlecht[[#This Row],[Geschlecht (Skala)]],1)&amp;SV$4</f>
        <v>2</v>
      </c>
      <c r="SR41" s="96" t="str">
        <f t="shared" ca="1" si="108"/>
        <v>Handball_2[Resultat]</v>
      </c>
      <c r="SS41" s="97" t="str" cm="1">
        <f t="array" aca="1" ref="SS41" ca="1">IF(INDIRECT(SP$1)="","",IF(INDIRECT(SP$2)=0,0,IF(OR(INDIRECT(SP$1)=$A$2,INDIRECT(SP$1)=$A$3),$A$3,IFERROR(INDEX(INDIRECT(SR41),MATCH(INDIRECT(SP$3),INDIRECT(SR41),SR$25)),IFERROR(IF(SR$25=-1,MAX(INDIRECT(SR41)),IF(SR$25=1,MIN(INDIRECT(SR41)))),"")))))</f>
        <v/>
      </c>
      <c r="SU41" s="91" t="str">
        <f t="shared" ca="1" si="109"/>
        <v>Handball_2[Note]</v>
      </c>
      <c r="SV41" s="97" t="str" cm="1">
        <f t="array" aca="1" ref="SV41" ca="1">IFERROR(INDEX(INDIRECT(SU41),MATCH(INDIRECT(SP$5),INDIRECT(SR41),0)),IF(INDIRECT(SP$5)=0,1,""))</f>
        <v/>
      </c>
      <c r="SW41" s="97"/>
      <c r="SX41" s="307"/>
      <c r="SY41" s="96" t="str">
        <f>IFERROR(IFERROR(SUBSTITUTE(UnihockeyResultat[[#This Row],[Eingabe]],".",",")*1,SUBSTITUTE(UnihockeyResultat[[#This Row],[Eingabe]],",",".")*1),"")</f>
        <v/>
      </c>
      <c r="SZ41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1" s="96"/>
      <c r="TB41" s="91" t="str" cm="1">
        <f t="array" aca="1" ref="TB41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1" s="96" t="str">
        <f ca="1">LEFT(Geschlecht[[#This Row],[Geschlecht (Skala)]],1)&amp;TH$4</f>
        <v>2</v>
      </c>
      <c r="TD41" s="96" t="str">
        <f t="shared" ca="1" si="110"/>
        <v>Unihockey_2[Resultat]</v>
      </c>
      <c r="TE41" s="97" t="str" cm="1">
        <f t="array" aca="1" ref="TE41" ca="1">IF(INDIRECT(TB$1)="","",IF(INDIRECT(TB$2)=0,0,IF(OR(INDIRECT(TB$1)=$A$2,INDIRECT(TB$1)=$A$3),$A$3,IFERROR(INDEX(INDIRECT(TD41),MATCH(INDIRECT(TB$3),INDIRECT(TD41),TD$25)),IFERROR(IF(TD$25=-1,MAX(INDIRECT(TD41)),IF(TD$25=1,MIN(INDIRECT(TD41)))),"")))))</f>
        <v/>
      </c>
      <c r="TG41" s="91" t="str">
        <f t="shared" ca="1" si="111"/>
        <v>Unihockey_2[Note]</v>
      </c>
      <c r="TH41" s="97" t="str" cm="1">
        <f t="array" aca="1" ref="TH41" ca="1">IFERROR(INDEX(INDIRECT(TG41),MATCH(INDIRECT(TB$5),INDIRECT(TD41),0)),IF(INDIRECT(TB$5)=0,1,""))</f>
        <v/>
      </c>
      <c r="TI41" s="97"/>
      <c r="TJ41" s="307"/>
      <c r="TK41" s="96" t="str">
        <f>IFERROR(IFERROR(SUBSTITUTE(VolleyballResultat[[#This Row],[Eingabe]],".",",")*1,SUBSTITUTE(VolleyballResultat[[#This Row],[Eingabe]],",",".")*1),"")</f>
        <v/>
      </c>
      <c r="TL41" s="96" t="e">
        <f>INT(VolleyballResultat[[#This Row],[Resultat]])=VolleyballResultat[[#This Row],[Resultat]]</f>
        <v>#VALUE!</v>
      </c>
      <c r="TM41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1" s="96"/>
      <c r="TO41" s="91" t="str" cm="1">
        <f t="array" aca="1" ref="TO41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1" s="96" t="str">
        <f ca="1">LEFT(Geschlecht[[#This Row],[Geschlecht (Skala)]],1)&amp;TU$4</f>
        <v>2</v>
      </c>
      <c r="TQ41" s="96" t="str">
        <f t="shared" ca="1" si="112"/>
        <v>Volleyball_2[Resultat]</v>
      </c>
      <c r="TR41" s="97" t="str" cm="1">
        <f t="array" aca="1" ref="TR41" ca="1">IF(INDIRECT(TO$1)="","",IF(INDIRECT(TO$2)=0,0,IF(OR(INDIRECT(TO$1)=$A$2,INDIRECT(TO$1)=$A$3),$A$3,IFERROR(INDEX(INDIRECT(TQ41),MATCH(INDIRECT(TO$3),INDIRECT(TQ41),TQ$25)),IFERROR(IF(TQ$25=-1,MAX(INDIRECT(TQ41)),IF(TQ$25=1,MIN(INDIRECT(TQ41)))),"")))))</f>
        <v/>
      </c>
      <c r="TT41" s="91" t="str">
        <f t="shared" ca="1" si="113"/>
        <v>Volleyball_2[Note]</v>
      </c>
      <c r="TU41" s="97" t="str" cm="1">
        <f t="array" aca="1" ref="TU41" ca="1">IFERROR(INDEX(INDIRECT(TT41),MATCH(INDIRECT(TO$5),INDIRECT(TQ41),0)),IF(INDIRECT(TO$5)=0,1,""))</f>
        <v/>
      </c>
      <c r="TV41" s="97"/>
      <c r="TW41" s="309" t="str" cm="1">
        <f t="array" aca="1" ref="TW41" ca="1">IF(AND(ISNUMBER(INDIRECT(TW$3)),INDIRECT(TW$3)&gt;1),INDIRECT(TW$3),"")</f>
        <v/>
      </c>
      <c r="TX41" s="309" t="str" cm="1">
        <f t="array" aca="1" ref="TX41" ca="1">IF(AND(ISNUMBER(INDIRECT(TX$3)),INDIRECT(TX$3)&gt;1),INDIRECT(TX$3),"")</f>
        <v/>
      </c>
      <c r="TY41" s="309" t="str" cm="1">
        <f t="array" aca="1" ref="TY41" ca="1">IF(AND(ISNUMBER(INDIRECT(TY$3)),INDIRECT(TY$3)&gt;1),INDIRECT(TY$3),"")</f>
        <v/>
      </c>
      <c r="TZ41" s="309" t="str" cm="1">
        <f t="array" aca="1" ref="TZ41" ca="1">IF(AND(ISNUMBER(INDIRECT(TZ$3)),INDIRECT(TZ$3)&gt;1),INDIRECT(TZ$3),"")</f>
        <v/>
      </c>
      <c r="UA41" s="309" t="str" cm="1">
        <f t="array" aca="1" ref="UA41" ca="1">IF(AND(ISNUMBER(INDIRECT(UA$3)),INDIRECT(UA$3)&gt;1),INDIRECT(UA$3),"")</f>
        <v/>
      </c>
      <c r="UB41" s="309" t="str">
        <f t="shared" ca="1" si="114"/>
        <v>x</v>
      </c>
      <c r="UC41" s="309" t="str">
        <f t="shared" ca="1" si="115"/>
        <v>y</v>
      </c>
      <c r="UD41" s="309" t="str">
        <f t="shared" ca="1" si="116"/>
        <v>z</v>
      </c>
      <c r="UE41" s="309" t="str">
        <f t="shared" ca="1" si="215"/>
        <v>a</v>
      </c>
      <c r="UF41" s="309" t="str" cm="1">
        <f t="array" aca="1" ref="UF41" ca="1">IF(UE41="a","",INDEX($TW$23:$UA$23,,MATCH(UE41,$TW41:$UA41,0)))</f>
        <v/>
      </c>
      <c r="UG41" s="309" t="str" cm="1">
        <f t="array" aca="1" ref="UG41" ca="1">IF(OR(UF41="",UF41&gt;=$UA$23),"",INDEX(INDIRECT(ADDRESS(ROW($TW$23),UF41+1)):$UA$23,,MATCH(UE41,INDIRECT(ADDRESS(ROW(),UF41+1)):$UA41,0)))</f>
        <v/>
      </c>
      <c r="UH41" s="309" t="str" cm="1">
        <f t="array" aca="1" ref="UH41" ca="1">IF(OR(UG41="",UG41&gt;=$UA$23),"",INDEX(INDIRECT(ADDRESS(ROW($TW$23),UG41+1)):$UA$23,,MATCH(UE41,INDIRECT(ADDRESS(ROW(),UG41+1)):$UA41,0)))</f>
        <v/>
      </c>
      <c r="UI41" s="309" t="str">
        <f t="shared" ca="1" si="216"/>
        <v>c</v>
      </c>
      <c r="UJ41" s="309" t="str" cm="1">
        <f t="array" aca="1" ref="UJ41" ca="1">IF(OR(UI41="b",UI41="c"),"",INDEX($TW$23:$UA$23,,MATCH(UI41,$TW41:$UA41,0)))</f>
        <v/>
      </c>
      <c r="UK41" s="309" t="str" cm="1">
        <f t="array" aca="1" ref="UK41" ca="1">IF(OR(UJ41="",UJ41&gt;=$UA$23),"",INDEX(INDIRECT(ADDRESS(ROW($TW$23),UJ41+1)):$UA$23,,MATCH(UI41,INDIRECT(ADDRESS(ROW(),UJ41+1)):$UA41,0)))</f>
        <v/>
      </c>
      <c r="UL41" s="309" t="str">
        <f t="shared" ca="1" si="117"/>
        <v/>
      </c>
      <c r="UM41" s="309" t="str">
        <f t="shared" ca="1" si="217"/>
        <v>e</v>
      </c>
      <c r="UN41" s="309" t="str">
        <f t="shared" ca="1" si="118"/>
        <v/>
      </c>
      <c r="UO41" s="309" t="str" cm="1">
        <f t="array" aca="1" ref="UO41" ca="1">IF(OR(UM41="d",UM41="e"),"",INDEX($TW$23:$UA$23,,MATCH(UM41,$TW41:$UA41,0)))</f>
        <v/>
      </c>
      <c r="UP41" s="309" t="str" cm="1">
        <f t="array" aca="1" ref="UP41" ca="1">IF(OR(UO41="",UO41&gt;=$UA$23),"",INDEX(INDIRECT(ADDRESS(ROW($TW$23),UO41+1)):$UA$23,,MATCH(UM41,INDIRECT(ADDRESS(ROW(),UO41+1)):$UA41,0)))</f>
        <v/>
      </c>
      <c r="UQ41" s="309" t="str" cm="1">
        <f t="array" aca="1" ref="UQ41" ca="1">IFERROR(IF(ISNUMBER(UF41),UF41,IF(ISNUMBER(UJ41),UJ41,IF(ISNUMBER(UN41),UN41,INDEX($TW$23:$UA$23,,MATCH(UB41,$TW41:$UA41,0))))),"x1")</f>
        <v>x1</v>
      </c>
      <c r="UR41" s="309" t="str" cm="1">
        <f t="array" aca="1" ref="UR41" ca="1">IFERROR(IF(ISNUMBER(UG41),UG41,IF(ISNUMBER(UK41),UK41,IF(ISNUMBER(UO41),UO41,INDEX($TW$23:$UA$23,,MATCH(UC41,$TW41:$UA41,0))))),IF(UQ41="x1","x2","x1"))</f>
        <v>x2</v>
      </c>
      <c r="US41" s="309" t="str" cm="1">
        <f t="array" aca="1" ref="US41" ca="1">IFERROR(IF(ISNUMBER(UH41),UH41,IF(ISNUMBER(UL41),UL41,IF(ISNUMBER(UP41),UP41,INDEX($TW$23:$UA$23,,MATCH(UD41,$TW41:$UA41,0))))),IF(UR41="x1","x2",IF(UR41="x2","x3","x1")))</f>
        <v>x3</v>
      </c>
      <c r="UT41" s="97" t="str" cm="1">
        <f t="array" aca="1" ref="UT41" ca="1">IF(OR(INDIRECT(UT$3)=$A$2,INDIRECT(UT$3)=$A$3),COLUMN(),"")</f>
        <v/>
      </c>
      <c r="UU41" s="97" t="str" cm="1">
        <f t="array" aca="1" ref="UU41" ca="1">IF(OR(INDIRECT(UU$3)=$A$2,INDIRECT(UU$3)=$A$3),COLUMN(),"")</f>
        <v/>
      </c>
      <c r="UV41" s="97" t="str" cm="1">
        <f t="array" aca="1" ref="UV41" ca="1">IF(OR(INDIRECT(UV$3)=$A$2,INDIRECT(UV$3)=$A$3),COLUMN(),"")</f>
        <v/>
      </c>
      <c r="UW41" s="97" t="str" cm="1">
        <f t="array" aca="1" ref="UW41" ca="1">IF(OR(INDIRECT(UW$3)=$A$2,INDIRECT(UW$3)=$A$3),COLUMN(),"")</f>
        <v/>
      </c>
      <c r="UX41" s="97" t="str" cm="1">
        <f t="array" aca="1" ref="UX41" ca="1">IF(OR(INDIRECT(UX$3)=$A$2,INDIRECT(UX$3)=$A$3),COLUMN(),"")</f>
        <v/>
      </c>
      <c r="UY41" s="97" t="str" cm="1">
        <f t="array" aca="1" ref="UY41" ca="1">IF(AND(ISNUMBER(INDIRECT(UY$3)),INDIRECT(UY$3)=0),COLUMN(),"")</f>
        <v/>
      </c>
      <c r="UZ41" s="97" t="str" cm="1">
        <f t="array" aca="1" ref="UZ41" ca="1">IF(AND(ISNUMBER(INDIRECT(UZ$3)),INDIRECT(UZ$3)=0),COLUMN(),"")</f>
        <v/>
      </c>
      <c r="VA41" s="97" t="str" cm="1">
        <f t="array" aca="1" ref="VA41" ca="1">IF(AND(ISNUMBER(INDIRECT(VA$3)),INDIRECT(VA$3)=0),COLUMN(),"")</f>
        <v/>
      </c>
      <c r="VB41" s="97" t="str" cm="1">
        <f t="array" aca="1" ref="VB41" ca="1">IF(AND(ISNUMBER(INDIRECT(VB$3)),INDIRECT(VB$3)=0),COLUMN(),"")</f>
        <v/>
      </c>
      <c r="VC41" s="97" t="str" cm="1">
        <f t="array" aca="1" ref="VC41" ca="1">IF(AND(ISNUMBER(INDIRECT(VC$3)),INDIRECT(VC$3)=0),COLUMN(),"")</f>
        <v/>
      </c>
      <c r="VD41" s="97" t="str">
        <f t="shared" ca="1" si="218"/>
        <v>x1</v>
      </c>
      <c r="VE41" s="97" t="str">
        <f t="shared" ca="1" si="219"/>
        <v>x2</v>
      </c>
      <c r="VF41" s="97" t="str">
        <f t="shared" ca="1" si="220"/>
        <v>x3</v>
      </c>
      <c r="VG41" s="97" t="str">
        <f ca="1">IFERROR(IF(ISNUMBER(VD41),VD41,SMALL($UY41:$VC41,VALUE(RIGHT(VD41,1)))),Stammdaten!$CB$17)</f>
        <v>Erste Spielsportart nicht durchgeführt</v>
      </c>
      <c r="VH41" s="97" t="str">
        <f ca="1">IFERROR(IF(ISNUMBER(VE41),VE41,SMALL($UY41:$VC41,VALUE(RIGHT(VE41,1)))),Stammdaten!$CB$18)</f>
        <v>Zweite Spielsportart nicht durchgeführt</v>
      </c>
      <c r="VI41" s="97" t="str">
        <f ca="1">IFERROR(IF(ISNUMBER(VF41),VF41,SMALL($UY41:$VC41,VALUE(RIGHT(VF41,1)))),Stammdaten!$CB$19)</f>
        <v>Dritte Spielsportart nicht durchgeführt</v>
      </c>
      <c r="VJ41" s="91" t="str" cm="1">
        <f t="array" aca="1" ref="VJ41" ca="1">IFERROR(INDIRECT(ADDRESS(ROW($TW$5),VG41)),VG41)</f>
        <v>Erste Spielsportart nicht durchgeführt</v>
      </c>
      <c r="VK41" s="97" t="str">
        <f t="shared" ca="1" si="221"/>
        <v/>
      </c>
      <c r="VL41" s="97" t="str" cm="1">
        <f t="array" aca="1" ref="VL41" ca="1">IFERROR(IF(INDIRECT(INDEX(INDIRECT(VL$5),MATCH(VJ41,INDIRECT(VL$4),0)))&lt;&gt;"",INDEX(INDIRECT(VL$5),MATCH(VJ41,INDIRECT(VL$4),0)),INDEX(INDIRECT(VL$6),MATCH(VJ41,INDIRECT(VL$4),0))),"")</f>
        <v/>
      </c>
      <c r="VM41" s="97" t="str">
        <f t="shared" ca="1" si="222"/>
        <v/>
      </c>
      <c r="VN41" s="97" t="str" cm="1">
        <f t="array" aca="1" ref="VN41" ca="1">IFERROR(INDIRECT(VL41),"")</f>
        <v/>
      </c>
      <c r="VO41" s="97" t="str">
        <f ca="1">IF(VN41="","",IF(AND(VK41=Stammdaten!$BX$20,VM41="0",VN41=1),SUBSTITUTE(TEXT(VN41,VM41)&amp;" "&amp;LEFT(VK41,LEN(VK41)-1),".",","),SUBSTITUTE(TEXT(VN41,VM41)&amp;" "&amp;VK41,".",",")))</f>
        <v/>
      </c>
      <c r="VP41" s="97" t="str">
        <f t="shared" ca="1" si="119"/>
        <v/>
      </c>
      <c r="VQ41" s="97" t="str" cm="1">
        <f t="array" aca="1" ref="VQ41" ca="1">IFERROR(LEFT(INDIRECT(VP41),1)&amp;"]","")</f>
        <v/>
      </c>
      <c r="VR41" s="97" t="str">
        <f t="shared" ca="1" si="120"/>
        <v/>
      </c>
      <c r="VS41" s="97" t="str">
        <f ca="1">IFERROR(LEFT(VJ41,FIND(Stammdaten!$CA$4,VJ41,1)-2),IFERROR(LEFT(VJ41,FIND(Stammdaten!$CC$3,VJ41,1)-2),VJ41))</f>
        <v>Erste Spielsportart</v>
      </c>
      <c r="VT41" s="97" t="str">
        <f ca="1">IF(NOT(ISERROR(FIND(Stammdaten!$CA$4,VJ41,1))),Stammdaten!$CA$4,IF(VU41&lt;&gt;Stammdaten!$CC$3,VR41,""))</f>
        <v>nicht durchgeführt</v>
      </c>
      <c r="VU41" s="91" t="str">
        <f ca="1">IF(VN41=$A$2,Stammdaten!$CC$3,VO41)</f>
        <v/>
      </c>
      <c r="VV41" s="91" t="str" cm="1">
        <f t="array" aca="1" ref="VV41" ca="1">IFERROR(INDIRECT(ADDRESS(ROW($TW$5),VH41)),VH41)</f>
        <v>Zweite Spielsportart nicht durchgeführt</v>
      </c>
      <c r="VW41" s="97" t="str">
        <f t="shared" ca="1" si="223"/>
        <v/>
      </c>
      <c r="VX41" s="97" t="str" cm="1">
        <f t="array" aca="1" ref="VX41" ca="1">IFERROR(IF(INDIRECT(INDEX(INDIRECT(VX$5),MATCH(VV41,INDIRECT(VX$4),0)))&lt;&gt;"",INDEX(INDIRECT(VX$5),MATCH(VV41,INDIRECT(VX$4),0)),INDEX(INDIRECT(VX$6),MATCH(VV41,INDIRECT(VX$4),0))),"")</f>
        <v/>
      </c>
      <c r="VY41" s="97" t="str">
        <f t="shared" ca="1" si="224"/>
        <v/>
      </c>
      <c r="VZ41" s="97" t="str" cm="1">
        <f t="array" aca="1" ref="VZ41" ca="1">IFERROR(INDIRECT(VX41),"")</f>
        <v/>
      </c>
      <c r="WA41" s="97" t="str">
        <f ca="1">IF(VZ41="","",IF(AND(VW41=Stammdaten!$BX$20,VY41="0",VZ41=1),SUBSTITUTE(TEXT(VZ41,VY41)&amp;" "&amp;LEFT(VW41,LEN(VW41)-1),".",","),SUBSTITUTE(TEXT(VZ41,VY41)&amp;" "&amp;VW41,".",",")))</f>
        <v/>
      </c>
      <c r="WB41" s="97" t="str">
        <f t="shared" ca="1" si="121"/>
        <v/>
      </c>
      <c r="WC41" s="97" t="str" cm="1">
        <f t="array" aca="1" ref="WC41" ca="1">IFERROR(LEFT(INDIRECT(WB41),1)&amp;"]","")</f>
        <v/>
      </c>
      <c r="WD41" s="97" t="str">
        <f t="shared" ca="1" si="122"/>
        <v/>
      </c>
      <c r="WE41" s="97" t="str">
        <f ca="1">IFERROR(LEFT(VV41,FIND(Stammdaten!$CA$4,VV41,1)-2),IFERROR(LEFT(VV41,FIND(Stammdaten!$CC$3,VV41,1)-2),VV41))</f>
        <v>Zweite Spielsportart</v>
      </c>
      <c r="WF41" s="97" t="str">
        <f ca="1">IF(NOT(ISERROR(FIND(Stammdaten!$CA$4,VV41,1))),Stammdaten!$CA$4,IF(WG41&lt;&gt;Stammdaten!$CC$3,WD41,""))</f>
        <v>nicht durchgeführt</v>
      </c>
      <c r="WG41" s="91" t="str">
        <f ca="1">IF(VZ41=$A$2,Stammdaten!$CC$3,WA41)</f>
        <v/>
      </c>
      <c r="WH41" s="91" t="str" cm="1">
        <f t="array" aca="1" ref="WH41" ca="1">IFERROR(INDIRECT(ADDRESS(ROW($TW$5),VI41)),VI41)</f>
        <v>Dritte Spielsportart nicht durchgeführt</v>
      </c>
      <c r="WI41" s="97" t="str">
        <f t="shared" ca="1" si="225"/>
        <v/>
      </c>
      <c r="WJ41" s="97" t="str" cm="1">
        <f t="array" aca="1" ref="WJ41" ca="1">IFERROR(IF(INDIRECT(INDEX(INDIRECT(WJ$5),MATCH(WH41,INDIRECT(WJ$4),0)))&lt;&gt;"",INDEX(INDIRECT(WJ$5),MATCH(WH41,INDIRECT(WJ$4),0)),INDEX(INDIRECT(WJ$6),MATCH(WH41,INDIRECT(WJ$4),0))),"")</f>
        <v/>
      </c>
      <c r="WK41" s="97" t="str">
        <f t="shared" ca="1" si="226"/>
        <v/>
      </c>
      <c r="WL41" s="97" t="str" cm="1">
        <f t="array" aca="1" ref="WL41" ca="1">IFERROR(INDIRECT(WJ41),"")</f>
        <v/>
      </c>
      <c r="WM41" s="97" t="str">
        <f ca="1">IF(WL41="","",IF(AND(WI41=Stammdaten!$BX$20,WK41="0",WL41=1),SUBSTITUTE(TEXT(WL41,WK41)&amp;" "&amp;LEFT(WI41,LEN(WI41)-1),".",","),SUBSTITUTE(TEXT(WL41,WK41)&amp;" "&amp;WI41,".",",")))</f>
        <v/>
      </c>
      <c r="WN41" s="97" t="str">
        <f t="shared" ca="1" si="123"/>
        <v/>
      </c>
      <c r="WO41" s="97" t="str" cm="1">
        <f t="array" aca="1" ref="WO41" ca="1">IFERROR(LEFT(INDIRECT(WN41),1)&amp;"]","")</f>
        <v/>
      </c>
      <c r="WP41" s="97" t="str">
        <f t="shared" ca="1" si="124"/>
        <v/>
      </c>
      <c r="WQ41" s="97" t="str">
        <f ca="1">IFERROR(LEFT(WH41,FIND(Stammdaten!$CA$4,WH41,1)-2),IFERROR(LEFT(WH41,FIND(Stammdaten!$CC$3,WH41,1)-2),WH41))</f>
        <v>Dritte Spielsportart</v>
      </c>
      <c r="WR41" s="97" t="str">
        <f ca="1">IF(NOT(ISERROR(FIND(Stammdaten!$CA$4,WH41,1))),Stammdaten!$CA$4,IF(WS41&lt;&gt;Stammdaten!$CC$3,WP41,""))</f>
        <v>nicht durchgeführt</v>
      </c>
      <c r="WS41" s="91" t="str">
        <f ca="1">IF(WL41=$A$2,Stammdaten!$CC$3,WM41)</f>
        <v/>
      </c>
      <c r="WT41" s="97" t="str" cm="1">
        <f t="array" aca="1" ref="WT41" ca="1">INDIRECT(WT$5)</f>
        <v/>
      </c>
      <c r="WU41" s="97" t="str" cm="1">
        <f t="array" aca="1" ref="WU41" ca="1">INDIRECT(WU$5)</f>
        <v/>
      </c>
      <c r="WV41" s="97" t="str" cm="1">
        <f t="array" aca="1" ref="WV41" ca="1">INDIRECT(WV$5)</f>
        <v/>
      </c>
      <c r="WW41" s="97" t="str" cm="1">
        <f t="array" aca="1" ref="WW41" ca="1">INDIRECT(WW$5)</f>
        <v/>
      </c>
      <c r="WX41" s="97" t="str" cm="1">
        <f t="array" aca="1" ref="WX41" ca="1">INDIRECT(WX$5)</f>
        <v/>
      </c>
      <c r="WY41" s="97" cm="1">
        <f t="array" aca="1" ref="WY41" ca="1">IF(INDIRECT(WY$5)&lt;&gt;"",INDIRECT(WY$5),0)</f>
        <v>0</v>
      </c>
      <c r="WZ41" s="97" cm="1">
        <f t="array" aca="1" ref="WZ41" ca="1">IF(INDIRECT(WZ$5)&lt;&gt;"",INDIRECT(WZ$5),0)</f>
        <v>0</v>
      </c>
      <c r="XA41" s="97" cm="1">
        <f t="array" aca="1" ref="XA41" ca="1">IF(INDIRECT(XA$5)&lt;&gt;"",INDIRECT(XA$5),0)</f>
        <v>0</v>
      </c>
      <c r="XB41" s="97" cm="1">
        <f t="array" aca="1" ref="XB41" ca="1">IF(INDIRECT(XB$5)&lt;&gt;"",INDIRECT(XB$5),0)</f>
        <v>0</v>
      </c>
      <c r="XC41" s="97" cm="1">
        <f t="array" aca="1" ref="XC41" ca="1">IF(INDIRECT(XC$5)&lt;&gt;"",INDIRECT(XC$5),0)</f>
        <v>0</v>
      </c>
      <c r="XD41" s="97">
        <f t="shared" ca="1" si="125"/>
        <v>0</v>
      </c>
      <c r="XE41" s="97">
        <f t="shared" ca="1" si="125"/>
        <v>0</v>
      </c>
      <c r="XF41" s="97">
        <f t="shared" ca="1" si="125"/>
        <v>0</v>
      </c>
      <c r="XG41" s="97">
        <f t="shared" ca="1" si="227"/>
        <v>0</v>
      </c>
      <c r="XH41" s="108">
        <f t="shared" ca="1" si="228"/>
        <v>0</v>
      </c>
      <c r="XI41" s="108">
        <f t="shared" ca="1" si="126"/>
        <v>0</v>
      </c>
      <c r="XJ41" s="108" t="str">
        <f t="shared" ca="1" si="229"/>
        <v/>
      </c>
      <c r="XK41" s="97" t="str">
        <f ca="1">IF(XJ41="",Stammdaten!$BZ$1,IF(AND(XH41=0,XI41&gt;=XJ$25),$A$3,ROUND(SUM(XG41/XJ41)/XK$25,0)*XK$25))</f>
        <v>Zu wenige Werte</v>
      </c>
      <c r="XL41" s="108">
        <f t="shared" ca="1" si="230"/>
        <v>6</v>
      </c>
      <c r="XM41" s="97" t="str">
        <f t="shared" ca="1" si="231"/>
        <v/>
      </c>
      <c r="XN41" s="97" t="str">
        <f t="shared" ca="1" si="232"/>
        <v/>
      </c>
      <c r="XO41" s="97" t="str">
        <f t="shared" ca="1" si="233"/>
        <v/>
      </c>
      <c r="XP41" s="97" t="str">
        <f t="shared" ca="1" si="234"/>
        <v/>
      </c>
      <c r="XQ41" s="97" t="str">
        <f t="shared" ca="1" si="235"/>
        <v>g</v>
      </c>
      <c r="XR41" s="97" t="str">
        <f t="shared" ca="1" si="236"/>
        <v/>
      </c>
      <c r="XS41" s="97">
        <f t="shared" ca="1" si="237"/>
        <v>1</v>
      </c>
      <c r="XT41" s="97" t="str">
        <f ca="1">IF(OR(Geschlecht[[#This Row],[Geschlecht (Skala)]]="",NOT(ISNUMBER(XJ41))),"",XS41)</f>
        <v/>
      </c>
      <c r="XU41" s="97" t="str">
        <f t="shared" ca="1" si="238"/>
        <v/>
      </c>
      <c r="XV41" s="97"/>
      <c r="XW41" s="308" t="str">
        <f t="shared" ca="1" si="127"/>
        <v>Zu wenige Werte</v>
      </c>
      <c r="XX41" s="97"/>
      <c r="XY41" s="97" t="str">
        <f t="shared" ca="1" si="128"/>
        <v>Zu wenige Werte</v>
      </c>
      <c r="XZ41" s="97" t="str">
        <f t="shared" ca="1" si="129"/>
        <v>Zu wenige Werte</v>
      </c>
      <c r="YA41" s="97" t="str">
        <f t="shared" ca="1" si="130"/>
        <v>Zu wenige Werte</v>
      </c>
      <c r="YB41" s="97" t="str">
        <f t="shared" ca="1" si="131"/>
        <v>Zu wenige Werte</v>
      </c>
      <c r="YC41" s="97">
        <f t="shared" ca="1" si="239"/>
        <v>0</v>
      </c>
      <c r="YD41" s="108">
        <f t="shared" ca="1" si="240"/>
        <v>0</v>
      </c>
      <c r="YE41" s="108">
        <f t="shared" ca="1" si="241"/>
        <v>0</v>
      </c>
      <c r="YF41" s="108" t="str">
        <f t="shared" ca="1" si="242"/>
        <v/>
      </c>
      <c r="YG41" s="97" t="str">
        <f ca="1">IF(YF41="",Stammdaten!$BZ$1,IF(YE41=YF$25,$A$3,ROUND(SUM(YC41/YF41)/YG$25,0)*YG$25))</f>
        <v>Zu wenige Werte</v>
      </c>
      <c r="YH41" s="97" t="str">
        <f ca="1">IF(NOT(ISNUMBER(XY41)),"",IF(YH$11&lt;&gt;"2+",TEXT(XY41,YH$11)&amp;" / ",IF(RIGHT(XY41*100,2)="00",TEXT(XY41,"0"&amp;Stammdaten!$AZ$3&amp;"0")&amp;" / ",XY41&amp;" / ")))</f>
        <v/>
      </c>
      <c r="YI41" s="97" t="str">
        <f ca="1">IF(NOT(ISNUMBER(XZ41)),"",IF(YI$11&lt;&gt;"2+",TEXT(XZ41,YI$11)&amp;" / ",IF(RIGHT(XZ41*100,2)="00",TEXT(XZ41,"0"&amp;Stammdaten!$AZ$3&amp;"0")&amp;" / ",XZ41&amp;" / ")))</f>
        <v/>
      </c>
      <c r="YJ41" s="97" t="str">
        <f ca="1">IF(NOT(ISNUMBER(YA41)),"",IF(YJ$11&lt;&gt;"2+",TEXT(YA41,YJ$11)&amp;" / ",IF(RIGHT(YA41*100,2)="00",TEXT(YA41,"0"&amp;Stammdaten!$AZ$3&amp;"0")&amp;" / ",YA41&amp;" / ")))</f>
        <v/>
      </c>
      <c r="YK41" s="97" t="str">
        <f ca="1">IF(NOT(ISNUMBER(YB41)),"",IF(YK$11&lt;&gt;"2+",TEXT(YB41,YK$11)&amp;" / ",IF(RIGHT(YB41*100,2)="00",TEXT(YB41,"0"&amp;Stammdaten!$AZ$3&amp;"0")&amp;" / ",YB41&amp;" / ")))</f>
        <v/>
      </c>
      <c r="YL41" s="97" t="str">
        <f t="shared" ca="1" si="243"/>
        <v/>
      </c>
      <c r="YM41" s="97" t="str">
        <f>IF(Geschlecht[[#This Row],[Geschlecht (Skala)]]="","",IF(ISNUMBER(XY41),1,IF(XY41=$A$3,$A$2,"R")))</f>
        <v/>
      </c>
      <c r="YN41" s="97" t="str">
        <f>IF(Geschlecht[[#This Row],[Geschlecht (Skala)]]="","",IF(ISNUMBER(XZ41),1,IF(XZ41=$A$3,$A$2,"R")))</f>
        <v/>
      </c>
      <c r="YO41" s="97" t="str">
        <f>IF(Geschlecht[[#This Row],[Geschlecht (Skala)]]="","",IF(ISNUMBER(YA41),1,IF(YA41=$A$3,$A$2,"R")))</f>
        <v/>
      </c>
      <c r="YP41" s="97" t="str">
        <f>IF(Geschlecht[[#This Row],[Geschlecht (Skala)]]="","",IF(ISNUMBER(YB41),1,IF(YB41=$A$3,$A$2,"R")))</f>
        <v/>
      </c>
      <c r="YQ41" s="97" t="str">
        <f t="shared" si="244"/>
        <v>g</v>
      </c>
      <c r="YR41" s="97" t="str">
        <f t="shared" ca="1" si="245"/>
        <v/>
      </c>
      <c r="YS41" s="97">
        <f t="shared" ca="1" si="246"/>
        <v>1</v>
      </c>
      <c r="YT41" s="97" t="str">
        <f ca="1">IF(OR(Geschlecht[[#This Row],[Geschlecht (Skala)]]="",NOT(ISNUMBER(YG41))),"",YS41)</f>
        <v/>
      </c>
      <c r="YU41" s="97"/>
      <c r="YV41" s="311" t="str">
        <f t="shared" si="247"/>
        <v>D</v>
      </c>
      <c r="YW41" s="302"/>
      <c r="YX41" s="311" t="str">
        <f t="shared" si="248"/>
        <v>D</v>
      </c>
      <c r="YY41" s="302"/>
      <c r="YZ41" s="311" t="str">
        <f t="shared" si="249"/>
        <v>D</v>
      </c>
      <c r="ZA41" s="302"/>
      <c r="ZB41" s="311" t="str">
        <f t="shared" si="250"/>
        <v>D</v>
      </c>
      <c r="ZC41" s="97"/>
      <c r="ZD41" s="97" t="str">
        <f t="shared" ca="1" si="132"/>
        <v/>
      </c>
      <c r="ZE41" s="97"/>
      <c r="ZF41" s="308" t="str">
        <f t="shared" ca="1" si="251"/>
        <v>Zu wenige Werte</v>
      </c>
      <c r="ZH41" s="317" t="s">
        <v>134</v>
      </c>
      <c r="ZJ41" s="91" t="str" cm="1">
        <f t="array" ref="ZJ41">IF(OR(Geschlecht[[#This Row],[Geschlecht (Skala)]]="",ZH41="",ZH41=Stammdaten!$BZ$5),"",REPLACE(INDEX(StdDisziplinen[TabÜberschriftNote],ZH$3),FIND("X",INDEX(StdDisziplinen[TabÜberschriftNote],ZH$3),1),1,Geschlecht[[#This Row],[Geschlecht (Skala)]]))</f>
        <v/>
      </c>
      <c r="ZK41" s="314"/>
      <c r="ZM41" s="315"/>
      <c r="ZN41" s="97" t="str">
        <f>IFERROR(IFERROR(SUBSTITUTE(SchwimmenResultatMin[[#This Row],[Min]],".",",")*1,SUBSTITUTE(SchwimmenResultatMin[[#This Row],[Min]],",",".")*1),"")</f>
        <v/>
      </c>
      <c r="ZO41" s="91" t="e">
        <f>INT(SchwimmenResultatMin[[#This Row],[Resultat]])=SchwimmenResultatMin[[#This Row],[Resultat]]</f>
        <v>#VALUE!</v>
      </c>
      <c r="ZP41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1" s="315"/>
      <c r="ZS41" s="97" t="str">
        <f>IFERROR(IFERROR(SUBSTITUTE(SchwimmenResultatSek[[#This Row],[Sek]],".",",")*1,SUBSTITUTE(SchwimmenResultatSek[[#This Row],[Sek]],",",".")*1),"")</f>
        <v/>
      </c>
      <c r="ZT41" s="108" t="e">
        <f>INT(SchwimmenResultatSek[[#This Row],[Resultat]])=SchwimmenResultatSek[[#This Row],[Resultat]]</f>
        <v>#VALUE!</v>
      </c>
      <c r="ZU41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1" s="97" t="str" cm="1">
        <f t="array" aca="1" ref="ZW41" ca="1">IF(AND(INDIRECT(ZW$2)="",INDIRECT(ZX$2)=""),"",IFERROR((INDIRECT(ZW$2)*$ZW$25)+INDIRECT(ZX$2),""))</f>
        <v/>
      </c>
      <c r="ZX41" s="91" t="str">
        <f ca="1">REPLACE(ZW$4,ZX$6,1,Geschlecht[[#This Row],[Geschlecht (Skala)]])</f>
        <v>Schwimmen_[Resultat]</v>
      </c>
      <c r="ZY41" s="91" t="str">
        <f ca="1">IFERROR(REPLACE($ZX41,FIND(Stammdaten!$V$2,$ZX41,1),LEN(Stammdaten!$V$2),Stammdaten!$BZ$9),"")</f>
        <v>Schwimmen_[Anzeige]</v>
      </c>
      <c r="ZZ41" s="97" t="str" cm="1">
        <f t="array" aca="1" ref="ZZ41" ca="1">IF(INDIRECT(ZW$3)="","",IF(INDIRECT(ZW$3)=0,0,IF(OR(INDIRECT(ZW$1)=$A$2,INDIRECT(ZW$1)=$A$3),$A$3,IFERROR(INDEX(INDIRECT(ZX41),MATCH(INDIRECT(ZW$3),INDIRECT(ZX41),ZY$25)),IFERROR(IF(ZY$25=-1,MAX(INDIRECT(ZX41)),IF(ZY$25=1,MIN(INDIRECT(ZX41)))),"")))))</f>
        <v/>
      </c>
      <c r="AAA41" s="97" t="str" cm="1">
        <f t="array" aca="1" ref="AAA41" ca="1">IF(INDIRECT(ZX$5)=0,0,IF(OR(INDIRECT(ZW$1)=$A$2,INDIRECT(ZW$1)=$A$3),$A$3,IFERROR(INDEX(INDIRECT($ZY41),MATCH(INDIRECT(ZX$5),INDIRECT($ZX41),0)),"")))</f>
        <v/>
      </c>
      <c r="AAC41" s="91" t="str">
        <f ca="1">REPLACE(ZW$6,ZX$6,1,Geschlecht[[#This Row],[Geschlecht (Skala)]])</f>
        <v>Schwimmen_[Note]</v>
      </c>
      <c r="AAD41" s="97" t="str" cm="1">
        <f t="array" aca="1" ref="AAD41" ca="1">IFERROR(INDEX(INDIRECT(AAC41),MATCH(INDIRECT(ZX$5),INDIRECT(ZX41),0)),IF(INDIRECT(ZX$5)=0,1,""))</f>
        <v/>
      </c>
      <c r="AAE41" s="97"/>
      <c r="AAF41" s="96" t="str">
        <f>ZwölfMinLaufHalleResultat[[#This Row],[Resultat]]</f>
        <v/>
      </c>
      <c r="AAG41" s="96"/>
      <c r="AAH41" s="97" t="str">
        <f ca="1">ZwölfMinLaufHalleSkalawert[[#This Row],[Skala-Wert]]</f>
        <v/>
      </c>
      <c r="AAJ41" s="97" t="str">
        <f ca="1">ZwölfMinLaufHalleNote[[#This Row],[Note]]</f>
        <v/>
      </c>
      <c r="AAK41" s="97"/>
      <c r="AAL41" s="96" t="str">
        <f>ZwölfMinLaufimFreienResultat[[#This Row],[Resultat]]</f>
        <v/>
      </c>
      <c r="AAM41" s="96"/>
      <c r="AAN41" s="97" t="str">
        <f ca="1">ZwölfMinLaufimFreienSkalawert[[#This Row],[Skala-Wert]]</f>
        <v/>
      </c>
      <c r="AAP41" s="97" t="str">
        <f ca="1">ZwölfMinLaufimFreienNote[[#This Row],[Note]]</f>
        <v/>
      </c>
      <c r="AAQ41" s="97"/>
      <c r="AAR41" s="307"/>
      <c r="AAS41" s="96" t="str">
        <f>IFERROR(IFERROR(SUBSTITUTE(BeweglichkeitResultat[[#This Row],[Eingabe]],".",",")*1,SUBSTITUTE(BeweglichkeitResultat[[#This Row],[Eingabe]],",",".")*1),"")</f>
        <v/>
      </c>
      <c r="AAT41" s="96" t="e">
        <f>INT(BeweglichkeitResultat[[#This Row],[Resultat]])=BeweglichkeitResultat[[#This Row],[Resultat]]</f>
        <v>#VALUE!</v>
      </c>
      <c r="AAU41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1" s="96"/>
      <c r="AAW41" s="91" t="str" cm="1">
        <f t="array" aca="1" ref="AAW41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1" s="96" t="str">
        <f ca="1">REPLACE(AAW$4,AAX$6,1,Geschlecht[[#This Row],[Geschlecht (Skala)]])</f>
        <v>Beweglichkeit_[Resultat]</v>
      </c>
      <c r="AAY41" s="96" t="str" cm="1">
        <f t="array" aca="1" ref="AAY41" ca="1">IF(OR(INDIRECT(AAW$1)=$A$2,INDIRECT(AAW$1)=$A$3),$A$3,IF(OR(INDIRECT(AAW$2)="",AND(Geschlecht[[#This Row],[Geschlecht (Skala)]]=Stammdaten!$D$7,INDIRECT(AAW$2)&lt;0)),"",IFERROR(INDEX(INDIRECT(AAX41),MATCH(INDIRECT(AAW$3),INDIRECT(AAX41),AAX$25)),IFERROR(IF(AAX$25=-1,MAX(INDIRECT(AAX41)),IF(AAX$25=1,MIN(INDIRECT(AAX41)))),""))))</f>
        <v/>
      </c>
      <c r="AAZ41" s="97" t="str" cm="1">
        <f t="array" aca="1" ref="AAZ41" ca="1">IF(INDIRECT(AAW$1)="","",IF(INDIRECT(AAW$1)=0,0,IF(OR(INDIRECT(AAW$1)=$A$2,INDIRECT(AAW$1)=$A$3),$A$3,IFERROR(INDEX(INDIRECT(AAY41),MATCH(INDIRECT(AAW$3),INDIRECT(AAY41),AAY$27)),IFERROR(IF(AAY$27=-1,MAX(INDIRECT(AAY41)),IF(AAY$27=1,MIN(INDIRECT(AAY41)))),"")))))</f>
        <v/>
      </c>
      <c r="ABA41" s="96" t="str">
        <f ca="1">REPLACE(AAW$6,AAX$6,1,Geschlecht[[#This Row],[Geschlecht (Skala)]])</f>
        <v>Beweglichkeit_[Note]</v>
      </c>
      <c r="ABB41" s="91" t="str" cm="1">
        <f t="array" aca="1" ref="ABB41" ca="1">IFERROR(INDEX(INDIRECT(ABA41),MATCH(INDIRECT(AAW$5),INDIRECT(AAX41),0)),"")</f>
        <v/>
      </c>
      <c r="ABC41" s="97" t="str" cm="1">
        <f t="array" aca="1" ref="ABC41" ca="1">IFERROR(INDEX(INDIRECT(ABB41),MATCH(INDIRECT(AAW$5),INDIRECT(AAY41),0)),"")</f>
        <v/>
      </c>
      <c r="ABD41" s="307"/>
      <c r="ABE41" s="96" t="str">
        <f>IFERROR(IFERROR(SUBSTITUTE(RumpfkraftResultat[[#This Row],[Eingabe]],".",",")*1,SUBSTITUTE(RumpfkraftResultat[[#This Row],[Eingabe]],",",".")*1),"")</f>
        <v/>
      </c>
      <c r="ABF41" s="96" t="e">
        <f>INT(RumpfkraftResultat[[#This Row],[Resultat]])=RumpfkraftResultat[[#This Row],[Resultat]]</f>
        <v>#VALUE!</v>
      </c>
      <c r="ABG41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1" s="96"/>
      <c r="ABI41" s="91" t="str" cm="1">
        <f t="array" aca="1" ref="ABI41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1" s="96" t="str">
        <f ca="1">REPLACE(ABI$4,ABJ$6,1,Geschlecht[[#This Row],[Geschlecht (Skala)]])</f>
        <v>Rumpfkraft_[Resultat]</v>
      </c>
      <c r="ABK41" s="97" t="str" cm="1">
        <f t="array" aca="1" ref="ABK41" ca="1">IF(INDIRECT(ABI$1)="","",IF(OR(INDIRECT(ABI$1)=$A$2,INDIRECT(ABI$1)=$A$3),$A$3,IFERROR(INDEX(INDIRECT(ABJ41),MATCH(INDIRECT(ABI$3),INDIRECT(ABJ41),ABJ$25)),IFERROR(IF(ABJ$25=-1,MAX(INDIRECT(ABJ41)),IF(ABJ$25=1,MIN(INDIRECT(ABJ41)))),""))))</f>
        <v/>
      </c>
      <c r="ABM41" s="91" t="str">
        <f ca="1">REPLACE(ABI$6,ABJ$6,1,Geschlecht[[#This Row],[Geschlecht (Skala)]])</f>
        <v>Rumpfkraft_[Note]</v>
      </c>
      <c r="ABN41" s="97" t="str" cm="1">
        <f t="array" aca="1" ref="ABN41" ca="1">IFERROR(INDEX(INDIRECT(ABM41),MATCH(INDIRECT(ABI$5),INDIRECT(ABJ41),0)),"")</f>
        <v/>
      </c>
      <c r="ABO41" s="97"/>
      <c r="ABP41" s="96" t="str">
        <f>SechzigmLaufResultat[[#This Row],[Resultat]]</f>
        <v/>
      </c>
      <c r="ABQ41" s="96"/>
      <c r="ABR41" s="97" t="str">
        <f ca="1">SechzigmLaufSkalawert[[#This Row],[Skala-Wert]]</f>
        <v/>
      </c>
      <c r="ABT41" s="97" t="str">
        <f ca="1">SechzigmLaufNote[[#This Row],[Note]]</f>
        <v/>
      </c>
      <c r="ABU41" s="97"/>
      <c r="ABV41" s="96" t="str">
        <f>AchtzigmLaufResultat[[#This Row],[Resultat]]</f>
        <v/>
      </c>
      <c r="ABW41" s="96"/>
      <c r="ABX41" s="97" t="str">
        <f ca="1">AchtzigmLaufSkalawert[[#This Row],[Skala-Wert]]</f>
        <v/>
      </c>
      <c r="ABZ41" s="97" t="str">
        <f ca="1">AchtzigmLaufNote[[#This Row],[Note]]</f>
        <v/>
      </c>
      <c r="ACA41" s="97"/>
      <c r="ACB41" s="307"/>
      <c r="ACC41" s="96" t="str">
        <f>IFERROR(IFERROR(SUBSTITUTE(KonditionsparcoursResultat[[#This Row],[Eingabe]],".",",")*1,SUBSTITUTE(KonditionsparcoursResultat[[#This Row],[Eingabe]],",",".")*1),"")</f>
        <v/>
      </c>
      <c r="ACD41" s="96" t="e">
        <f>INT(KonditionsparcoursResultat[[#This Row],[Resultat]])=KonditionsparcoursResultat[[#This Row],[Resultat]]</f>
        <v>#VALUE!</v>
      </c>
      <c r="ACE41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1" s="96"/>
      <c r="ACG41" s="91" t="str" cm="1">
        <f t="array" aca="1" ref="ACG41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1" s="96" t="str">
        <f ca="1">LEFT(Geschlecht[[#This Row],[Geschlecht (Skala)]],1)&amp;ACM$4</f>
        <v>2</v>
      </c>
      <c r="ACI41" s="96" t="str">
        <f t="shared" ca="1" si="133"/>
        <v>Konditionsparcours_2[Resultat]</v>
      </c>
      <c r="ACJ41" s="97" t="str" cm="1">
        <f t="array" aca="1" ref="ACJ41" ca="1">IF(INDIRECT(ACG$1)="","",IF(OR(INDIRECT(ACG$1)=$A$2,INDIRECT(ACG$1)=$A$3),$A$3,IFERROR(INDEX(INDIRECT(ACI41),MATCH(INDIRECT(ACG$3),INDIRECT(ACI41),ACI$25)),IFERROR(IF(ACI$25=-1,MAX(INDIRECT(ACI41)),IF(ACI$25=1,MIN(INDIRECT(ACI41)))),""))))</f>
        <v/>
      </c>
      <c r="ACL41" s="91" t="str">
        <f t="shared" ca="1" si="134"/>
        <v>Konditionsparcours_2[Note]</v>
      </c>
      <c r="ACM41" s="97" t="str" cm="1">
        <f t="array" aca="1" ref="ACM41" ca="1">IFERROR(INDEX(INDIRECT(ACL41),MATCH(INDIRECT(ACG$5),INDIRECT(ACI41),0)),"")</f>
        <v/>
      </c>
      <c r="ACN41" s="102"/>
    </row>
    <row r="42" spans="1:768">
      <c r="A42" s="305">
        <v>15</v>
      </c>
      <c r="B42" s="133"/>
      <c r="C42" s="133"/>
      <c r="E42" s="306"/>
      <c r="G42" s="307"/>
      <c r="H42" s="96" t="str">
        <f>IFERROR(IFERROR(SUBSTITUTE(SechzigmLaufResultat[[#This Row],[Eingabe]],".",",")*1,SUBSTITUTE(SechzigmLaufResultat[[#This Row],[Eingabe]],",",".")*1),"")</f>
        <v/>
      </c>
      <c r="I42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2" s="96"/>
      <c r="K42" s="91" t="str" cm="1">
        <f t="array" aca="1" ref="K42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2" s="96" t="str">
        <f ca="1">LEFT(Geschlecht[[#This Row],[Geschlecht (Skala)]],1)&amp;Q$4</f>
        <v>2</v>
      </c>
      <c r="M42" s="96" t="str">
        <f t="shared" ca="1" si="37"/>
        <v>SechzigmLauf_2[Resultat]</v>
      </c>
      <c r="N42" s="97" t="str" cm="1">
        <f t="array" aca="1" ref="N42" ca="1">IF(INDIRECT(K$1)="","",IF(INDIRECT(K$2)=0,0,IF(OR(INDIRECT(K$1)=$A$2,INDIRECT(K$1)=$A$3),$A$3,IFERROR(INDEX(INDIRECT(M42),MATCH(INDIRECT(K$3),INDIRECT(M42),M$25)),IFERROR(IF(M$25=-1,MAX(INDIRECT(M42)),IF(M$25=1,MIN(INDIRECT(M42)))),"")))))</f>
        <v/>
      </c>
      <c r="P42" s="91" t="str">
        <f t="shared" ca="1" si="38"/>
        <v>SechzigmLauf_2[Note]</v>
      </c>
      <c r="Q42" s="97" t="str" cm="1">
        <f t="array" aca="1" ref="Q42" ca="1">IFERROR(INDEX(INDIRECT(P42),MATCH(INDIRECT(K$5),INDIRECT(M42),0)),IF(INDIRECT(K$5)=0,1,""))</f>
        <v/>
      </c>
      <c r="R42" s="97"/>
      <c r="S42" s="307"/>
      <c r="T42" s="96" t="str">
        <f>IFERROR(IFERROR(SUBSTITUTE(AchtzigmLaufResultat[[#This Row],[Eingabe]],".",",")*1,SUBSTITUTE(AchtzigmLaufResultat[[#This Row],[Eingabe]],",",".")*1),"")</f>
        <v/>
      </c>
      <c r="U42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2" s="96"/>
      <c r="W42" s="91" t="str" cm="1">
        <f t="array" aca="1" ref="W42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2" s="96" t="str">
        <f ca="1">LEFT(Geschlecht[[#This Row],[Geschlecht (Skala)]],1)&amp;AC$4</f>
        <v>2</v>
      </c>
      <c r="Y42" s="96" t="str">
        <f t="shared" ca="1" si="39"/>
        <v>AchtzigmLauf_2[Resultat]</v>
      </c>
      <c r="Z42" s="97" t="str" cm="1">
        <f t="array" aca="1" ref="Z42" ca="1">IF(INDIRECT(W$1)="","",IF(INDIRECT(W$2)=0,0,IF(OR(INDIRECT(W$1)=$A$2,INDIRECT(W$1)=$A$3),$A$3,IFERROR(INDEX(INDIRECT(Y42),MATCH(INDIRECT(W$3),INDIRECT(Y42),Y$25)),IFERROR(IF(Y$25=-1,MAX(INDIRECT(Y42)),IF(Y$25=1,MIN(INDIRECT(Y42)))),"")))))</f>
        <v/>
      </c>
      <c r="AB42" s="91" t="str">
        <f t="shared" ca="1" si="40"/>
        <v>AchtzigmLauf_2[Note]</v>
      </c>
      <c r="AC42" s="97" t="str" cm="1">
        <f t="array" aca="1" ref="AC42" ca="1">IFERROR(INDEX(INDIRECT(AB42),MATCH(INDIRECT(W$5),INDIRECT(Y42),0)),IF(INDIRECT(W$5)=0,1,""))</f>
        <v/>
      </c>
      <c r="AD42" s="97"/>
      <c r="AE42" s="307"/>
      <c r="AF42" s="96" t="str">
        <f>IFERROR(IFERROR(SUBSTITUTE(ZwölfMinLaufHalleResultat[[#This Row],[Eingabe]],".",",")*1,SUBSTITUTE(ZwölfMinLaufHalleResultat[[#This Row],[Eingabe]],",",".")*1),"")</f>
        <v/>
      </c>
      <c r="AG42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2" s="96"/>
      <c r="AI42" s="91" t="str" cm="1">
        <f t="array" aca="1" ref="AI42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2" s="96" t="str">
        <f ca="1">LEFT(Geschlecht[[#This Row],[Geschlecht (Skala)]],1)&amp;AO$4</f>
        <v>2</v>
      </c>
      <c r="AK42" s="96" t="str">
        <f t="shared" ca="1" si="41"/>
        <v>ZwölfMinLaufHalle_2[Resultat]</v>
      </c>
      <c r="AL42" s="97" t="str" cm="1">
        <f t="array" aca="1" ref="AL42" ca="1">IF(INDIRECT(AI$1)="","",IF(INDIRECT(AI$2)=0,0,IF(OR(INDIRECT(AI$1)=$A$2,INDIRECT(AI$1)=$A$3),$A$3,IFERROR(INDEX(INDIRECT(AK42),MATCH(INDIRECT(AI$3),INDIRECT(AK42),AK$25)),IFERROR(IF(AK$25=-1,MAX(INDIRECT(AK42)),IF(AK$25=1,MIN(INDIRECT(AK42)))),"")))))</f>
        <v/>
      </c>
      <c r="AN42" s="91" t="str">
        <f t="shared" ca="1" si="42"/>
        <v>ZwölfMinLaufHalle_2[Note]</v>
      </c>
      <c r="AO42" s="97" t="str" cm="1">
        <f t="array" aca="1" ref="AO42" ca="1">IFERROR(INDEX(INDIRECT(AN42),MATCH(INDIRECT(AI$5),INDIRECT(AK42),0)),IF(INDIRECT(AI$5)=0,1,""))</f>
        <v/>
      </c>
      <c r="AP42" s="97"/>
      <c r="AQ42" s="307"/>
      <c r="AR42" s="96" t="str">
        <f>IFERROR(IFERROR(SUBSTITUTE(ZwölfMinLaufimFreienResultat[[#This Row],[Eingabe]],".",",")*1,SUBSTITUTE(ZwölfMinLaufimFreienResultat[[#This Row],[Eingabe]],",",".")*1),"")</f>
        <v/>
      </c>
      <c r="AS42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2" s="96"/>
      <c r="AU42" s="91" t="str" cm="1">
        <f t="array" aca="1" ref="AU42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2" s="96" t="str">
        <f ca="1">LEFT(Geschlecht[[#This Row],[Geschlecht (Skala)]],1)&amp;BA$4</f>
        <v>2</v>
      </c>
      <c r="AW42" s="96" t="str">
        <f t="shared" ca="1" si="43"/>
        <v>ZwölfMinLaufimFreien_2[Resultat]</v>
      </c>
      <c r="AX42" s="97" t="str" cm="1">
        <f t="array" aca="1" ref="AX42" ca="1">IF(INDIRECT(AU$1)="","",IF(INDIRECT(AU$2)=0,0,IF(OR(INDIRECT(AU$1)=$A$2,INDIRECT(AU$1)=$A$3),$A$3,IFERROR(INDEX(INDIRECT(AW42),MATCH(INDIRECT(AU$3),INDIRECT(AW42),AW$25)),IFERROR(IF(AW$25=-1,MAX(INDIRECT(AW42)),IF(AW$25=1,MIN(INDIRECT(AW42)))),"")))))</f>
        <v/>
      </c>
      <c r="AZ42" s="91" t="str">
        <f t="shared" ca="1" si="44"/>
        <v>ZwölfMinLaufimFreien_2[Note]</v>
      </c>
      <c r="BA42" s="97" t="str" cm="1">
        <f t="array" aca="1" ref="BA42" ca="1">IFERROR(INDEX(INDIRECT(AZ42),MATCH(INDIRECT(AU$5),INDIRECT(AW42),0)),IF(INDIRECT(AU$5)=0,1,""))</f>
        <v/>
      </c>
      <c r="BB42" s="97"/>
      <c r="BC42" s="307"/>
      <c r="BD42" s="96" t="str">
        <f>IFERROR(IFERROR(SUBSTITUTE(HochsprungResultat[[#This Row],[Eingabe]],".",",")*1,SUBSTITUTE(HochsprungResultat[[#This Row],[Eingabe]],",",".")*1),"")</f>
        <v/>
      </c>
      <c r="BE42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2" s="96"/>
      <c r="BG42" s="91" t="str" cm="1">
        <f t="array" aca="1" ref="BG42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2" s="96" t="str">
        <f ca="1">LEFT(Geschlecht[[#This Row],[Geschlecht (Skala)]],1)&amp;BM$4</f>
        <v>2</v>
      </c>
      <c r="BI42" s="96" t="str">
        <f t="shared" ca="1" si="45"/>
        <v>Hochsprung_2[Resultat]</v>
      </c>
      <c r="BJ42" s="97" t="str" cm="1">
        <f t="array" aca="1" ref="BJ42" ca="1">IF(INDIRECT(BG$1)="","",IF(INDIRECT(BG$2)=0,0,IF(OR(INDIRECT(BG$1)=$A$2,INDIRECT(BG$1)=$A$3),$A$3,IFERROR(INDEX(INDIRECT(BI42),MATCH(INDIRECT(BG$3),INDIRECT(BI42),BI$25)),IFERROR(IF(BI$25=-1,MAX(INDIRECT(BI42)),IF(BI$25=1,MIN(INDIRECT(BI42)))),"")))))</f>
        <v/>
      </c>
      <c r="BL42" s="91" t="str">
        <f t="shared" ca="1" si="46"/>
        <v>Hochsprung_2[Note]</v>
      </c>
      <c r="BM42" s="97" t="str" cm="1">
        <f t="array" aca="1" ref="BM42" ca="1">IFERROR(INDEX(INDIRECT(BL42),MATCH(INDIRECT(BG$5),INDIRECT(BI42),0)),IF(INDIRECT(BG$5)=0,1,""))</f>
        <v/>
      </c>
      <c r="BN42" s="97"/>
      <c r="BO42" s="307"/>
      <c r="BP42" s="96" t="str">
        <f>IFERROR(IFERROR(SUBSTITUTE(WeitsprungResultat[[#This Row],[Eingabe]],".",",")*1,SUBSTITUTE(WeitsprungResultat[[#This Row],[Eingabe]],",",".")*1),"")</f>
        <v/>
      </c>
      <c r="BQ42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2" s="96"/>
      <c r="BS42" s="91" t="str" cm="1">
        <f t="array" aca="1" ref="BS42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2" s="96" t="str">
        <f ca="1">LEFT(Geschlecht[[#This Row],[Geschlecht (Skala)]],1)&amp;BY$4</f>
        <v>2</v>
      </c>
      <c r="BU42" s="96" t="str">
        <f t="shared" ca="1" si="47"/>
        <v>Weitsprung_2[Resultat]</v>
      </c>
      <c r="BV42" s="97" t="str" cm="1">
        <f t="array" aca="1" ref="BV42" ca="1">IF(INDIRECT(BS$1)="","",IF(INDIRECT(BS$2)=0,0,IF(OR(INDIRECT(BS$1)=$A$2,INDIRECT(BS$1)=$A$3),$A$3,IFERROR(INDEX(INDIRECT(BU42),MATCH(INDIRECT(BS$3),INDIRECT(BU42),BU$25)),IFERROR(IF(BU$25=-1,MAX(INDIRECT(BU42)),IF(BU$25=1,MIN(INDIRECT(BU42)))),"")))))</f>
        <v/>
      </c>
      <c r="BX42" s="91" t="str">
        <f t="shared" ca="1" si="48"/>
        <v>Weitsprung_2[Note]</v>
      </c>
      <c r="BY42" s="97" t="str" cm="1">
        <f t="array" aca="1" ref="BY42" ca="1">IFERROR(INDEX(INDIRECT(BX42),MATCH(INDIRECT(BS$5),INDIRECT(BU42),0)),IF(INDIRECT(BS$5)=0,1,""))</f>
        <v/>
      </c>
      <c r="BZ42" s="97"/>
      <c r="CA42" s="307"/>
      <c r="CB42" s="96" t="str">
        <f>IFERROR(IFERROR(SUBSTITUTE(BallwurfResultat[[#This Row],[Eingabe]],".",",")*1,SUBSTITUTE(BallwurfResultat[[#This Row],[Eingabe]],",",".")*1),"")</f>
        <v/>
      </c>
      <c r="CC42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2" s="96"/>
      <c r="CE42" s="91" t="str" cm="1">
        <f t="array" aca="1" ref="CE42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2" s="96" t="str">
        <f ca="1">LEFT(Geschlecht[[#This Row],[Geschlecht (Skala)]],1)&amp;CK$4</f>
        <v>2</v>
      </c>
      <c r="CG42" s="96" t="str">
        <f t="shared" ca="1" si="49"/>
        <v>Ballwurf_2[Resultat]</v>
      </c>
      <c r="CH42" s="97" t="str" cm="1">
        <f t="array" aca="1" ref="CH42" ca="1">IF(INDIRECT(CE$1)="","",IF(INDIRECT(CE$2)=0,0,IF(OR(INDIRECT(CE$1)=$A$2,INDIRECT(CE$1)=$A$3),$A$3,IFERROR(INDEX(INDIRECT(CG42),MATCH(INDIRECT(CE$3),INDIRECT(CG42),CG$25)),IFERROR(IF(CG$25=-1,MAX(INDIRECT(CG42)),IF(CG$25=1,MIN(INDIRECT(CG42)))),"")))))</f>
        <v/>
      </c>
      <c r="CJ42" s="91" t="str">
        <f t="shared" ca="1" si="50"/>
        <v>Ballwurf_2[Note]</v>
      </c>
      <c r="CK42" s="97" t="str" cm="1">
        <f t="array" aca="1" ref="CK42" ca="1">IFERROR(INDEX(INDIRECT(CJ42),MATCH(INDIRECT(CE$5),INDIRECT(CG42),0)),IF(INDIRECT(CE$5)=0,1,""))</f>
        <v/>
      </c>
      <c r="CL42" s="97"/>
      <c r="CM42" s="307"/>
      <c r="CN42" s="96" t="str">
        <f>IFERROR(IFERROR(SUBSTITUTE(KugelstossenResultat[[#This Row],[Eingabe]],".",",")*1,SUBSTITUTE(KugelstossenResultat[[#This Row],[Eingabe]],",",".")*1),"")</f>
        <v/>
      </c>
      <c r="CO42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2" s="96"/>
      <c r="CQ42" s="91" t="str" cm="1">
        <f t="array" aca="1" ref="CQ42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2" s="96" t="str">
        <f ca="1">LEFT(Geschlecht[[#This Row],[Geschlecht (Skala)]],1)&amp;CW$4</f>
        <v>2</v>
      </c>
      <c r="CS42" s="96" t="str">
        <f t="shared" ca="1" si="51"/>
        <v>Kugelstossen_2[Resultat]</v>
      </c>
      <c r="CT42" s="97" t="str" cm="1">
        <f t="array" aca="1" ref="CT42" ca="1">IF(INDIRECT(CQ$1)="","",IF(INDIRECT(CQ$2)=0,0,IF(OR(INDIRECT(CQ$1)=$A$2,INDIRECT(CQ$1)=$A$3),$A$3,IFERROR(INDEX(INDIRECT(CS42),MATCH(INDIRECT(CQ$3),INDIRECT(CS42),CS$25)),IFERROR(IF(CS$25=-1,MAX(INDIRECT(CS42)),IF(CS$25=1,MIN(INDIRECT(CS42)))),"")))))</f>
        <v/>
      </c>
      <c r="CV42" s="91" t="str">
        <f t="shared" ca="1" si="52"/>
        <v>Kugelstossen_2[Note]</v>
      </c>
      <c r="CW42" s="97" t="str" cm="1">
        <f t="array" aca="1" ref="CW42" ca="1">IFERROR(INDEX(INDIRECT(CV42),MATCH(INDIRECT(CQ$5),INDIRECT(CS42),0)),IF(INDIRECT(CQ$5)=0,1,""))</f>
        <v/>
      </c>
      <c r="CX42" s="97"/>
      <c r="CY42" s="307"/>
      <c r="CZ42" s="96" t="str">
        <f>IFERROR(IFERROR(SUBSTITUTE(SpeerwurfResultat[[#This Row],[Eingabe]],".",",")*1,SUBSTITUTE(SpeerwurfResultat[[#This Row],[Eingabe]],",",".")*1),"")</f>
        <v/>
      </c>
      <c r="DA42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2" s="96"/>
      <c r="DC42" s="91" t="str" cm="1">
        <f t="array" aca="1" ref="DC42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2" s="96" t="str">
        <f ca="1">LEFT(Geschlecht[[#This Row],[Geschlecht (Skala)]],1)&amp;DI$4</f>
        <v>2</v>
      </c>
      <c r="DE42" s="96" t="str">
        <f t="shared" ca="1" si="53"/>
        <v>Speerwurf_2[Resultat]</v>
      </c>
      <c r="DF42" s="97" t="str" cm="1">
        <f t="array" aca="1" ref="DF42" ca="1">IF(INDIRECT(DC$1)="","",IF(INDIRECT(DC$2)=0,0,IF(OR(INDIRECT(DC$1)=$A$2,INDIRECT(DC$1)=$A$3),$A$3,IFERROR(INDEX(INDIRECT(DE42),MATCH(INDIRECT(DC$3),INDIRECT(DE42),DE$25)),IFERROR(IF(DE$25=-1,MAX(INDIRECT(DE42)),IF(DE$25=1,MIN(INDIRECT(DE42)))),"")))))</f>
        <v/>
      </c>
      <c r="DH42" s="91" t="str">
        <f t="shared" ca="1" si="54"/>
        <v>Speerwurf_2[Note]</v>
      </c>
      <c r="DI42" s="97" t="str" cm="1">
        <f t="array" aca="1" ref="DI42" ca="1">IFERROR(INDEX(INDIRECT(DH42),MATCH(INDIRECT(DC$5),INDIRECT(DE42),0)),IF(INDIRECT(DC$5)=0,1,""))</f>
        <v/>
      </c>
      <c r="DJ42" s="97"/>
      <c r="DK42" s="97" t="str" cm="1">
        <f t="array" aca="1" ref="DK42" ca="1">INDIRECT(DK$5)</f>
        <v/>
      </c>
      <c r="DL42" s="97" t="str" cm="1">
        <f t="array" aca="1" ref="DL42" ca="1">INDIRECT(DL$5)</f>
        <v/>
      </c>
      <c r="DM42" s="97" t="str" cm="1">
        <f t="array" aca="1" ref="DM42" ca="1">INDIRECT(DM$5)</f>
        <v/>
      </c>
      <c r="DN42" s="97" t="str" cm="1">
        <f t="array" aca="1" ref="DN42" ca="1">INDIRECT(DN$5)</f>
        <v/>
      </c>
      <c r="DO42" s="97" t="str">
        <f t="shared" ca="1" si="135"/>
        <v>Sprintdisziplinen nicht durchgeführt</v>
      </c>
      <c r="DP42" s="97" t="str">
        <f t="shared" ca="1" si="136"/>
        <v/>
      </c>
      <c r="DQ42" s="108">
        <f t="shared" ca="1" si="137"/>
        <v>0</v>
      </c>
      <c r="DR42" s="108">
        <f t="shared" ca="1" si="138"/>
        <v>0</v>
      </c>
      <c r="DS42" s="108" t="str">
        <f t="shared" ca="1" si="139"/>
        <v/>
      </c>
      <c r="DT42" s="97" t="str">
        <f t="shared" ca="1" si="140"/>
        <v>Sprintdisziplinen nicht durchgeführt</v>
      </c>
      <c r="DU42" s="97" t="str">
        <f t="shared" ca="1" si="141"/>
        <v/>
      </c>
      <c r="DV42" s="97" t="str" cm="1">
        <f t="array" aca="1" ref="DV42" ca="1">IFERROR(IF(INDIRECT(INDEX(INDIRECT(DV$5),MATCH(DT42,INDIRECT(DV$4),0)))&lt;&gt;"",INDEX(INDIRECT(DV$5),MATCH(DT42,INDIRECT(DV$4),0)),INDEX(INDIRECT(DV$6),MATCH(DT42,INDIRECT(DV$4),0))),"")</f>
        <v/>
      </c>
      <c r="DW42" s="97" t="str">
        <f t="shared" ca="1" si="142"/>
        <v/>
      </c>
      <c r="DX42" s="97" t="str" cm="1">
        <f t="array" aca="1" ref="DX42" ca="1">IFERROR(INDIRECT(DV42),IF(NOT(ISERROR(FIND(Stammdaten!$CC$3,DT42,1))),$A$2,""))</f>
        <v/>
      </c>
      <c r="DY42" s="97" t="str">
        <f ca="1">IF(DX42="","",IF(AND(DU42=Stammdaten!$BX$20,DW42="0",DX42=1),SUBSTITUTE(TEXT(DX42,DW42)&amp;" "&amp;LEFT(DU42,LEN(DU42)-1),".",","),SUBSTITUTE(TEXT(DX42,DW42)&amp;" "&amp;DU42,".",",")))</f>
        <v/>
      </c>
      <c r="DZ42" s="97" t="str">
        <f t="shared" ca="1" si="55"/>
        <v/>
      </c>
      <c r="EA42" s="97" t="str" cm="1">
        <f t="array" aca="1" ref="EA42" ca="1">IFERROR(LEFT(INDIRECT(DZ42),1)&amp;"]","")</f>
        <v/>
      </c>
      <c r="EB42" s="97" t="str">
        <f t="shared" ca="1" si="56"/>
        <v/>
      </c>
      <c r="EC42" s="97" t="str">
        <f ca="1">IFERROR(LEFT(DT42,FIND(Stammdaten!$CA$4,DT42,1)-2),IFERROR(LEFT(DT42,FIND(Stammdaten!$CC$3,DT42,1)-2),DT42))</f>
        <v>Sprintdisziplinen</v>
      </c>
      <c r="ED42" s="97" t="str">
        <f ca="1">IF(NOT(ISERROR(FIND(Stammdaten!$CA$4,DT42,1))),Stammdaten!$CA$4,IF(EE42&lt;&gt;Stammdaten!$CC$3,EB42,""))</f>
        <v>nicht durchgeführt</v>
      </c>
      <c r="EE42" s="91" t="str">
        <f ca="1">IF(DX42=$A$2,Stammdaten!$CC$3,DY42)</f>
        <v/>
      </c>
      <c r="EF42" s="97" t="str" cm="1">
        <f t="array" aca="1" ref="EF42" ca="1">INDIRECT(EF$5)</f>
        <v/>
      </c>
      <c r="EG42" s="97" t="str" cm="1">
        <f t="array" aca="1" ref="EG42" ca="1">INDIRECT(EG$5)</f>
        <v/>
      </c>
      <c r="EH42" s="97" t="str" cm="1">
        <f t="array" aca="1" ref="EH42" ca="1">INDIRECT(EH$5)</f>
        <v/>
      </c>
      <c r="EI42" s="97" t="str" cm="1">
        <f t="array" aca="1" ref="EI42" ca="1">INDIRECT(EI$5)</f>
        <v/>
      </c>
      <c r="EJ42" s="97" t="str">
        <f t="shared" ca="1" si="143"/>
        <v>Ausdauerdisziplinen nicht durchgeführt</v>
      </c>
      <c r="EK42" s="97" t="str">
        <f t="shared" ca="1" si="144"/>
        <v/>
      </c>
      <c r="EL42" s="108">
        <f t="shared" ca="1" si="145"/>
        <v>0</v>
      </c>
      <c r="EM42" s="108">
        <f t="shared" ca="1" si="146"/>
        <v>0</v>
      </c>
      <c r="EN42" s="108" t="str">
        <f t="shared" ca="1" si="147"/>
        <v/>
      </c>
      <c r="EO42" s="97" t="str">
        <f t="shared" ca="1" si="148"/>
        <v>Ausdauerdisziplinen nicht durchgeführt</v>
      </c>
      <c r="EP42" s="97" t="str">
        <f t="shared" ca="1" si="149"/>
        <v/>
      </c>
      <c r="EQ42" s="97" t="str" cm="1">
        <f t="array" aca="1" ref="EQ42" ca="1">IFERROR(IF(INDIRECT(INDEX(INDIRECT(EQ$5),MATCH(EO42,INDIRECT(EQ$4),0)))&lt;&gt;"",INDEX(INDIRECT(EQ$5),MATCH(EO42,INDIRECT(EQ$4),0)),INDEX(INDIRECT(EQ$6),MATCH(EO42,INDIRECT(EQ$4),0))),"")</f>
        <v/>
      </c>
      <c r="ER42" s="97" t="str">
        <f t="shared" ca="1" si="150"/>
        <v/>
      </c>
      <c r="ES42" s="97" t="str" cm="1">
        <f t="array" aca="1" ref="ES42" ca="1">IFERROR(INDIRECT(EQ42),IF(NOT(ISERROR(FIND(Stammdaten!$CC$3,EO42,1))),$A$2,""))</f>
        <v/>
      </c>
      <c r="ET42" s="97" t="str">
        <f ca="1">IF(ES42="","",IF(AND(EP42=Stammdaten!$BX$20,ER42="0",ES42=1),SUBSTITUTE(TEXT(ES42,ER42)&amp;" "&amp;LEFT(EP42,LEN(EP42)-1),".",","),SUBSTITUTE(TEXT(ES42,ER42)&amp;" "&amp;EP42,".",",")))</f>
        <v/>
      </c>
      <c r="EU42" s="97" t="str">
        <f t="shared" ca="1" si="57"/>
        <v/>
      </c>
      <c r="EV42" s="97" t="str" cm="1">
        <f t="array" aca="1" ref="EV42" ca="1">IFERROR(LEFT(INDIRECT(EU42),1)&amp;"]","")</f>
        <v/>
      </c>
      <c r="EW42" s="97" t="str">
        <f t="shared" ca="1" si="58"/>
        <v/>
      </c>
      <c r="EX42" s="97" t="str">
        <f ca="1">IFERROR(LEFT(EO42,FIND(Stammdaten!$CA$4,EO42,1)-2),IFERROR(LEFT(EO42,FIND(Stammdaten!$CC$3,EO42,1)-2),EO42))</f>
        <v>Ausdauerdisziplinen</v>
      </c>
      <c r="EY42" s="97" t="str">
        <f ca="1">IF(NOT(ISERROR(FIND(Stammdaten!$CA$4,EO42,1))),Stammdaten!$CA$4,IF(EZ42&lt;&gt;Stammdaten!$CC$3,EW42,""))</f>
        <v>nicht durchgeführt</v>
      </c>
      <c r="EZ42" s="91" t="str">
        <f ca="1">IF(ES42=$A$2,Stammdaten!$CC$3,ET42)</f>
        <v/>
      </c>
      <c r="FA42" s="97" t="str" cm="1">
        <f t="array" aca="1" ref="FA42" ca="1">INDIRECT(FA$5)</f>
        <v/>
      </c>
      <c r="FB42" s="97" t="str" cm="1">
        <f t="array" aca="1" ref="FB42" ca="1">INDIRECT(FB$5)</f>
        <v/>
      </c>
      <c r="FC42" s="97" t="str" cm="1">
        <f t="array" aca="1" ref="FC42" ca="1">INDIRECT(FC$5)</f>
        <v/>
      </c>
      <c r="FD42" s="97" t="str" cm="1">
        <f t="array" aca="1" ref="FD42" ca="1">INDIRECT(FD$5)</f>
        <v/>
      </c>
      <c r="FE42" s="97" t="str">
        <f t="shared" ca="1" si="151"/>
        <v>Sprungdisziplinen nicht durchgeführt</v>
      </c>
      <c r="FF42" s="97" t="str">
        <f t="shared" ca="1" si="152"/>
        <v/>
      </c>
      <c r="FG42" s="108">
        <f t="shared" ca="1" si="153"/>
        <v>0</v>
      </c>
      <c r="FH42" s="108">
        <f t="shared" ca="1" si="154"/>
        <v>0</v>
      </c>
      <c r="FI42" s="108" t="str">
        <f t="shared" ca="1" si="155"/>
        <v/>
      </c>
      <c r="FJ42" s="97" t="str">
        <f t="shared" ca="1" si="156"/>
        <v>Sprungdisziplinen nicht durchgeführt</v>
      </c>
      <c r="FK42" s="97" t="str">
        <f t="shared" ca="1" si="157"/>
        <v/>
      </c>
      <c r="FL42" s="97" t="str" cm="1">
        <f t="array" aca="1" ref="FL42" ca="1">IFERROR(IF(INDIRECT(INDEX(INDIRECT(FL$5),MATCH(FJ42,INDIRECT(FL$4),0)))&lt;&gt;"",INDEX(INDIRECT(FL$5),MATCH(FJ42,INDIRECT(FL$4),0)),INDEX(INDIRECT(FL$6),MATCH(FJ42,INDIRECT(FL$4),0))),"")</f>
        <v/>
      </c>
      <c r="FM42" s="97" t="str">
        <f t="shared" ca="1" si="158"/>
        <v/>
      </c>
      <c r="FN42" s="97" t="str" cm="1">
        <f t="array" aca="1" ref="FN42" ca="1">IFERROR(INDIRECT(FL42),IF(NOT(ISERROR(FIND(Stammdaten!$CC$3,FJ42,1))),$A$2,""))</f>
        <v/>
      </c>
      <c r="FO42" s="97" t="str">
        <f ca="1">IF(FN42="","",IF(AND(FK42=Stammdaten!$BX$20,FM42="0",FN42=1),SUBSTITUTE(TEXT(FN42,FM42)&amp;" "&amp;LEFT(FK42,LEN(FK42)-1),".",","),SUBSTITUTE(TEXT(FN42,FM42)&amp;" "&amp;FK42,".",",")))</f>
        <v/>
      </c>
      <c r="FP42" s="97" t="str">
        <f t="shared" ca="1" si="59"/>
        <v/>
      </c>
      <c r="FQ42" s="97" t="str" cm="1">
        <f t="array" aca="1" ref="FQ42" ca="1">IFERROR(LEFT(INDIRECT(FP42),1)&amp;"]","")</f>
        <v/>
      </c>
      <c r="FR42" s="97" t="str">
        <f t="shared" ca="1" si="60"/>
        <v/>
      </c>
      <c r="FS42" s="97" t="str">
        <f ca="1">IFERROR(LEFT(FJ42,FIND(Stammdaten!$CA$4,FJ42,1)-2),IFERROR(LEFT(FJ42,FIND(Stammdaten!$CC$3,FJ42,1)-2),FJ42))</f>
        <v>Sprungdisziplinen</v>
      </c>
      <c r="FT42" s="97" t="str">
        <f ca="1">IF(NOT(ISERROR(FIND(Stammdaten!$CA$4,FJ42,1))),Stammdaten!$CA$4,IF(FU42&lt;&gt;Stammdaten!$CC$3,FR42,""))</f>
        <v>nicht durchgeführt</v>
      </c>
      <c r="FU42" s="91" t="str">
        <f ca="1">IF(FN42=$A$2,Stammdaten!$CC$3,FO42)</f>
        <v/>
      </c>
      <c r="FV42" s="97" t="str" cm="1">
        <f t="array" aca="1" ref="FV42" ca="1">INDIRECT(FV$5)</f>
        <v/>
      </c>
      <c r="FW42" s="97" t="str" cm="1">
        <f t="array" aca="1" ref="FW42" ca="1">INDIRECT(FW$5)</f>
        <v/>
      </c>
      <c r="FX42" s="97" t="str" cm="1">
        <f t="array" aca="1" ref="FX42" ca="1">INDIRECT(FX$5)</f>
        <v/>
      </c>
      <c r="FY42" s="97" t="str" cm="1">
        <f t="array" aca="1" ref="FY42" ca="1">INDIRECT(FY$5)</f>
        <v/>
      </c>
      <c r="FZ42" s="97" t="str" cm="1">
        <f t="array" aca="1" ref="FZ42" ca="1">INDIRECT(FZ$5)</f>
        <v/>
      </c>
      <c r="GA42" s="97" t="str" cm="1">
        <f t="array" aca="1" ref="GA42" ca="1">INDIRECT(GA$5)</f>
        <v/>
      </c>
      <c r="GB42" s="97" t="str">
        <f t="shared" ca="1" si="159"/>
        <v>Wurfdisziplinen nicht durchgeführt</v>
      </c>
      <c r="GC42" s="97" t="str">
        <f t="shared" ca="1" si="160"/>
        <v/>
      </c>
      <c r="GD42" s="108">
        <f t="shared" ca="1" si="161"/>
        <v>0</v>
      </c>
      <c r="GE42" s="108">
        <f t="shared" ca="1" si="162"/>
        <v>0</v>
      </c>
      <c r="GF42" s="108" t="str">
        <f t="shared" ca="1" si="163"/>
        <v/>
      </c>
      <c r="GG42" s="97" t="str">
        <f t="shared" ca="1" si="164"/>
        <v>Wurfdisziplinen nicht durchgeführt</v>
      </c>
      <c r="GH42" s="97" t="str">
        <f t="shared" ca="1" si="165"/>
        <v/>
      </c>
      <c r="GI42" s="97" t="str" cm="1">
        <f t="array" aca="1" ref="GI42" ca="1">IFERROR(IF(INDIRECT(INDEX(INDIRECT(GI$5),MATCH(GG42,INDIRECT(GI$4),0)))&lt;&gt;"",INDEX(INDIRECT(GI$5),MATCH(GG42,INDIRECT(GI$4),0)),INDEX(INDIRECT(GI$6),MATCH(GG42,INDIRECT(GI$4),0))),"")</f>
        <v/>
      </c>
      <c r="GJ42" s="97" t="str">
        <f t="shared" ca="1" si="166"/>
        <v/>
      </c>
      <c r="GK42" s="97" t="str" cm="1">
        <f t="array" aca="1" ref="GK42" ca="1">IFERROR(INDIRECT(GI42),IF(NOT(ISERROR(FIND(Stammdaten!$CC$3,GG42,1))),$A$2,""))</f>
        <v/>
      </c>
      <c r="GL42" s="97" t="str">
        <f ca="1">IF(GK42="","",IF(AND(GH42=Stammdaten!$BX$20,GJ42="0",GK42=1),SUBSTITUTE(TEXT(GK42,GJ42)&amp;" "&amp;LEFT(GH42,LEN(GH42)-1),".",","),SUBSTITUTE(TEXT(GK42,GJ42)&amp;" "&amp;GH42,".",",")))</f>
        <v/>
      </c>
      <c r="GM42" s="97" t="str">
        <f t="shared" ca="1" si="61"/>
        <v/>
      </c>
      <c r="GN42" s="97" t="str" cm="1">
        <f t="array" aca="1" ref="GN42" ca="1">IFERROR(LEFT(INDIRECT(GM42),1)&amp;"]","")</f>
        <v/>
      </c>
      <c r="GO42" s="97" t="str">
        <f t="shared" ca="1" si="62"/>
        <v/>
      </c>
      <c r="GP42" s="97" t="str">
        <f ca="1">IFERROR(LEFT(GG42,FIND(Stammdaten!$CA$4,GG42,1)-2),IFERROR(LEFT(GG42,FIND(Stammdaten!$CC$3,GG42,1)-2),GG42))</f>
        <v>Wurfdisziplinen</v>
      </c>
      <c r="GQ42" s="97" t="str">
        <f ca="1">IF(NOT(ISERROR(FIND(Stammdaten!$CA$4,GG42,1))),Stammdaten!$CA$4,IF(GR42&lt;&gt;Stammdaten!$CC$3,GO42,""))</f>
        <v>nicht durchgeführt</v>
      </c>
      <c r="GR42" s="91" t="str">
        <f ca="1">IF(GK42=$A$2,Stammdaten!$CC$3,GL42)</f>
        <v/>
      </c>
      <c r="GS42" s="97" t="str">
        <f t="shared" ca="1" si="63"/>
        <v/>
      </c>
      <c r="GT42" s="97" t="str">
        <f t="shared" ca="1" si="64"/>
        <v/>
      </c>
      <c r="GU42" s="97" t="str">
        <f t="shared" ca="1" si="65"/>
        <v/>
      </c>
      <c r="GV42" s="97" t="str">
        <f t="shared" ca="1" si="66"/>
        <v/>
      </c>
      <c r="GW42" s="97">
        <f t="shared" ca="1" si="167"/>
        <v>0</v>
      </c>
      <c r="GX42" s="108">
        <f t="shared" ca="1" si="168"/>
        <v>0</v>
      </c>
      <c r="GY42" s="108">
        <f t="shared" ca="1" si="169"/>
        <v>0</v>
      </c>
      <c r="GZ42" s="108" t="str">
        <f t="shared" ca="1" si="170"/>
        <v/>
      </c>
      <c r="HA42" s="97" t="str">
        <f ca="1">IF(GZ42="",Stammdaten!$BZ$1,IF(AND(GX42=0,GY42&gt;=GZ$25),$A$3,ROUND(SUM(GW42/GZ42)/HA$25,0)*HA$25))</f>
        <v>Zu wenige Werte</v>
      </c>
      <c r="HB42" s="108">
        <f t="shared" ca="1" si="171"/>
        <v>6</v>
      </c>
      <c r="HC42" s="97" t="str">
        <f t="shared" ca="1" si="172"/>
        <v/>
      </c>
      <c r="HD42" s="97" t="str">
        <f t="shared" ca="1" si="173"/>
        <v/>
      </c>
      <c r="HE42" s="97" t="str">
        <f t="shared" ca="1" si="174"/>
        <v/>
      </c>
      <c r="HF42" s="97" t="str">
        <f t="shared" ca="1" si="175"/>
        <v/>
      </c>
      <c r="HG42" s="97" t="str">
        <f t="shared" ca="1" si="176"/>
        <v/>
      </c>
      <c r="HH42" s="97" t="str">
        <f t="shared" ca="1" si="177"/>
        <v>g</v>
      </c>
      <c r="HI42" s="97" t="str">
        <f t="shared" ca="1" si="178"/>
        <v/>
      </c>
      <c r="HJ42" s="97">
        <f t="shared" ca="1" si="179"/>
        <v>1</v>
      </c>
      <c r="HK42" s="97" t="str">
        <f ca="1">IF(OR(Geschlecht[[#This Row],[Geschlecht (Skala)]]="",NOT(ISNUMBER(GZ42))),"",HJ42)</f>
        <v/>
      </c>
      <c r="HL42" s="97" t="str">
        <f t="shared" ca="1" si="180"/>
        <v/>
      </c>
      <c r="HM42" s="97"/>
      <c r="HN42" s="308" t="str">
        <f t="shared" ca="1" si="68"/>
        <v>Zu wenige Werte</v>
      </c>
      <c r="HO42" s="97"/>
      <c r="HP42" s="307"/>
      <c r="HQ42" s="96" t="str">
        <f>IFERROR(IFERROR(SUBSTITUTE(ReckResultat[[#This Row],[Eingabe]],".",",")*1,SUBSTITUTE(ReckResultat[[#This Row],[Eingabe]],",",".")*1),"")</f>
        <v/>
      </c>
      <c r="HR42" s="96" t="e">
        <f>INT(ReckResultat[[#This Row],[Resultat]])=ReckResultat[[#This Row],[Resultat]]</f>
        <v>#VALUE!</v>
      </c>
      <c r="HS42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2" s="96"/>
      <c r="HX42" s="97"/>
      <c r="HY42" s="307"/>
      <c r="HZ42" s="96" t="str">
        <f>IFERROR(IFERROR(SUBSTITUTE(BodenResultat[[#This Row],[Eingabe]],".",",")*1,SUBSTITUTE(BodenResultat[[#This Row],[Eingabe]],",",".")*1),"")</f>
        <v/>
      </c>
      <c r="IA42" s="96" t="e">
        <f>INT(BodenResultat[[#This Row],[Resultat]])=BodenResultat[[#This Row],[Resultat]]</f>
        <v>#VALUE!</v>
      </c>
      <c r="IB42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2" s="96"/>
      <c r="IG42" s="97"/>
      <c r="IH42" s="307"/>
      <c r="II42" s="96" t="str">
        <f>IFERROR(IFERROR(SUBSTITUTE(StufenbarrenResultat[[#This Row],[Eingabe]],".",",")*1,SUBSTITUTE(StufenbarrenResultat[[#This Row],[Eingabe]],",",".")*1),"")</f>
        <v/>
      </c>
      <c r="IJ42" s="96" t="e">
        <f>INT(StufenbarrenResultat[[#This Row],[Resultat]])=StufenbarrenResultat[[#This Row],[Resultat]]</f>
        <v>#VALUE!</v>
      </c>
      <c r="IK42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2" s="96"/>
      <c r="IP42" s="97"/>
      <c r="IQ42" s="307"/>
      <c r="IR42" s="96" t="str">
        <f>IFERROR(IFERROR(SUBSTITUTE(ParallelbarrenResultat[[#This Row],[Eingabe]],".",",")*1,SUBSTITUTE(ParallelbarrenResultat[[#This Row],[Eingabe]],",",".")*1),"")</f>
        <v/>
      </c>
      <c r="IS42" s="96" t="e">
        <f>INT(ParallelbarrenResultat[[#This Row],[Resultat]])=ParallelbarrenResultat[[#This Row],[Resultat]]</f>
        <v>#VALUE!</v>
      </c>
      <c r="IT42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2" s="96"/>
      <c r="IY42" s="97"/>
      <c r="IZ42" s="307"/>
      <c r="JA42" s="96" t="str">
        <f>IFERROR(IFERROR(SUBSTITUTE(SchaukelringeResultat[[#This Row],[Eingabe]],".",",")*1,SUBSTITUTE(SchaukelringeResultat[[#This Row],[Eingabe]],",",".")*1),"")</f>
        <v/>
      </c>
      <c r="JB42" s="96" t="e">
        <f>INT(SchaukelringeResultat[[#This Row],[Resultat]])=SchaukelringeResultat[[#This Row],[Resultat]]</f>
        <v>#VALUE!</v>
      </c>
      <c r="JC42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2" s="96"/>
      <c r="JH42" s="97"/>
      <c r="JI42" s="307"/>
      <c r="JJ42" s="96" t="str">
        <f>IFERROR(IFERROR(SUBSTITUTE(SprungResultat[[#This Row],[Eingabe]],".",",")*1,SUBSTITUTE(SprungResultat[[#This Row],[Eingabe]],",",".")*1),"")</f>
        <v/>
      </c>
      <c r="JK42" s="96" t="e">
        <f>INT(SprungResultat[[#This Row],[Resultat]])=SprungResultat[[#This Row],[Resultat]]</f>
        <v>#VALUE!</v>
      </c>
      <c r="JL42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2" s="96"/>
      <c r="JQ42" s="97"/>
      <c r="JR42" s="309" t="str" cm="1">
        <f t="array" aca="1" ref="JR42" ca="1">IF(AND(ISNUMBER(INDIRECT(JR$3)),INDIRECT(JR$3)&gt;0),INDIRECT(JR$3),"")</f>
        <v/>
      </c>
      <c r="JS42" s="309" t="str" cm="1">
        <f t="array" aca="1" ref="JS42" ca="1">IF(AND(ISNUMBER(INDIRECT(JS$3)),INDIRECT(JS$3)&gt;0),INDIRECT(JS$3),"")</f>
        <v/>
      </c>
      <c r="JT42" s="309" t="str" cm="1">
        <f t="array" aca="1" ref="JT42" ca="1">IF(AND(ISNUMBER(INDIRECT(JT$3)),INDIRECT(JT$3)&gt;0),INDIRECT(JT$3),"")</f>
        <v/>
      </c>
      <c r="JU42" s="309" t="str" cm="1">
        <f t="array" aca="1" ref="JU42" ca="1">IF(AND(ISNUMBER(INDIRECT(JU$3)),INDIRECT(JU$3)&gt;0),INDIRECT(JU$3),"")</f>
        <v/>
      </c>
      <c r="JV42" s="309" t="str" cm="1">
        <f t="array" aca="1" ref="JV42" ca="1">IF(AND(ISNUMBER(INDIRECT(JV$3)),INDIRECT(JV$3)&gt;0),INDIRECT(JV$3),"")</f>
        <v/>
      </c>
      <c r="JW42" s="309" t="str" cm="1">
        <f t="array" aca="1" ref="JW42" ca="1">IF(AND(ISNUMBER(INDIRECT(JW$3)),INDIRECT(JW$3)&gt;0),INDIRECT(JW$3),"")</f>
        <v/>
      </c>
      <c r="JX42" s="309" t="str">
        <f t="shared" ca="1" si="69"/>
        <v>x</v>
      </c>
      <c r="JY42" s="309" t="str">
        <f t="shared" ca="1" si="70"/>
        <v>y</v>
      </c>
      <c r="JZ42" s="309" t="str">
        <f t="shared" ca="1" si="71"/>
        <v>z</v>
      </c>
      <c r="KA42" s="309" t="str">
        <f t="shared" ca="1" si="181"/>
        <v>a</v>
      </c>
      <c r="KB42" s="309" t="str" cm="1">
        <f t="array" aca="1" ref="KB42" ca="1">IF(KA42="a","",INDEX($JR$23:$JW$23,,MATCH(KA42,$JR42:$JW42,0)))</f>
        <v/>
      </c>
      <c r="KC42" s="309" t="str" cm="1">
        <f t="array" aca="1" ref="KC42" ca="1">IF(OR(KB42="",KB42&gt;=$JW$23),"",INDEX(INDIRECT(ADDRESS(ROW($JR$23),KB42+1)):$JW$23,,MATCH(KA42,INDIRECT(ADDRESS(ROW(),KB42+1)):$JW42,0)))</f>
        <v/>
      </c>
      <c r="KD42" s="309" t="str" cm="1">
        <f t="array" aca="1" ref="KD42" ca="1">IF(OR(KC42="",KC42&gt;=$JW$23),"",INDEX(INDIRECT(ADDRESS(ROW($JR$23),KC42+1)):$JW$23,,MATCH(KA42,INDIRECT(ADDRESS(ROW(),KC42+1)):$JW42,0)))</f>
        <v/>
      </c>
      <c r="KE42" s="309" t="str">
        <f t="shared" ca="1" si="182"/>
        <v>c</v>
      </c>
      <c r="KF42" s="309" t="str" cm="1">
        <f t="array" aca="1" ref="KF42" ca="1">IF(OR(KE42="b",KE42="c"),"",INDEX($JR$23:$JW$23,,MATCH(KE42,$JR42:$JW42,0)))</f>
        <v/>
      </c>
      <c r="KG42" s="309" t="str" cm="1">
        <f t="array" aca="1" ref="KG42" ca="1">IF(OR(KF42="",KF42&gt;=$JW$23),"",INDEX(INDIRECT(ADDRESS(ROW($JR$23),KF42+1)):$JW$23,,MATCH(KE42,INDIRECT(ADDRESS(ROW(),KF42+1)):$JW42,0)))</f>
        <v/>
      </c>
      <c r="KH42" s="309" t="str">
        <f t="shared" ca="1" si="72"/>
        <v/>
      </c>
      <c r="KI42" s="309" t="str">
        <f t="shared" ca="1" si="183"/>
        <v>e</v>
      </c>
      <c r="KJ42" s="309" t="str">
        <f t="shared" ca="1" si="73"/>
        <v/>
      </c>
      <c r="KK42" s="309" t="str" cm="1">
        <f t="array" aca="1" ref="KK42" ca="1">IF(OR(KI42="d",KI42="e"),"",INDEX($JR$23:$JW$23,,MATCH(KI42,$JR42:$JW42,0)))</f>
        <v/>
      </c>
      <c r="KL42" s="309" t="str" cm="1">
        <f t="array" aca="1" ref="KL42" ca="1">IF(OR(KK42="",KK42&gt;=$JW$23),"",INDEX(INDIRECT(ADDRESS(ROW($JR$23),KK42+1)):$JW$23,,MATCH(KI42,INDIRECT(ADDRESS(ROW(),KK42+1)):$JW42,0)))</f>
        <v/>
      </c>
      <c r="KM42" s="309" t="str" cm="1">
        <f t="array" aca="1" ref="KM42" ca="1">IFERROR(IF(ISNUMBER(KB42),KB42,IF(ISNUMBER(KF42),KF42,IF(ISNUMBER(KJ42),KJ42,INDEX($JR$23:$JW$23,,MATCH(JX42,$JR42:$JW42,0))))),"x1")</f>
        <v>x1</v>
      </c>
      <c r="KN42" s="309" t="str" cm="1">
        <f t="array" aca="1" ref="KN42" ca="1">IFERROR(IF(ISNUMBER(KC42),KC42,IF(ISNUMBER(KG42),KG42,IF(ISNUMBER(KK42),KK42,INDEX($JR$23:$JW$23,,MATCH(JY42,$JR42:$JW42,0))))),IF(KM42="x1","x2","x1"))</f>
        <v>x2</v>
      </c>
      <c r="KO42" s="309" t="str" cm="1">
        <f t="array" aca="1" ref="KO42" ca="1">IFERROR(IF(ISNUMBER(KD42),KD42,IF(ISNUMBER(KH42),KH42,IF(ISNUMBER(KL42),KL42,INDEX($JR$23:$JW$23,,MATCH(JZ42,$JR42:$JW42,0))))),IF(KN42="x1","x2",IF(KN42="x2","x3","x1")))</f>
        <v>x3</v>
      </c>
      <c r="KP42" s="97" t="str" cm="1">
        <f t="array" aca="1" ref="KP42" ca="1">IF(OR(INDIRECT(KP$3)=$A$2,INDIRECT(KP$3)=$A$3),COLUMN(),"")</f>
        <v/>
      </c>
      <c r="KQ42" s="97" t="str" cm="1">
        <f t="array" aca="1" ref="KQ42" ca="1">IF(OR(INDIRECT(KQ$3)=$A$2,INDIRECT(KQ$3)=$A$3),COLUMN(),"")</f>
        <v/>
      </c>
      <c r="KR42" s="97" t="str" cm="1">
        <f t="array" aca="1" ref="KR42" ca="1">IF(OR(INDIRECT(KR$3)=$A$2,INDIRECT(KR$3)=$A$3),COLUMN(),"")</f>
        <v/>
      </c>
      <c r="KS42" s="97" t="str" cm="1">
        <f t="array" aca="1" ref="KS42" ca="1">IF(OR(INDIRECT(KS$3)=$A$2,INDIRECT(KS$3)=$A$3),COLUMN(),"")</f>
        <v/>
      </c>
      <c r="KT42" s="97" t="str" cm="1">
        <f t="array" aca="1" ref="KT42" ca="1">IF(OR(INDIRECT(KT$3)=$A$2,INDIRECT(KT$3)=$A$3),COLUMN(),"")</f>
        <v/>
      </c>
      <c r="KU42" s="97" t="str" cm="1">
        <f t="array" aca="1" ref="KU42" ca="1">IF(OR(INDIRECT(KU$3)=$A$2,INDIRECT(KU$3)=$A$3),COLUMN(),"")</f>
        <v/>
      </c>
      <c r="KV42" s="97" t="str" cm="1">
        <f t="array" aca="1" ref="KV42" ca="1">IF(AND(ISNUMBER(INDIRECT(KV$3)),INDIRECT(KV$3)=0),COLUMN(),"")</f>
        <v/>
      </c>
      <c r="KW42" s="97" t="str" cm="1">
        <f t="array" aca="1" ref="KW42" ca="1">IF(AND(ISNUMBER(INDIRECT(KW$3)),INDIRECT(KW$3)=0),COLUMN(),"")</f>
        <v/>
      </c>
      <c r="KX42" s="97" t="str" cm="1">
        <f t="array" aca="1" ref="KX42" ca="1">IF(AND(ISNUMBER(INDIRECT(KX$3)),INDIRECT(KX$3)=0),COLUMN(),"")</f>
        <v/>
      </c>
      <c r="KY42" s="97" t="str" cm="1">
        <f t="array" aca="1" ref="KY42" ca="1">IF(AND(ISNUMBER(INDIRECT(KY$3)),INDIRECT(KY$3)=0),COLUMN(),"")</f>
        <v/>
      </c>
      <c r="KZ42" s="97" t="str" cm="1">
        <f t="array" aca="1" ref="KZ42" ca="1">IF(AND(ISNUMBER(INDIRECT(KZ$3)),INDIRECT(KZ$3)=0),COLUMN(),"")</f>
        <v/>
      </c>
      <c r="LA42" s="97" t="str" cm="1">
        <f t="array" aca="1" ref="LA42" ca="1">IF(AND(ISNUMBER(INDIRECT(LA$3)),INDIRECT(LA$3)=0),COLUMN(),"")</f>
        <v/>
      </c>
      <c r="LB42" s="97" t="str">
        <f t="shared" ca="1" si="184"/>
        <v>x1</v>
      </c>
      <c r="LC42" s="97" t="str">
        <f t="shared" ca="1" si="185"/>
        <v>x2</v>
      </c>
      <c r="LD42" s="97" t="str">
        <f t="shared" ca="1" si="186"/>
        <v>x3</v>
      </c>
      <c r="LE42" s="97" t="str">
        <f ca="1">IFERROR(IF(ISNUMBER(LB42),LB42,SMALL($KV42:$LA42,VALUE(RIGHT(LB42,1)))),Stammdaten!$CA$17)</f>
        <v>Erstes Gerät nicht durchgeführt</v>
      </c>
      <c r="LF42" s="97" t="str">
        <f ca="1">IFERROR(IF(ISNUMBER(LC42),LC42,SMALL($KV42:$LA42,VALUE(RIGHT(LC42,1)))),Stammdaten!$CA$18)</f>
        <v>Zweites Gerät nicht durchgeführt</v>
      </c>
      <c r="LG42" s="97" t="str">
        <f ca="1">IFERROR(IF(ISNUMBER(LD42),LD42,SMALL($KV42:$LA42,VALUE(RIGHT(LD42,1)))),Stammdaten!$CA$19)</f>
        <v>Drittes Gerät nicht durchgeführt</v>
      </c>
      <c r="LH42" s="91" t="str" cm="1">
        <f t="array" aca="1" ref="LH42" ca="1">IFERROR(INDIRECT(ADDRESS(ROW($JR$5),LE42)),LE42)</f>
        <v>Erstes Gerät nicht durchgeführt</v>
      </c>
      <c r="LI42" s="97" t="str">
        <f t="shared" ca="1" si="187"/>
        <v/>
      </c>
      <c r="LJ42" s="97" t="str" cm="1">
        <f t="array" aca="1" ref="LJ42" ca="1">IFERROR(IF(INDIRECT(INDEX(INDIRECT(LJ$5),MATCH(LH42,INDIRECT(LJ$4),0)))&lt;&gt;"",INDEX(INDIRECT(LJ$5),MATCH(LH42,INDIRECT(LJ$4),0)),INDEX(INDIRECT(LJ$6),MATCH(LH42,INDIRECT(LJ$4),0))),"")</f>
        <v/>
      </c>
      <c r="LK42" s="97" t="str">
        <f t="shared" ca="1" si="188"/>
        <v/>
      </c>
      <c r="LL42" s="97" t="str" cm="1">
        <f t="array" aca="1" ref="LL42" ca="1">IFERROR(INDIRECT(LJ42),"")</f>
        <v/>
      </c>
      <c r="LM42" s="97" t="str">
        <f ca="1">IF(LL42="","",IF(AND(LI42=Stammdaten!$BX$20,LK42="0",LL42=1),SUBSTITUTE(TEXT(LL42,LK42)&amp;" "&amp;LEFT(LI42,LEN(LI42)-1),".",","),SUBSTITUTE(TEXT(LL42,LK42)&amp;" "&amp;LI42,".",",")))</f>
        <v/>
      </c>
      <c r="LN42" s="97" t="str">
        <f t="shared" ca="1" si="74"/>
        <v/>
      </c>
      <c r="LO42" s="97" t="str" cm="1">
        <f t="array" aca="1" ref="LO42" ca="1">IFERROR(LEFT(INDIRECT(LN42),1)&amp;"]","")</f>
        <v/>
      </c>
      <c r="LP42" s="97" t="str">
        <f t="shared" ca="1" si="75"/>
        <v/>
      </c>
      <c r="LQ42" s="97" t="str">
        <f ca="1">IFERROR(LEFT(LH42,FIND(Stammdaten!$CA$4,LH42,1)-2),IFERROR(LEFT(LH42,FIND(Stammdaten!$CC$3,LH42,1)-2),LH42))</f>
        <v>Erstes Gerät</v>
      </c>
      <c r="LR42" s="97" t="str">
        <f ca="1">IF(NOT(ISERROR(FIND(Stammdaten!$CA$4,LH42,1))),Stammdaten!$CA$4,IF(LS42&lt;&gt;Stammdaten!$CC$3,LP42,""))</f>
        <v>nicht durchgeführt</v>
      </c>
      <c r="LS42" s="91" t="str">
        <f ca="1">IF(LL42=$A$2,Stammdaten!$CC$3,LM42)</f>
        <v/>
      </c>
      <c r="LT42" s="91" t="str" cm="1">
        <f t="array" aca="1" ref="LT42" ca="1">IFERROR(INDIRECT(ADDRESS(ROW($JR$5),LF42)),LF42)</f>
        <v>Zweites Gerät nicht durchgeführt</v>
      </c>
      <c r="LU42" s="97" t="str">
        <f t="shared" ca="1" si="189"/>
        <v/>
      </c>
      <c r="LV42" s="97" t="str" cm="1">
        <f t="array" aca="1" ref="LV42" ca="1">IFERROR(IF(INDIRECT(INDEX(INDIRECT(LV$5),MATCH(LT42,INDIRECT(LV$4),0)))&lt;&gt;"",INDEX(INDIRECT(LV$5),MATCH(LT42,INDIRECT(LV$4),0)),INDEX(INDIRECT(LV$6),MATCH(LT42,INDIRECT(LV$4),0))),"")</f>
        <v/>
      </c>
      <c r="LW42" s="97" t="str">
        <f t="shared" ca="1" si="190"/>
        <v/>
      </c>
      <c r="LX42" s="97" t="str" cm="1">
        <f t="array" aca="1" ref="LX42" ca="1">IFERROR(INDIRECT(LV42),"")</f>
        <v/>
      </c>
      <c r="LY42" s="97" t="str">
        <f ca="1">IF(LX42="","",IF(AND(LU42=Stammdaten!$BX$20,LW42="0",LX42=1),SUBSTITUTE(TEXT(LX42,LW42)&amp;" "&amp;LEFT(LU42,LEN(LU42)-1),".",","),SUBSTITUTE(TEXT(LX42,LW42)&amp;" "&amp;LU42,".",",")))</f>
        <v/>
      </c>
      <c r="LZ42" s="97" t="str">
        <f t="shared" ca="1" si="76"/>
        <v/>
      </c>
      <c r="MA42" s="97" t="str" cm="1">
        <f t="array" aca="1" ref="MA42" ca="1">IFERROR(LEFT(INDIRECT(LZ42),1)&amp;"]","")</f>
        <v/>
      </c>
      <c r="MB42" s="97" t="str">
        <f t="shared" ca="1" si="77"/>
        <v/>
      </c>
      <c r="MC42" s="97" t="str">
        <f ca="1">IFERROR(LEFT(LT42,FIND(Stammdaten!$CA$4,LT42,1)-2),IFERROR(LEFT(LT42,FIND(Stammdaten!$CC$3,LT42,1)-2),LT42))</f>
        <v>Zweites Gerät</v>
      </c>
      <c r="MD42" s="97" t="str">
        <f ca="1">IF(NOT(ISERROR(FIND(Stammdaten!$CA$4,LT42,1))),Stammdaten!$CA$4,IF(ME42&lt;&gt;Stammdaten!$CC$3,MB42,""))</f>
        <v>nicht durchgeführt</v>
      </c>
      <c r="ME42" s="91" t="str">
        <f ca="1">IF(LX42=$A$2,Stammdaten!$CC$3,LY42)</f>
        <v/>
      </c>
      <c r="MF42" s="91" t="str" cm="1">
        <f t="array" aca="1" ref="MF42" ca="1">IFERROR(INDIRECT(ADDRESS(ROW($JR$5),LG42)),LG42)</f>
        <v>Drittes Gerät nicht durchgeführt</v>
      </c>
      <c r="MG42" s="97" t="str">
        <f t="shared" ca="1" si="191"/>
        <v/>
      </c>
      <c r="MH42" s="97" t="str" cm="1">
        <f t="array" aca="1" ref="MH42" ca="1">IFERROR(IF(INDIRECT(INDEX(INDIRECT(MH$5),MATCH(MF42,INDIRECT(MH$4),0)))&lt;&gt;"",INDEX(INDIRECT(MH$5),MATCH(MF42,INDIRECT(MH$4),0)),INDEX(INDIRECT(MH$6),MATCH(MF42,INDIRECT(MH$4),0))),"")</f>
        <v/>
      </c>
      <c r="MI42" s="97" t="str">
        <f t="shared" ca="1" si="192"/>
        <v/>
      </c>
      <c r="MJ42" s="97" t="str" cm="1">
        <f t="array" aca="1" ref="MJ42" ca="1">IFERROR(INDIRECT(MH42),"")</f>
        <v/>
      </c>
      <c r="MK42" s="97" t="str">
        <f ca="1">IF(MJ42="","",IF(AND(MG42=Stammdaten!$BX$20,MI42="0",MJ42=1),SUBSTITUTE(TEXT(MJ42,MI42)&amp;" "&amp;LEFT(MG42,LEN(MG42)-1),".",","),SUBSTITUTE(TEXT(MJ42,MI42)&amp;" "&amp;MG42,".",",")))</f>
        <v/>
      </c>
      <c r="ML42" s="97" t="str">
        <f t="shared" ca="1" si="78"/>
        <v/>
      </c>
      <c r="MM42" s="97" t="str" cm="1">
        <f t="array" aca="1" ref="MM42" ca="1">IFERROR(LEFT(INDIRECT(ML42),1)&amp;"]","")</f>
        <v/>
      </c>
      <c r="MN42" s="97" t="str">
        <f t="shared" ca="1" si="79"/>
        <v/>
      </c>
      <c r="MO42" s="97" t="str">
        <f ca="1">IFERROR(LEFT(MF42,FIND(Stammdaten!$CA$4,MF42,1)-2),IFERROR(LEFT(MF42,FIND(Stammdaten!$CC$3,MF42,1)-2),MF42))</f>
        <v>Drittes Gerät</v>
      </c>
      <c r="MP42" s="97" t="str">
        <f ca="1">IF(NOT(ISERROR(FIND(Stammdaten!$CA$4,MF42,1))),Stammdaten!$CA$4,IF(MQ42&lt;&gt;Stammdaten!$CC$3,MN42,""))</f>
        <v>nicht durchgeführt</v>
      </c>
      <c r="MQ42" s="91" t="str">
        <f ca="1">IF(MJ42=$A$2,Stammdaten!$CC$3,MK42)</f>
        <v/>
      </c>
      <c r="MR42" s="97">
        <f t="shared" ca="1" si="80"/>
        <v>0</v>
      </c>
      <c r="MS42" s="108">
        <f t="shared" ca="1" si="193"/>
        <v>0</v>
      </c>
      <c r="MT42" s="108">
        <f t="shared" ca="1" si="194"/>
        <v>0</v>
      </c>
      <c r="MU42" s="108">
        <f t="shared" ca="1" si="195"/>
        <v>0</v>
      </c>
      <c r="MV42" s="108" t="str">
        <f t="shared" ca="1" si="196"/>
        <v/>
      </c>
      <c r="MW42" s="97" t="str">
        <f ca="1">IF(MV42="",Stammdaten!$BZ$1,IF(AND(MS42+MT42=0,MU42&gt;=MV$25),$A$3,MR42))</f>
        <v>Zu wenige Werte</v>
      </c>
      <c r="MX42" s="97"/>
      <c r="MY42" s="91" t="str">
        <f t="shared" ca="1" si="81"/>
        <v/>
      </c>
      <c r="MZ42" s="96" t="str">
        <f>LEFT(Geschlecht[[#This Row],[Geschlecht (Skala)]],1)&amp;$MZ$27</f>
        <v>2</v>
      </c>
      <c r="NA42" s="96" t="str">
        <f t="shared" ca="1" si="82"/>
        <v>Geräteturnen_2[Resultat]</v>
      </c>
      <c r="NB42" s="97" t="str" cm="1">
        <f t="array" aca="1" ref="NB42" ca="1">IF(OR($MW42="",$MW42=Stammdaten!$BZ$1),"",IF($MW42=0,0,IF(OR($MW42=$A$2,$MW42=$A$3),$A$3,IFERROR(INDEX(INDIRECT(NA42),MATCH(INDIRECT(MY$3),INDIRECT(NA42),NA$25)),IFERROR(IF(NA$25=-1,MAX(INDIRECT(NA42)),IF(NA$25=1,MIN(INDIRECT(NA42)))),"")))))</f>
        <v/>
      </c>
      <c r="ND42" s="91" t="str">
        <f t="shared" ca="1" si="83"/>
        <v>Geräteturnen_2[Note]</v>
      </c>
      <c r="NE42" s="97" t="str" cm="1">
        <f t="array" aca="1" ref="NE42" ca="1">IFERROR(INDEX(INDIRECT(ND42),MATCH(INDIRECT(MY$5),INDIRECT(NA42),0)),IF(INDIRECT(MY$5)=0,1,""))</f>
        <v/>
      </c>
      <c r="NF42" s="97"/>
      <c r="NG42" s="307"/>
      <c r="NH42" s="96" t="str">
        <f>IFERROR(IFERROR(SUBSTITUTE(ParkourResultat[[#This Row],[Eingabe]],".",",")*1,SUBSTITUTE(ParkourResultat[[#This Row],[Eingabe]],",",".")*1),"")</f>
        <v/>
      </c>
      <c r="NI42" s="96" t="e">
        <f>INT(ParkourResultat[[#This Row],[Resultat]])=ParkourResultat[[#This Row],[Resultat]]</f>
        <v>#VALUE!</v>
      </c>
      <c r="NJ42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2" s="96"/>
      <c r="NL42" s="91" t="str" cm="1">
        <f t="array" aca="1" ref="NL42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2" s="96" t="str">
        <f ca="1">LEFT(Geschlecht[[#This Row],[Geschlecht (Skala)]],1)&amp;NR$4</f>
        <v>2</v>
      </c>
      <c r="NN42" s="96" t="str">
        <f t="shared" ca="1" si="84"/>
        <v>Parkour_2[Resultat]</v>
      </c>
      <c r="NO42" s="97" t="str" cm="1">
        <f t="array" aca="1" ref="NO42" ca="1">IF(INDIRECT(NL$1)="","",IF(INDIRECT(NL$2)=0,0,IF(OR(INDIRECT(NL$1)=$A$2,INDIRECT(NL$1)=$A$3),$A$3,IFERROR(INDEX(INDIRECT(NN42),MATCH(INDIRECT(NL$3),INDIRECT(NN42),NN$25)),IFERROR(IF(NN$25=-1,MAX(INDIRECT(NN42)),IF(NN$25=1,MIN(INDIRECT(NN42)))),"")))))</f>
        <v/>
      </c>
      <c r="NQ42" s="91" t="str">
        <f t="shared" ca="1" si="85"/>
        <v>Parkour_2[Note]</v>
      </c>
      <c r="NR42" s="97" t="str" cm="1">
        <f t="array" aca="1" ref="NR42" ca="1">IFERROR(INDEX(INDIRECT(NQ42),MATCH(INDIRECT(NL$5),INDIRECT(NN42),0)),IF(INDIRECT(NL$5)=0,1,""))</f>
        <v/>
      </c>
      <c r="NS42" s="97"/>
      <c r="NT42" s="97" t="str" cm="1">
        <f t="array" aca="1" ref="NT42" ca="1">INDIRECT(NT$5)</f>
        <v/>
      </c>
      <c r="NU42" s="97" t="str" cm="1">
        <f t="array" aca="1" ref="NU42" ca="1">INDIRECT(NU$5)</f>
        <v/>
      </c>
      <c r="NV42" s="97" t="str" cm="1">
        <f t="array" aca="1" ref="NV42" ca="1">INDIRECT(NV$5)</f>
        <v/>
      </c>
      <c r="NW42" s="97" t="str" cm="1">
        <f t="array" aca="1" ref="NW42" ca="1">INDIRECT(NW$5)</f>
        <v/>
      </c>
      <c r="NX42" s="97" t="str">
        <f t="shared" ca="1" si="86"/>
        <v>Parkour nicht durchgeführt</v>
      </c>
      <c r="NY42" s="97" t="str">
        <f t="shared" ca="1" si="197"/>
        <v/>
      </c>
      <c r="NZ42" s="97" t="str" cm="1">
        <f t="array" aca="1" ref="NZ42" ca="1">IFERROR(IF(INDIRECT(INDEX(INDIRECT(NZ$5),MATCH(NX42,INDIRECT(NZ$4),0)))&lt;&gt;"",INDEX(INDIRECT(NZ$5),MATCH(NX42,INDIRECT(NZ$4),0)),INDEX(INDIRECT(NZ$6),MATCH(NX42,INDIRECT(NZ$4),0))),"")</f>
        <v/>
      </c>
      <c r="OA42" s="97" t="str">
        <f t="shared" ca="1" si="198"/>
        <v/>
      </c>
      <c r="OB42" s="97" t="str" cm="1">
        <f t="array" aca="1" ref="OB42" ca="1">IFERROR(INDIRECT(NZ42),IF(NOT(ISERROR(FIND(Stammdaten!$CC$3,NX42,1))),$A$2,""))</f>
        <v/>
      </c>
      <c r="OC42" s="97" t="str">
        <f ca="1">IF(OB42="","",IF(AND(NY42=Stammdaten!$BX$20,OA42="0",OB42=1),SUBSTITUTE(TEXT(OB42,OA42)&amp;" "&amp;LEFT(NY42,LEN(NY42)-1),".",","),SUBSTITUTE(TEXT(OB42,OA42)&amp;" "&amp;NY42,".",",")))</f>
        <v/>
      </c>
      <c r="OD42" s="97" t="str">
        <f t="shared" ca="1" si="87"/>
        <v/>
      </c>
      <c r="OE42" s="97" t="str" cm="1">
        <f t="array" aca="1" ref="OE42" ca="1">IFERROR(LEFT(INDIRECT(OD42),1)&amp;"]","")</f>
        <v/>
      </c>
      <c r="OF42" s="97" t="str">
        <f t="shared" ca="1" si="88"/>
        <v/>
      </c>
      <c r="OG42" s="97" t="str">
        <f ca="1">IFERROR(LEFT(NX42,FIND(Stammdaten!$CA$4,NX42,1)-2),IFERROR(LEFT(NX42,FIND(Stammdaten!$CC$3,NX42,1)-2),NX42))</f>
        <v>Parkour</v>
      </c>
      <c r="OH42" s="97" t="str">
        <f ca="1">IF(NOT(ISERROR(FIND(Stammdaten!$CA$4,NX42,1))),Stammdaten!$CA$4,IF(OI42&lt;&gt;Stammdaten!$CC$3,OF42,""))</f>
        <v>nicht durchgeführt</v>
      </c>
      <c r="OI42" s="91" t="str">
        <f ca="1">IF(OB42=$A$2,Stammdaten!$CC$3,OC42)</f>
        <v/>
      </c>
      <c r="OJ42" s="97" t="str">
        <f t="shared" ca="1" si="89"/>
        <v/>
      </c>
      <c r="OK42" s="97" t="str">
        <f t="shared" ca="1" si="90"/>
        <v/>
      </c>
      <c r="OL42" s="97">
        <f t="shared" ca="1" si="199"/>
        <v>0</v>
      </c>
      <c r="OM42" s="108">
        <f t="shared" ca="1" si="91"/>
        <v>0</v>
      </c>
      <c r="ON42" s="108">
        <f t="shared" ca="1" si="92"/>
        <v>0</v>
      </c>
      <c r="OO42" s="108" t="str">
        <f t="shared" ca="1" si="200"/>
        <v/>
      </c>
      <c r="OP42" s="97" t="str">
        <f ca="1">IF(OO42="",Stammdaten!$BZ$1,IF(AND(OM42=0,ON42&gt;=OO$25),$A$3,ROUND(SUM(OL42/OO42)/OP$25,0)*OP$25))</f>
        <v>Zu wenige Werte</v>
      </c>
      <c r="OQ42" s="108">
        <f t="shared" ca="1" si="201"/>
        <v>6</v>
      </c>
      <c r="OR42" s="97" t="str">
        <f t="shared" ca="1" si="202"/>
        <v/>
      </c>
      <c r="OS42" s="97" t="str">
        <f t="shared" ca="1" si="203"/>
        <v/>
      </c>
      <c r="OT42" s="97" t="str">
        <f t="shared" ca="1" si="204"/>
        <v/>
      </c>
      <c r="OU42" s="97" t="str">
        <f t="shared" ca="1" si="205"/>
        <v>g</v>
      </c>
      <c r="OV42" s="97" t="str">
        <f t="shared" ca="1" si="206"/>
        <v/>
      </c>
      <c r="OW42" s="97">
        <f t="shared" ca="1" si="207"/>
        <v>1</v>
      </c>
      <c r="OX42" s="97" t="str">
        <f ca="1">IF(OR(Geschlecht[[#This Row],[Geschlecht (Skala)]]="",NOT(ISNUMBER(OO42))),"",OW42)</f>
        <v/>
      </c>
      <c r="OY42" s="97" t="str">
        <f t="shared" ca="1" si="208"/>
        <v/>
      </c>
      <c r="OZ42" s="97"/>
      <c r="PA42" s="308" t="str">
        <f t="shared" ca="1" si="209"/>
        <v>Zu wenige Werte</v>
      </c>
      <c r="PB42" s="97"/>
      <c r="PC42" s="307"/>
      <c r="PD42" s="96" t="str">
        <f>IFERROR(IFERROR(SUBSTITUTE(TanzenResultat[[#This Row],[Eingabe]],".",",")*1,SUBSTITUTE(TanzenResultat[[#This Row],[Eingabe]],",",".")*1),"")</f>
        <v/>
      </c>
      <c r="PE42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2" s="96"/>
      <c r="PG42" s="91" t="str" cm="1">
        <f t="array" aca="1" ref="PG42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2" s="96" t="str">
        <f ca="1">LEFT(Geschlecht[[#This Row],[Geschlecht (Skala)]],1)&amp;PM$4</f>
        <v>2</v>
      </c>
      <c r="PI42" s="96" t="str">
        <f t="shared" ca="1" si="93"/>
        <v>Tanzen_2[Resultat]</v>
      </c>
      <c r="PJ42" s="97" t="str" cm="1">
        <f t="array" aca="1" ref="PJ42" ca="1">IF(INDIRECT(PG$1)="","",IF(INDIRECT(PG$2)=0,0,IF(OR(INDIRECT(PG$1)=$A$2,INDIRECT(PG$1)=$A$3),$A$3,IFERROR(INDEX(INDIRECT(PI42),MATCH(INDIRECT(PG$3),INDIRECT(PI42),PI$25)),IFERROR(IF(PI$25=-1,MAX(INDIRECT(PI42)),IF(PI$25=1,MIN(INDIRECT(PI42)))),"")))))</f>
        <v/>
      </c>
      <c r="PL42" s="91" t="str">
        <f t="shared" ca="1" si="94"/>
        <v>Tanzen_2[Note]</v>
      </c>
      <c r="PM42" s="97" t="str" cm="1">
        <f t="array" aca="1" ref="PM42" ca="1">IFERROR(INDEX(INDIRECT(PL42),MATCH(INDIRECT(PG$5),INDIRECT(PI42),0)),IF(INDIRECT(PG$5)=0,1,""))</f>
        <v/>
      </c>
      <c r="PN42" s="97"/>
      <c r="PO42" s="307"/>
      <c r="PP42" s="96" t="str">
        <f>IFERROR(IFERROR(SUBSTITUTE(RopeSkippingResultat[[#This Row],[Eingabe]],".",",")*1,SUBSTITUTE(RopeSkippingResultat[[#This Row],[Eingabe]],",",".")*1),"")</f>
        <v/>
      </c>
      <c r="PQ42" s="96" t="e">
        <f>INT(RopeSkippingResultat[[#This Row],[Resultat]])=RopeSkippingResultat[[#This Row],[Resultat]]</f>
        <v>#VALUE!</v>
      </c>
      <c r="PR42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2" s="96"/>
      <c r="PT42" s="91" t="str" cm="1">
        <f t="array" aca="1" ref="PT42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2" s="96" t="str">
        <f ca="1">LEFT(Geschlecht[[#This Row],[Geschlecht (Skala)]],1)&amp;PZ$4</f>
        <v>2</v>
      </c>
      <c r="PV42" s="96" t="str">
        <f t="shared" ca="1" si="95"/>
        <v>RopeSkipping_2[Resultat]</v>
      </c>
      <c r="PW42" s="97" t="str" cm="1">
        <f t="array" aca="1" ref="PW42" ca="1">IF(INDIRECT(PT$1)="","",IF(INDIRECT(PT$2)=0,0,IF(OR(INDIRECT(PT$1)=$A$2,INDIRECT(PT$1)=$A$3),$A$3,IFERROR(INDEX(INDIRECT(PV42),MATCH(INDIRECT(PT$3),INDIRECT(PV42),PV$25)),IFERROR(IF(PV$25=-1,MAX(INDIRECT(PV42)),IF(PV$25=1,MIN(INDIRECT(PV42)))),"")))))</f>
        <v/>
      </c>
      <c r="PY42" s="91" t="str">
        <f t="shared" ca="1" si="96"/>
        <v>RopeSkipping_2[Note]</v>
      </c>
      <c r="PZ42" s="97" t="str" cm="1">
        <f t="array" aca="1" ref="PZ42" ca="1">IFERROR(INDEX(INDIRECT(PY42),MATCH(INDIRECT(PT$5),INDIRECT(PV42),0)),IF(INDIRECT(PT$5)=0,1,""))</f>
        <v/>
      </c>
      <c r="QA42" s="97"/>
      <c r="QB42" s="307"/>
      <c r="QC42" s="96" t="str">
        <f>IFERROR(IFERROR(SUBSTITUTE(AerobicResultat[[#This Row],[Eingabe]],".",",")*1,SUBSTITUTE(AerobicResultat[[#This Row],[Eingabe]],",",".")*1),"")</f>
        <v/>
      </c>
      <c r="QD42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2" s="96"/>
      <c r="QF42" s="91" t="str" cm="1">
        <f t="array" aca="1" ref="QF42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2" s="96" t="str">
        <f ca="1">LEFT(Geschlecht[[#This Row],[Geschlecht (Skala)]],1)&amp;QL$4</f>
        <v>2</v>
      </c>
      <c r="QH42" s="96" t="str">
        <f t="shared" ca="1" si="97"/>
        <v>Aerobic_2[Resultat]</v>
      </c>
      <c r="QI42" s="97" t="str" cm="1">
        <f t="array" aca="1" ref="QI42" ca="1">IF(INDIRECT(QF$1)="","",IF(INDIRECT(QF$2)=0,0,IF(OR(INDIRECT(QF$1)=$A$2,INDIRECT(QF$1)=$A$3),$A$3,IFERROR(INDEX(INDIRECT(QH42),MATCH(INDIRECT(QF$3),INDIRECT(QH42),QH$25)),IFERROR(IF(QH$25=-1,MAX(INDIRECT(QH42)),IF(QH$25=1,MIN(INDIRECT(QH42)))),"")))))</f>
        <v/>
      </c>
      <c r="QK42" s="91" t="str">
        <f t="shared" ca="1" si="98"/>
        <v>Aerobic_2[Note]</v>
      </c>
      <c r="QL42" s="97" t="str" cm="1">
        <f t="array" aca="1" ref="QL42" ca="1">IFERROR(INDEX(INDIRECT(QK42),MATCH(INDIRECT(QF$5),INDIRECT(QH42),0)),IF(INDIRECT(QF$5)=0,1,""))</f>
        <v/>
      </c>
      <c r="QM42" s="97"/>
      <c r="QN42" s="97" t="str" cm="1">
        <f t="array" aca="1" ref="QN42" ca="1">INDIRECT(QN$5)</f>
        <v/>
      </c>
      <c r="QO42" s="97" t="str" cm="1">
        <f t="array" aca="1" ref="QO42" ca="1">INDIRECT(QO$5)</f>
        <v/>
      </c>
      <c r="QP42" s="97" t="str" cm="1">
        <f t="array" aca="1" ref="QP42" ca="1">INDIRECT(QP$5)</f>
        <v/>
      </c>
      <c r="QQ42" s="97" t="str" cm="1">
        <f t="array" aca="1" ref="QQ42" ca="1">INDIRECT(QQ$5)</f>
        <v/>
      </c>
      <c r="QR42" s="97" t="str" cm="1">
        <f t="array" aca="1" ref="QR42" ca="1">INDIRECT(QR$5)</f>
        <v/>
      </c>
      <c r="QS42" s="97" t="str" cm="1">
        <f t="array" aca="1" ref="QS42" ca="1">INDIRECT(QS$5)</f>
        <v/>
      </c>
      <c r="QT42" s="97" t="str">
        <f t="shared" ca="1" si="99"/>
        <v>Darstellen und Tanzen nicht durchgeführt</v>
      </c>
      <c r="QU42" s="108">
        <f t="shared" ca="1" si="100"/>
        <v>0</v>
      </c>
      <c r="QV42" s="108">
        <f t="shared" ca="1" si="101"/>
        <v>0</v>
      </c>
      <c r="QW42" s="108" t="str">
        <f t="shared" ca="1" si="210"/>
        <v/>
      </c>
      <c r="QX42" s="97" t="str">
        <f t="shared" ca="1" si="211"/>
        <v>Darstellen und Tanzen nicht durchgeführt</v>
      </c>
      <c r="QY42" s="97" t="str">
        <f t="shared" ca="1" si="212"/>
        <v/>
      </c>
      <c r="QZ42" s="97" t="str" cm="1">
        <f t="array" aca="1" ref="QZ42" ca="1">IFERROR(IF(INDIRECT(INDEX(INDIRECT(QZ$5),MATCH(QX42,INDIRECT(QZ$4),0)))&lt;&gt;"",INDEX(INDIRECT(QZ$5),MATCH(QX42,INDIRECT(QZ$4),0)),INDEX(INDIRECT(QZ$6),MATCH(QX42,INDIRECT(QZ$4),0))),"")</f>
        <v/>
      </c>
      <c r="RA42" s="97" t="str">
        <f t="shared" ca="1" si="213"/>
        <v/>
      </c>
      <c r="RB42" s="97" t="str" cm="1">
        <f t="array" aca="1" ref="RB42" ca="1">IFERROR(INDIRECT(QZ42),IF(NOT(ISERROR(FIND(Stammdaten!$CC$3,QX42,1))),$A$2,""))</f>
        <v/>
      </c>
      <c r="RC42" s="97" t="str">
        <f ca="1">IF(RB42="","",IF(AND(QY42=Stammdaten!$BX$20,RA42="0",RB42=1),SUBSTITUTE(TEXT(RB42,RA42)&amp;" "&amp;LEFT(QY42,LEN(QY42)-1),".",","),SUBSTITUTE(TEXT(RB42,RA42)&amp;" "&amp;QY42,".",",")))</f>
        <v/>
      </c>
      <c r="RD42" s="97" t="str">
        <f t="shared" ca="1" si="102"/>
        <v/>
      </c>
      <c r="RE42" s="97" t="str" cm="1">
        <f t="array" aca="1" ref="RE42" ca="1">IFERROR(LEFT(INDIRECT(RD42),1)&amp;"]","")</f>
        <v/>
      </c>
      <c r="RF42" s="97" t="str">
        <f t="shared" ca="1" si="103"/>
        <v/>
      </c>
      <c r="RG42" s="97" t="str">
        <f ca="1">IFERROR(LEFT(QX42,FIND(Stammdaten!$CA$4,QX42,1)-2),IFERROR(LEFT(QX42,FIND(Stammdaten!$CC$3,QX42,1)-2),QX42))</f>
        <v>Darstellen und Tanzen</v>
      </c>
      <c r="RH42" s="97" t="str">
        <f ca="1">IF(NOT(ISERROR(FIND(Stammdaten!$CA$4,QX42,1))),Stammdaten!$CA$4,IF(RI42&lt;&gt;Stammdaten!$CC$3,RF42,""))</f>
        <v>nicht durchgeführt</v>
      </c>
      <c r="RI42" s="91" t="str">
        <f ca="1">IF(RB42=$A$2,Stammdaten!$CC$3,RC42)</f>
        <v/>
      </c>
      <c r="RJ42" s="108">
        <f t="shared" ca="1" si="214"/>
        <v>6</v>
      </c>
      <c r="RK42" s="97"/>
      <c r="RL42" s="308" t="str">
        <f ca="1">IF(QT42=$QT$4,Stammdaten!$BZ$1,IF(QT42=$QT$5,$A$3,QT42))</f>
        <v>Zu wenige Werte</v>
      </c>
      <c r="RM42" s="97"/>
      <c r="RN42" s="307"/>
      <c r="RO42" s="96" t="str">
        <f>IFERROR(IFERROR(SUBSTITUTE(BasketballResultat[[#This Row],[Eingabe]],".",",")*1,SUBSTITUTE(BasketballResultat[[#This Row],[Eingabe]],",",".")*1),"")</f>
        <v/>
      </c>
      <c r="RP42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2" s="96"/>
      <c r="RR42" s="91" t="str" cm="1">
        <f t="array" aca="1" ref="RR42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2" s="96" t="str">
        <f ca="1">LEFT(Geschlecht[[#This Row],[Geschlecht (Skala)]],1)&amp;RX$4</f>
        <v>2</v>
      </c>
      <c r="RT42" s="96" t="str">
        <f t="shared" ca="1" si="104"/>
        <v>Basketball_2[Resultat]</v>
      </c>
      <c r="RU42" s="97" t="str" cm="1">
        <f t="array" aca="1" ref="RU42" ca="1">IF(INDIRECT(RR$1)="","",IF(INDIRECT(RR$2)=0,0,IF(OR(INDIRECT(RR$1)=$A$2,INDIRECT(RR$1)=$A$3),$A$3,IFERROR(INDEX(INDIRECT(RT42),MATCH(INDIRECT(RR$3),INDIRECT(RT42),RT$25)),IFERROR(IF(RT$25=-1,MAX(INDIRECT(RT42)),IF(RT$25=1,MIN(INDIRECT(RT42)))),"")))))</f>
        <v/>
      </c>
      <c r="RW42" s="91" t="str">
        <f t="shared" ca="1" si="105"/>
        <v>Basketball_2[Note]</v>
      </c>
      <c r="RX42" s="97" t="str" cm="1">
        <f t="array" aca="1" ref="RX42" ca="1">IFERROR(INDEX(INDIRECT(RW42),MATCH(INDIRECT(RR$5),INDIRECT(RT42),0)),IF(INDIRECT(RR$5)=0,1,""))</f>
        <v/>
      </c>
      <c r="RY42" s="97"/>
      <c r="RZ42" s="307"/>
      <c r="SA42" s="96" t="str">
        <f>IFERROR(IFERROR(SUBSTITUTE(FussballResultat[[#This Row],[Eingabe]],".",",")*1,SUBSTITUTE(FussballResultat[[#This Row],[Eingabe]],",",".")*1),"")</f>
        <v/>
      </c>
      <c r="SB42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2" s="96"/>
      <c r="SD42" s="316" t="str" cm="1">
        <f t="array" aca="1" ref="SD42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2" s="96" t="str">
        <f ca="1">LEFT(Geschlecht[[#This Row],[Geschlecht (Skala)]],1)&amp;SJ$4</f>
        <v>2</v>
      </c>
      <c r="SF42" s="96" t="str">
        <f t="shared" ca="1" si="106"/>
        <v>Fussball_2[Resultat]</v>
      </c>
      <c r="SG42" s="97" t="str" cm="1">
        <f t="array" aca="1" ref="SG42" ca="1">IF(INDIRECT(SD$1)="","",IF(INDIRECT(SD$2)=0,0,IF(OR(INDIRECT(SD$1)=$A$2,INDIRECT(SD$1)=$A$3),$A$3,IFERROR(INDEX(INDIRECT(SF42),MATCH(INDIRECT(SD$3),INDIRECT(SF42),SF$25)),IFERROR(IF(SF$25=-1,MAX(INDIRECT(SF42)),IF(SF$25=1,MIN(INDIRECT(SF42)))),"")))))</f>
        <v/>
      </c>
      <c r="SI42" s="91" t="str">
        <f t="shared" ca="1" si="107"/>
        <v>Fussball_2[Note]</v>
      </c>
      <c r="SJ42" s="97" t="str" cm="1">
        <f t="array" aca="1" ref="SJ42" ca="1">IFERROR(INDEX(INDIRECT(SI42),MATCH(INDIRECT(SD$5),INDIRECT(SF42),0)),IF(INDIRECT(SD$5)=0,1,""))</f>
        <v/>
      </c>
      <c r="SK42" s="97"/>
      <c r="SL42" s="307"/>
      <c r="SM42" s="96" t="str">
        <f>IFERROR(IFERROR(SUBSTITUTE(HandballResultat[[#This Row],[Eingabe]],".",",")*1,SUBSTITUTE(HandballResultat[[#This Row],[Eingabe]],",",".")*1),"")</f>
        <v/>
      </c>
      <c r="SN42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2" s="96"/>
      <c r="SP42" s="91" t="str" cm="1">
        <f t="array" aca="1" ref="SP42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2" s="96" t="str">
        <f ca="1">LEFT(Geschlecht[[#This Row],[Geschlecht (Skala)]],1)&amp;SV$4</f>
        <v>2</v>
      </c>
      <c r="SR42" s="96" t="str">
        <f t="shared" ca="1" si="108"/>
        <v>Handball_2[Resultat]</v>
      </c>
      <c r="SS42" s="97" t="str" cm="1">
        <f t="array" aca="1" ref="SS42" ca="1">IF(INDIRECT(SP$1)="","",IF(INDIRECT(SP$2)=0,0,IF(OR(INDIRECT(SP$1)=$A$2,INDIRECT(SP$1)=$A$3),$A$3,IFERROR(INDEX(INDIRECT(SR42),MATCH(INDIRECT(SP$3),INDIRECT(SR42),SR$25)),IFERROR(IF(SR$25=-1,MAX(INDIRECT(SR42)),IF(SR$25=1,MIN(INDIRECT(SR42)))),"")))))</f>
        <v/>
      </c>
      <c r="SU42" s="91" t="str">
        <f t="shared" ca="1" si="109"/>
        <v>Handball_2[Note]</v>
      </c>
      <c r="SV42" s="97" t="str" cm="1">
        <f t="array" aca="1" ref="SV42" ca="1">IFERROR(INDEX(INDIRECT(SU42),MATCH(INDIRECT(SP$5),INDIRECT(SR42),0)),IF(INDIRECT(SP$5)=0,1,""))</f>
        <v/>
      </c>
      <c r="SW42" s="97"/>
      <c r="SX42" s="307"/>
      <c r="SY42" s="96" t="str">
        <f>IFERROR(IFERROR(SUBSTITUTE(UnihockeyResultat[[#This Row],[Eingabe]],".",",")*1,SUBSTITUTE(UnihockeyResultat[[#This Row],[Eingabe]],",",".")*1),"")</f>
        <v/>
      </c>
      <c r="SZ42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2" s="96"/>
      <c r="TB42" s="91" t="str" cm="1">
        <f t="array" aca="1" ref="TB42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2" s="96" t="str">
        <f ca="1">LEFT(Geschlecht[[#This Row],[Geschlecht (Skala)]],1)&amp;TH$4</f>
        <v>2</v>
      </c>
      <c r="TD42" s="96" t="str">
        <f t="shared" ca="1" si="110"/>
        <v>Unihockey_2[Resultat]</v>
      </c>
      <c r="TE42" s="97" t="str" cm="1">
        <f t="array" aca="1" ref="TE42" ca="1">IF(INDIRECT(TB$1)="","",IF(INDIRECT(TB$2)=0,0,IF(OR(INDIRECT(TB$1)=$A$2,INDIRECT(TB$1)=$A$3),$A$3,IFERROR(INDEX(INDIRECT(TD42),MATCH(INDIRECT(TB$3),INDIRECT(TD42),TD$25)),IFERROR(IF(TD$25=-1,MAX(INDIRECT(TD42)),IF(TD$25=1,MIN(INDIRECT(TD42)))),"")))))</f>
        <v/>
      </c>
      <c r="TG42" s="91" t="str">
        <f t="shared" ca="1" si="111"/>
        <v>Unihockey_2[Note]</v>
      </c>
      <c r="TH42" s="97" t="str" cm="1">
        <f t="array" aca="1" ref="TH42" ca="1">IFERROR(INDEX(INDIRECT(TG42),MATCH(INDIRECT(TB$5),INDIRECT(TD42),0)),IF(INDIRECT(TB$5)=0,1,""))</f>
        <v/>
      </c>
      <c r="TI42" s="97"/>
      <c r="TJ42" s="307"/>
      <c r="TK42" s="96" t="str">
        <f>IFERROR(IFERROR(SUBSTITUTE(VolleyballResultat[[#This Row],[Eingabe]],".",",")*1,SUBSTITUTE(VolleyballResultat[[#This Row],[Eingabe]],",",".")*1),"")</f>
        <v/>
      </c>
      <c r="TL42" s="96" t="e">
        <f>INT(VolleyballResultat[[#This Row],[Resultat]])=VolleyballResultat[[#This Row],[Resultat]]</f>
        <v>#VALUE!</v>
      </c>
      <c r="TM42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2" s="96"/>
      <c r="TO42" s="91" t="str" cm="1">
        <f t="array" aca="1" ref="TO42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2" s="96" t="str">
        <f ca="1">LEFT(Geschlecht[[#This Row],[Geschlecht (Skala)]],1)&amp;TU$4</f>
        <v>2</v>
      </c>
      <c r="TQ42" s="96" t="str">
        <f t="shared" ca="1" si="112"/>
        <v>Volleyball_2[Resultat]</v>
      </c>
      <c r="TR42" s="97" t="str" cm="1">
        <f t="array" aca="1" ref="TR42" ca="1">IF(INDIRECT(TO$1)="","",IF(INDIRECT(TO$2)=0,0,IF(OR(INDIRECT(TO$1)=$A$2,INDIRECT(TO$1)=$A$3),$A$3,IFERROR(INDEX(INDIRECT(TQ42),MATCH(INDIRECT(TO$3),INDIRECT(TQ42),TQ$25)),IFERROR(IF(TQ$25=-1,MAX(INDIRECT(TQ42)),IF(TQ$25=1,MIN(INDIRECT(TQ42)))),"")))))</f>
        <v/>
      </c>
      <c r="TT42" s="91" t="str">
        <f t="shared" ca="1" si="113"/>
        <v>Volleyball_2[Note]</v>
      </c>
      <c r="TU42" s="97" t="str" cm="1">
        <f t="array" aca="1" ref="TU42" ca="1">IFERROR(INDEX(INDIRECT(TT42),MATCH(INDIRECT(TO$5),INDIRECT(TQ42),0)),IF(INDIRECT(TO$5)=0,1,""))</f>
        <v/>
      </c>
      <c r="TV42" s="97"/>
      <c r="TW42" s="309" t="str" cm="1">
        <f t="array" aca="1" ref="TW42" ca="1">IF(AND(ISNUMBER(INDIRECT(TW$3)),INDIRECT(TW$3)&gt;1),INDIRECT(TW$3),"")</f>
        <v/>
      </c>
      <c r="TX42" s="309" t="str" cm="1">
        <f t="array" aca="1" ref="TX42" ca="1">IF(AND(ISNUMBER(INDIRECT(TX$3)),INDIRECT(TX$3)&gt;1),INDIRECT(TX$3),"")</f>
        <v/>
      </c>
      <c r="TY42" s="309" t="str" cm="1">
        <f t="array" aca="1" ref="TY42" ca="1">IF(AND(ISNUMBER(INDIRECT(TY$3)),INDIRECT(TY$3)&gt;1),INDIRECT(TY$3),"")</f>
        <v/>
      </c>
      <c r="TZ42" s="309" t="str" cm="1">
        <f t="array" aca="1" ref="TZ42" ca="1">IF(AND(ISNUMBER(INDIRECT(TZ$3)),INDIRECT(TZ$3)&gt;1),INDIRECT(TZ$3),"")</f>
        <v/>
      </c>
      <c r="UA42" s="309" t="str" cm="1">
        <f t="array" aca="1" ref="UA42" ca="1">IF(AND(ISNUMBER(INDIRECT(UA$3)),INDIRECT(UA$3)&gt;1),INDIRECT(UA$3),"")</f>
        <v/>
      </c>
      <c r="UB42" s="309" t="str">
        <f t="shared" ca="1" si="114"/>
        <v>x</v>
      </c>
      <c r="UC42" s="309" t="str">
        <f t="shared" ca="1" si="115"/>
        <v>y</v>
      </c>
      <c r="UD42" s="309" t="str">
        <f t="shared" ca="1" si="116"/>
        <v>z</v>
      </c>
      <c r="UE42" s="309" t="str">
        <f t="shared" ca="1" si="215"/>
        <v>a</v>
      </c>
      <c r="UF42" s="309" t="str" cm="1">
        <f t="array" aca="1" ref="UF42" ca="1">IF(UE42="a","",INDEX($TW$23:$UA$23,,MATCH(UE42,$TW42:$UA42,0)))</f>
        <v/>
      </c>
      <c r="UG42" s="309" t="str" cm="1">
        <f t="array" aca="1" ref="UG42" ca="1">IF(OR(UF42="",UF42&gt;=$UA$23),"",INDEX(INDIRECT(ADDRESS(ROW($TW$23),UF42+1)):$UA$23,,MATCH(UE42,INDIRECT(ADDRESS(ROW(),UF42+1)):$UA42,0)))</f>
        <v/>
      </c>
      <c r="UH42" s="309" t="str" cm="1">
        <f t="array" aca="1" ref="UH42" ca="1">IF(OR(UG42="",UG42&gt;=$UA$23),"",INDEX(INDIRECT(ADDRESS(ROW($TW$23),UG42+1)):$UA$23,,MATCH(UE42,INDIRECT(ADDRESS(ROW(),UG42+1)):$UA42,0)))</f>
        <v/>
      </c>
      <c r="UI42" s="309" t="str">
        <f t="shared" ca="1" si="216"/>
        <v>c</v>
      </c>
      <c r="UJ42" s="309" t="str" cm="1">
        <f t="array" aca="1" ref="UJ42" ca="1">IF(OR(UI42="b",UI42="c"),"",INDEX($TW$23:$UA$23,,MATCH(UI42,$TW42:$UA42,0)))</f>
        <v/>
      </c>
      <c r="UK42" s="309" t="str" cm="1">
        <f t="array" aca="1" ref="UK42" ca="1">IF(OR(UJ42="",UJ42&gt;=$UA$23),"",INDEX(INDIRECT(ADDRESS(ROW($TW$23),UJ42+1)):$UA$23,,MATCH(UI42,INDIRECT(ADDRESS(ROW(),UJ42+1)):$UA42,0)))</f>
        <v/>
      </c>
      <c r="UL42" s="309" t="str">
        <f t="shared" ca="1" si="117"/>
        <v/>
      </c>
      <c r="UM42" s="309" t="str">
        <f t="shared" ca="1" si="217"/>
        <v>e</v>
      </c>
      <c r="UN42" s="309" t="str">
        <f t="shared" ca="1" si="118"/>
        <v/>
      </c>
      <c r="UO42" s="309" t="str" cm="1">
        <f t="array" aca="1" ref="UO42" ca="1">IF(OR(UM42="d",UM42="e"),"",INDEX($TW$23:$UA$23,,MATCH(UM42,$TW42:$UA42,0)))</f>
        <v/>
      </c>
      <c r="UP42" s="309" t="str" cm="1">
        <f t="array" aca="1" ref="UP42" ca="1">IF(OR(UO42="",UO42&gt;=$UA$23),"",INDEX(INDIRECT(ADDRESS(ROW($TW$23),UO42+1)):$UA$23,,MATCH(UM42,INDIRECT(ADDRESS(ROW(),UO42+1)):$UA42,0)))</f>
        <v/>
      </c>
      <c r="UQ42" s="309" t="str" cm="1">
        <f t="array" aca="1" ref="UQ42" ca="1">IFERROR(IF(ISNUMBER(UF42),UF42,IF(ISNUMBER(UJ42),UJ42,IF(ISNUMBER(UN42),UN42,INDEX($TW$23:$UA$23,,MATCH(UB42,$TW42:$UA42,0))))),"x1")</f>
        <v>x1</v>
      </c>
      <c r="UR42" s="309" t="str" cm="1">
        <f t="array" aca="1" ref="UR42" ca="1">IFERROR(IF(ISNUMBER(UG42),UG42,IF(ISNUMBER(UK42),UK42,IF(ISNUMBER(UO42),UO42,INDEX($TW$23:$UA$23,,MATCH(UC42,$TW42:$UA42,0))))),IF(UQ42="x1","x2","x1"))</f>
        <v>x2</v>
      </c>
      <c r="US42" s="309" t="str" cm="1">
        <f t="array" aca="1" ref="US42" ca="1">IFERROR(IF(ISNUMBER(UH42),UH42,IF(ISNUMBER(UL42),UL42,IF(ISNUMBER(UP42),UP42,INDEX($TW$23:$UA$23,,MATCH(UD42,$TW42:$UA42,0))))),IF(UR42="x1","x2",IF(UR42="x2","x3","x1")))</f>
        <v>x3</v>
      </c>
      <c r="UT42" s="97" t="str" cm="1">
        <f t="array" aca="1" ref="UT42" ca="1">IF(OR(INDIRECT(UT$3)=$A$2,INDIRECT(UT$3)=$A$3),COLUMN(),"")</f>
        <v/>
      </c>
      <c r="UU42" s="97" t="str" cm="1">
        <f t="array" aca="1" ref="UU42" ca="1">IF(OR(INDIRECT(UU$3)=$A$2,INDIRECT(UU$3)=$A$3),COLUMN(),"")</f>
        <v/>
      </c>
      <c r="UV42" s="97" t="str" cm="1">
        <f t="array" aca="1" ref="UV42" ca="1">IF(OR(INDIRECT(UV$3)=$A$2,INDIRECT(UV$3)=$A$3),COLUMN(),"")</f>
        <v/>
      </c>
      <c r="UW42" s="97" t="str" cm="1">
        <f t="array" aca="1" ref="UW42" ca="1">IF(OR(INDIRECT(UW$3)=$A$2,INDIRECT(UW$3)=$A$3),COLUMN(),"")</f>
        <v/>
      </c>
      <c r="UX42" s="97" t="str" cm="1">
        <f t="array" aca="1" ref="UX42" ca="1">IF(OR(INDIRECT(UX$3)=$A$2,INDIRECT(UX$3)=$A$3),COLUMN(),"")</f>
        <v/>
      </c>
      <c r="UY42" s="97" t="str" cm="1">
        <f t="array" aca="1" ref="UY42" ca="1">IF(AND(ISNUMBER(INDIRECT(UY$3)),INDIRECT(UY$3)=0),COLUMN(),"")</f>
        <v/>
      </c>
      <c r="UZ42" s="97" t="str" cm="1">
        <f t="array" aca="1" ref="UZ42" ca="1">IF(AND(ISNUMBER(INDIRECT(UZ$3)),INDIRECT(UZ$3)=0),COLUMN(),"")</f>
        <v/>
      </c>
      <c r="VA42" s="97" t="str" cm="1">
        <f t="array" aca="1" ref="VA42" ca="1">IF(AND(ISNUMBER(INDIRECT(VA$3)),INDIRECT(VA$3)=0),COLUMN(),"")</f>
        <v/>
      </c>
      <c r="VB42" s="97" t="str" cm="1">
        <f t="array" aca="1" ref="VB42" ca="1">IF(AND(ISNUMBER(INDIRECT(VB$3)),INDIRECT(VB$3)=0),COLUMN(),"")</f>
        <v/>
      </c>
      <c r="VC42" s="97" t="str" cm="1">
        <f t="array" aca="1" ref="VC42" ca="1">IF(AND(ISNUMBER(INDIRECT(VC$3)),INDIRECT(VC$3)=0),COLUMN(),"")</f>
        <v/>
      </c>
      <c r="VD42" s="97" t="str">
        <f t="shared" ca="1" si="218"/>
        <v>x1</v>
      </c>
      <c r="VE42" s="97" t="str">
        <f t="shared" ca="1" si="219"/>
        <v>x2</v>
      </c>
      <c r="VF42" s="97" t="str">
        <f t="shared" ca="1" si="220"/>
        <v>x3</v>
      </c>
      <c r="VG42" s="97" t="str">
        <f ca="1">IFERROR(IF(ISNUMBER(VD42),VD42,SMALL($UY42:$VC42,VALUE(RIGHT(VD42,1)))),Stammdaten!$CB$17)</f>
        <v>Erste Spielsportart nicht durchgeführt</v>
      </c>
      <c r="VH42" s="97" t="str">
        <f ca="1">IFERROR(IF(ISNUMBER(VE42),VE42,SMALL($UY42:$VC42,VALUE(RIGHT(VE42,1)))),Stammdaten!$CB$18)</f>
        <v>Zweite Spielsportart nicht durchgeführt</v>
      </c>
      <c r="VI42" s="97" t="str">
        <f ca="1">IFERROR(IF(ISNUMBER(VF42),VF42,SMALL($UY42:$VC42,VALUE(RIGHT(VF42,1)))),Stammdaten!$CB$19)</f>
        <v>Dritte Spielsportart nicht durchgeführt</v>
      </c>
      <c r="VJ42" s="91" t="str" cm="1">
        <f t="array" aca="1" ref="VJ42" ca="1">IFERROR(INDIRECT(ADDRESS(ROW($TW$5),VG42)),VG42)</f>
        <v>Erste Spielsportart nicht durchgeführt</v>
      </c>
      <c r="VK42" s="97" t="str">
        <f t="shared" ca="1" si="221"/>
        <v/>
      </c>
      <c r="VL42" s="97" t="str" cm="1">
        <f t="array" aca="1" ref="VL42" ca="1">IFERROR(IF(INDIRECT(INDEX(INDIRECT(VL$5),MATCH(VJ42,INDIRECT(VL$4),0)))&lt;&gt;"",INDEX(INDIRECT(VL$5),MATCH(VJ42,INDIRECT(VL$4),0)),INDEX(INDIRECT(VL$6),MATCH(VJ42,INDIRECT(VL$4),0))),"")</f>
        <v/>
      </c>
      <c r="VM42" s="97" t="str">
        <f t="shared" ca="1" si="222"/>
        <v/>
      </c>
      <c r="VN42" s="97" t="str" cm="1">
        <f t="array" aca="1" ref="VN42" ca="1">IFERROR(INDIRECT(VL42),"")</f>
        <v/>
      </c>
      <c r="VO42" s="97" t="str">
        <f ca="1">IF(VN42="","",IF(AND(VK42=Stammdaten!$BX$20,VM42="0",VN42=1),SUBSTITUTE(TEXT(VN42,VM42)&amp;" "&amp;LEFT(VK42,LEN(VK42)-1),".",","),SUBSTITUTE(TEXT(VN42,VM42)&amp;" "&amp;VK42,".",",")))</f>
        <v/>
      </c>
      <c r="VP42" s="97" t="str">
        <f t="shared" ca="1" si="119"/>
        <v/>
      </c>
      <c r="VQ42" s="97" t="str" cm="1">
        <f t="array" aca="1" ref="VQ42" ca="1">IFERROR(LEFT(INDIRECT(VP42),1)&amp;"]","")</f>
        <v/>
      </c>
      <c r="VR42" s="97" t="str">
        <f t="shared" ca="1" si="120"/>
        <v/>
      </c>
      <c r="VS42" s="97" t="str">
        <f ca="1">IFERROR(LEFT(VJ42,FIND(Stammdaten!$CA$4,VJ42,1)-2),IFERROR(LEFT(VJ42,FIND(Stammdaten!$CC$3,VJ42,1)-2),VJ42))</f>
        <v>Erste Spielsportart</v>
      </c>
      <c r="VT42" s="97" t="str">
        <f ca="1">IF(NOT(ISERROR(FIND(Stammdaten!$CA$4,VJ42,1))),Stammdaten!$CA$4,IF(VU42&lt;&gt;Stammdaten!$CC$3,VR42,""))</f>
        <v>nicht durchgeführt</v>
      </c>
      <c r="VU42" s="91" t="str">
        <f ca="1">IF(VN42=$A$2,Stammdaten!$CC$3,VO42)</f>
        <v/>
      </c>
      <c r="VV42" s="91" t="str" cm="1">
        <f t="array" aca="1" ref="VV42" ca="1">IFERROR(INDIRECT(ADDRESS(ROW($TW$5),VH42)),VH42)</f>
        <v>Zweite Spielsportart nicht durchgeführt</v>
      </c>
      <c r="VW42" s="97" t="str">
        <f t="shared" ca="1" si="223"/>
        <v/>
      </c>
      <c r="VX42" s="97" t="str" cm="1">
        <f t="array" aca="1" ref="VX42" ca="1">IFERROR(IF(INDIRECT(INDEX(INDIRECT(VX$5),MATCH(VV42,INDIRECT(VX$4),0)))&lt;&gt;"",INDEX(INDIRECT(VX$5),MATCH(VV42,INDIRECT(VX$4),0)),INDEX(INDIRECT(VX$6),MATCH(VV42,INDIRECT(VX$4),0))),"")</f>
        <v/>
      </c>
      <c r="VY42" s="97" t="str">
        <f t="shared" ca="1" si="224"/>
        <v/>
      </c>
      <c r="VZ42" s="97" t="str" cm="1">
        <f t="array" aca="1" ref="VZ42" ca="1">IFERROR(INDIRECT(VX42),"")</f>
        <v/>
      </c>
      <c r="WA42" s="97" t="str">
        <f ca="1">IF(VZ42="","",IF(AND(VW42=Stammdaten!$BX$20,VY42="0",VZ42=1),SUBSTITUTE(TEXT(VZ42,VY42)&amp;" "&amp;LEFT(VW42,LEN(VW42)-1),".",","),SUBSTITUTE(TEXT(VZ42,VY42)&amp;" "&amp;VW42,".",",")))</f>
        <v/>
      </c>
      <c r="WB42" s="97" t="str">
        <f t="shared" ca="1" si="121"/>
        <v/>
      </c>
      <c r="WC42" s="97" t="str" cm="1">
        <f t="array" aca="1" ref="WC42" ca="1">IFERROR(LEFT(INDIRECT(WB42),1)&amp;"]","")</f>
        <v/>
      </c>
      <c r="WD42" s="97" t="str">
        <f t="shared" ca="1" si="122"/>
        <v/>
      </c>
      <c r="WE42" s="97" t="str">
        <f ca="1">IFERROR(LEFT(VV42,FIND(Stammdaten!$CA$4,VV42,1)-2),IFERROR(LEFT(VV42,FIND(Stammdaten!$CC$3,VV42,1)-2),VV42))</f>
        <v>Zweite Spielsportart</v>
      </c>
      <c r="WF42" s="97" t="str">
        <f ca="1">IF(NOT(ISERROR(FIND(Stammdaten!$CA$4,VV42,1))),Stammdaten!$CA$4,IF(WG42&lt;&gt;Stammdaten!$CC$3,WD42,""))</f>
        <v>nicht durchgeführt</v>
      </c>
      <c r="WG42" s="91" t="str">
        <f ca="1">IF(VZ42=$A$2,Stammdaten!$CC$3,WA42)</f>
        <v/>
      </c>
      <c r="WH42" s="91" t="str" cm="1">
        <f t="array" aca="1" ref="WH42" ca="1">IFERROR(INDIRECT(ADDRESS(ROW($TW$5),VI42)),VI42)</f>
        <v>Dritte Spielsportart nicht durchgeführt</v>
      </c>
      <c r="WI42" s="97" t="str">
        <f t="shared" ca="1" si="225"/>
        <v/>
      </c>
      <c r="WJ42" s="97" t="str" cm="1">
        <f t="array" aca="1" ref="WJ42" ca="1">IFERROR(IF(INDIRECT(INDEX(INDIRECT(WJ$5),MATCH(WH42,INDIRECT(WJ$4),0)))&lt;&gt;"",INDEX(INDIRECT(WJ$5),MATCH(WH42,INDIRECT(WJ$4),0)),INDEX(INDIRECT(WJ$6),MATCH(WH42,INDIRECT(WJ$4),0))),"")</f>
        <v/>
      </c>
      <c r="WK42" s="97" t="str">
        <f t="shared" ca="1" si="226"/>
        <v/>
      </c>
      <c r="WL42" s="97" t="str" cm="1">
        <f t="array" aca="1" ref="WL42" ca="1">IFERROR(INDIRECT(WJ42),"")</f>
        <v/>
      </c>
      <c r="WM42" s="97" t="str">
        <f ca="1">IF(WL42="","",IF(AND(WI42=Stammdaten!$BX$20,WK42="0",WL42=1),SUBSTITUTE(TEXT(WL42,WK42)&amp;" "&amp;LEFT(WI42,LEN(WI42)-1),".",","),SUBSTITUTE(TEXT(WL42,WK42)&amp;" "&amp;WI42,".",",")))</f>
        <v/>
      </c>
      <c r="WN42" s="97" t="str">
        <f t="shared" ca="1" si="123"/>
        <v/>
      </c>
      <c r="WO42" s="97" t="str" cm="1">
        <f t="array" aca="1" ref="WO42" ca="1">IFERROR(LEFT(INDIRECT(WN42),1)&amp;"]","")</f>
        <v/>
      </c>
      <c r="WP42" s="97" t="str">
        <f t="shared" ca="1" si="124"/>
        <v/>
      </c>
      <c r="WQ42" s="97" t="str">
        <f ca="1">IFERROR(LEFT(WH42,FIND(Stammdaten!$CA$4,WH42,1)-2),IFERROR(LEFT(WH42,FIND(Stammdaten!$CC$3,WH42,1)-2),WH42))</f>
        <v>Dritte Spielsportart</v>
      </c>
      <c r="WR42" s="97" t="str">
        <f ca="1">IF(NOT(ISERROR(FIND(Stammdaten!$CA$4,WH42,1))),Stammdaten!$CA$4,IF(WS42&lt;&gt;Stammdaten!$CC$3,WP42,""))</f>
        <v>nicht durchgeführt</v>
      </c>
      <c r="WS42" s="91" t="str">
        <f ca="1">IF(WL42=$A$2,Stammdaten!$CC$3,WM42)</f>
        <v/>
      </c>
      <c r="WT42" s="97" t="str" cm="1">
        <f t="array" aca="1" ref="WT42" ca="1">INDIRECT(WT$5)</f>
        <v/>
      </c>
      <c r="WU42" s="97" t="str" cm="1">
        <f t="array" aca="1" ref="WU42" ca="1">INDIRECT(WU$5)</f>
        <v/>
      </c>
      <c r="WV42" s="97" t="str" cm="1">
        <f t="array" aca="1" ref="WV42" ca="1">INDIRECT(WV$5)</f>
        <v/>
      </c>
      <c r="WW42" s="97" t="str" cm="1">
        <f t="array" aca="1" ref="WW42" ca="1">INDIRECT(WW$5)</f>
        <v/>
      </c>
      <c r="WX42" s="97" t="str" cm="1">
        <f t="array" aca="1" ref="WX42" ca="1">INDIRECT(WX$5)</f>
        <v/>
      </c>
      <c r="WY42" s="97" cm="1">
        <f t="array" aca="1" ref="WY42" ca="1">IF(INDIRECT(WY$5)&lt;&gt;"",INDIRECT(WY$5),0)</f>
        <v>0</v>
      </c>
      <c r="WZ42" s="97" cm="1">
        <f t="array" aca="1" ref="WZ42" ca="1">IF(INDIRECT(WZ$5)&lt;&gt;"",INDIRECT(WZ$5),0)</f>
        <v>0</v>
      </c>
      <c r="XA42" s="97" cm="1">
        <f t="array" aca="1" ref="XA42" ca="1">IF(INDIRECT(XA$5)&lt;&gt;"",INDIRECT(XA$5),0)</f>
        <v>0</v>
      </c>
      <c r="XB42" s="97" cm="1">
        <f t="array" aca="1" ref="XB42" ca="1">IF(INDIRECT(XB$5)&lt;&gt;"",INDIRECT(XB$5),0)</f>
        <v>0</v>
      </c>
      <c r="XC42" s="97" cm="1">
        <f t="array" aca="1" ref="XC42" ca="1">IF(INDIRECT(XC$5)&lt;&gt;"",INDIRECT(XC$5),0)</f>
        <v>0</v>
      </c>
      <c r="XD42" s="97">
        <f t="shared" ca="1" si="125"/>
        <v>0</v>
      </c>
      <c r="XE42" s="97">
        <f t="shared" ca="1" si="125"/>
        <v>0</v>
      </c>
      <c r="XF42" s="97">
        <f t="shared" ca="1" si="125"/>
        <v>0</v>
      </c>
      <c r="XG42" s="97">
        <f t="shared" ca="1" si="227"/>
        <v>0</v>
      </c>
      <c r="XH42" s="108">
        <f t="shared" ca="1" si="228"/>
        <v>0</v>
      </c>
      <c r="XI42" s="108">
        <f t="shared" ca="1" si="126"/>
        <v>0</v>
      </c>
      <c r="XJ42" s="108" t="str">
        <f t="shared" ca="1" si="229"/>
        <v/>
      </c>
      <c r="XK42" s="97" t="str">
        <f ca="1">IF(XJ42="",Stammdaten!$BZ$1,IF(AND(XH42=0,XI42&gt;=XJ$25),$A$3,ROUND(SUM(XG42/XJ42)/XK$25,0)*XK$25))</f>
        <v>Zu wenige Werte</v>
      </c>
      <c r="XL42" s="108">
        <f t="shared" ca="1" si="230"/>
        <v>6</v>
      </c>
      <c r="XM42" s="97" t="str">
        <f t="shared" ca="1" si="231"/>
        <v/>
      </c>
      <c r="XN42" s="97" t="str">
        <f t="shared" ca="1" si="232"/>
        <v/>
      </c>
      <c r="XO42" s="97" t="str">
        <f t="shared" ca="1" si="233"/>
        <v/>
      </c>
      <c r="XP42" s="97" t="str">
        <f t="shared" ca="1" si="234"/>
        <v/>
      </c>
      <c r="XQ42" s="97" t="str">
        <f t="shared" ca="1" si="235"/>
        <v>g</v>
      </c>
      <c r="XR42" s="97" t="str">
        <f t="shared" ca="1" si="236"/>
        <v/>
      </c>
      <c r="XS42" s="97">
        <f t="shared" ca="1" si="237"/>
        <v>1</v>
      </c>
      <c r="XT42" s="97" t="str">
        <f ca="1">IF(OR(Geschlecht[[#This Row],[Geschlecht (Skala)]]="",NOT(ISNUMBER(XJ42))),"",XS42)</f>
        <v/>
      </c>
      <c r="XU42" s="97" t="str">
        <f t="shared" ca="1" si="238"/>
        <v/>
      </c>
      <c r="XV42" s="97"/>
      <c r="XW42" s="308" t="str">
        <f t="shared" ca="1" si="127"/>
        <v>Zu wenige Werte</v>
      </c>
      <c r="XX42" s="97"/>
      <c r="XY42" s="97" t="str">
        <f t="shared" ca="1" si="128"/>
        <v>Zu wenige Werte</v>
      </c>
      <c r="XZ42" s="97" t="str">
        <f t="shared" ca="1" si="129"/>
        <v>Zu wenige Werte</v>
      </c>
      <c r="YA42" s="97" t="str">
        <f t="shared" ca="1" si="130"/>
        <v>Zu wenige Werte</v>
      </c>
      <c r="YB42" s="97" t="str">
        <f t="shared" ca="1" si="131"/>
        <v>Zu wenige Werte</v>
      </c>
      <c r="YC42" s="97">
        <f t="shared" ca="1" si="239"/>
        <v>0</v>
      </c>
      <c r="YD42" s="108">
        <f t="shared" ca="1" si="240"/>
        <v>0</v>
      </c>
      <c r="YE42" s="108">
        <f t="shared" ca="1" si="241"/>
        <v>0</v>
      </c>
      <c r="YF42" s="108" t="str">
        <f t="shared" ca="1" si="242"/>
        <v/>
      </c>
      <c r="YG42" s="97" t="str">
        <f ca="1">IF(YF42="",Stammdaten!$BZ$1,IF(YE42=YF$25,$A$3,ROUND(SUM(YC42/YF42)/YG$25,0)*YG$25))</f>
        <v>Zu wenige Werte</v>
      </c>
      <c r="YH42" s="97" t="str">
        <f ca="1">IF(NOT(ISNUMBER(XY42)),"",IF(YH$11&lt;&gt;"2+",TEXT(XY42,YH$11)&amp;" / ",IF(RIGHT(XY42*100,2)="00",TEXT(XY42,"0"&amp;Stammdaten!$AZ$3&amp;"0")&amp;" / ",XY42&amp;" / ")))</f>
        <v/>
      </c>
      <c r="YI42" s="97" t="str">
        <f ca="1">IF(NOT(ISNUMBER(XZ42)),"",IF(YI$11&lt;&gt;"2+",TEXT(XZ42,YI$11)&amp;" / ",IF(RIGHT(XZ42*100,2)="00",TEXT(XZ42,"0"&amp;Stammdaten!$AZ$3&amp;"0")&amp;" / ",XZ42&amp;" / ")))</f>
        <v/>
      </c>
      <c r="YJ42" s="97" t="str">
        <f ca="1">IF(NOT(ISNUMBER(YA42)),"",IF(YJ$11&lt;&gt;"2+",TEXT(YA42,YJ$11)&amp;" / ",IF(RIGHT(YA42*100,2)="00",TEXT(YA42,"0"&amp;Stammdaten!$AZ$3&amp;"0")&amp;" / ",YA42&amp;" / ")))</f>
        <v/>
      </c>
      <c r="YK42" s="97" t="str">
        <f ca="1">IF(NOT(ISNUMBER(YB42)),"",IF(YK$11&lt;&gt;"2+",TEXT(YB42,YK$11)&amp;" / ",IF(RIGHT(YB42*100,2)="00",TEXT(YB42,"0"&amp;Stammdaten!$AZ$3&amp;"0")&amp;" / ",YB42&amp;" / ")))</f>
        <v/>
      </c>
      <c r="YL42" s="97" t="str">
        <f t="shared" ca="1" si="243"/>
        <v/>
      </c>
      <c r="YM42" s="97" t="str">
        <f>IF(Geschlecht[[#This Row],[Geschlecht (Skala)]]="","",IF(ISNUMBER(XY42),1,IF(XY42=$A$3,$A$2,"R")))</f>
        <v/>
      </c>
      <c r="YN42" s="97" t="str">
        <f>IF(Geschlecht[[#This Row],[Geschlecht (Skala)]]="","",IF(ISNUMBER(XZ42),1,IF(XZ42=$A$3,$A$2,"R")))</f>
        <v/>
      </c>
      <c r="YO42" s="97" t="str">
        <f>IF(Geschlecht[[#This Row],[Geschlecht (Skala)]]="","",IF(ISNUMBER(YA42),1,IF(YA42=$A$3,$A$2,"R")))</f>
        <v/>
      </c>
      <c r="YP42" s="97" t="str">
        <f>IF(Geschlecht[[#This Row],[Geschlecht (Skala)]]="","",IF(ISNUMBER(YB42),1,IF(YB42=$A$3,$A$2,"R")))</f>
        <v/>
      </c>
      <c r="YQ42" s="97" t="str">
        <f t="shared" si="244"/>
        <v>g</v>
      </c>
      <c r="YR42" s="97" t="str">
        <f t="shared" ca="1" si="245"/>
        <v/>
      </c>
      <c r="YS42" s="97">
        <f t="shared" ca="1" si="246"/>
        <v>1</v>
      </c>
      <c r="YT42" s="97" t="str">
        <f ca="1">IF(OR(Geschlecht[[#This Row],[Geschlecht (Skala)]]="",NOT(ISNUMBER(YG42))),"",YS42)</f>
        <v/>
      </c>
      <c r="YU42" s="97"/>
      <c r="YV42" s="311" t="str">
        <f t="shared" si="247"/>
        <v>D</v>
      </c>
      <c r="YW42" s="302"/>
      <c r="YX42" s="311" t="str">
        <f t="shared" si="248"/>
        <v>D</v>
      </c>
      <c r="YY42" s="302"/>
      <c r="YZ42" s="311" t="str">
        <f t="shared" si="249"/>
        <v>D</v>
      </c>
      <c r="ZA42" s="302"/>
      <c r="ZB42" s="311" t="str">
        <f t="shared" si="250"/>
        <v>D</v>
      </c>
      <c r="ZC42" s="97"/>
      <c r="ZD42" s="97" t="str">
        <f t="shared" ca="1" si="132"/>
        <v/>
      </c>
      <c r="ZE42" s="97"/>
      <c r="ZF42" s="308" t="str">
        <f t="shared" ca="1" si="251"/>
        <v>Zu wenige Werte</v>
      </c>
      <c r="ZH42" s="317" t="s">
        <v>134</v>
      </c>
      <c r="ZJ42" s="91" t="str" cm="1">
        <f t="array" ref="ZJ42">IF(OR(Geschlecht[[#This Row],[Geschlecht (Skala)]]="",ZH42="",ZH42=Stammdaten!$BZ$5),"",REPLACE(INDEX(StdDisziplinen[TabÜberschriftNote],ZH$3),FIND("X",INDEX(StdDisziplinen[TabÜberschriftNote],ZH$3),1),1,Geschlecht[[#This Row],[Geschlecht (Skala)]]))</f>
        <v/>
      </c>
      <c r="ZK42" s="314"/>
      <c r="ZM42" s="315"/>
      <c r="ZN42" s="97" t="str">
        <f>IFERROR(IFERROR(SUBSTITUTE(SchwimmenResultatMin[[#This Row],[Min]],".",",")*1,SUBSTITUTE(SchwimmenResultatMin[[#This Row],[Min]],",",".")*1),"")</f>
        <v/>
      </c>
      <c r="ZO42" s="91" t="e">
        <f>INT(SchwimmenResultatMin[[#This Row],[Resultat]])=SchwimmenResultatMin[[#This Row],[Resultat]]</f>
        <v>#VALUE!</v>
      </c>
      <c r="ZP42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2" s="315"/>
      <c r="ZS42" s="97" t="str">
        <f>IFERROR(IFERROR(SUBSTITUTE(SchwimmenResultatSek[[#This Row],[Sek]],".",",")*1,SUBSTITUTE(SchwimmenResultatSek[[#This Row],[Sek]],",",".")*1),"")</f>
        <v/>
      </c>
      <c r="ZT42" s="108" t="e">
        <f>INT(SchwimmenResultatSek[[#This Row],[Resultat]])=SchwimmenResultatSek[[#This Row],[Resultat]]</f>
        <v>#VALUE!</v>
      </c>
      <c r="ZU42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2" s="97" t="str" cm="1">
        <f t="array" aca="1" ref="ZW42" ca="1">IF(AND(INDIRECT(ZW$2)="",INDIRECT(ZX$2)=""),"",IFERROR((INDIRECT(ZW$2)*$ZW$25)+INDIRECT(ZX$2),""))</f>
        <v/>
      </c>
      <c r="ZX42" s="91" t="str">
        <f ca="1">REPLACE(ZW$4,ZX$6,1,Geschlecht[[#This Row],[Geschlecht (Skala)]])</f>
        <v>Schwimmen_[Resultat]</v>
      </c>
      <c r="ZY42" s="91" t="str">
        <f ca="1">IFERROR(REPLACE($ZX42,FIND(Stammdaten!$V$2,$ZX42,1),LEN(Stammdaten!$V$2),Stammdaten!$BZ$9),"")</f>
        <v>Schwimmen_[Anzeige]</v>
      </c>
      <c r="ZZ42" s="97" t="str" cm="1">
        <f t="array" aca="1" ref="ZZ42" ca="1">IF(INDIRECT(ZW$3)="","",IF(INDIRECT(ZW$3)=0,0,IF(OR(INDIRECT(ZW$1)=$A$2,INDIRECT(ZW$1)=$A$3),$A$3,IFERROR(INDEX(INDIRECT(ZX42),MATCH(INDIRECT(ZW$3),INDIRECT(ZX42),ZY$25)),IFERROR(IF(ZY$25=-1,MAX(INDIRECT(ZX42)),IF(ZY$25=1,MIN(INDIRECT(ZX42)))),"")))))</f>
        <v/>
      </c>
      <c r="AAA42" s="97" t="str" cm="1">
        <f t="array" aca="1" ref="AAA42" ca="1">IF(INDIRECT(ZX$5)=0,0,IF(OR(INDIRECT(ZW$1)=$A$2,INDIRECT(ZW$1)=$A$3),$A$3,IFERROR(INDEX(INDIRECT($ZY42),MATCH(INDIRECT(ZX$5),INDIRECT($ZX42),0)),"")))</f>
        <v/>
      </c>
      <c r="AAC42" s="91" t="str">
        <f ca="1">REPLACE(ZW$6,ZX$6,1,Geschlecht[[#This Row],[Geschlecht (Skala)]])</f>
        <v>Schwimmen_[Note]</v>
      </c>
      <c r="AAD42" s="97" t="str" cm="1">
        <f t="array" aca="1" ref="AAD42" ca="1">IFERROR(INDEX(INDIRECT(AAC42),MATCH(INDIRECT(ZX$5),INDIRECT(ZX42),0)),IF(INDIRECT(ZX$5)=0,1,""))</f>
        <v/>
      </c>
      <c r="AAE42" s="97"/>
      <c r="AAF42" s="96" t="str">
        <f>ZwölfMinLaufHalleResultat[[#This Row],[Resultat]]</f>
        <v/>
      </c>
      <c r="AAG42" s="96"/>
      <c r="AAH42" s="97" t="str">
        <f ca="1">ZwölfMinLaufHalleSkalawert[[#This Row],[Skala-Wert]]</f>
        <v/>
      </c>
      <c r="AAJ42" s="97" t="str">
        <f ca="1">ZwölfMinLaufHalleNote[[#This Row],[Note]]</f>
        <v/>
      </c>
      <c r="AAK42" s="97"/>
      <c r="AAL42" s="96" t="str">
        <f>ZwölfMinLaufimFreienResultat[[#This Row],[Resultat]]</f>
        <v/>
      </c>
      <c r="AAM42" s="96"/>
      <c r="AAN42" s="97" t="str">
        <f ca="1">ZwölfMinLaufimFreienSkalawert[[#This Row],[Skala-Wert]]</f>
        <v/>
      </c>
      <c r="AAP42" s="97" t="str">
        <f ca="1">ZwölfMinLaufimFreienNote[[#This Row],[Note]]</f>
        <v/>
      </c>
      <c r="AAQ42" s="97"/>
      <c r="AAR42" s="307"/>
      <c r="AAS42" s="96" t="str">
        <f>IFERROR(IFERROR(SUBSTITUTE(BeweglichkeitResultat[[#This Row],[Eingabe]],".",",")*1,SUBSTITUTE(BeweglichkeitResultat[[#This Row],[Eingabe]],",",".")*1),"")</f>
        <v/>
      </c>
      <c r="AAT42" s="96" t="e">
        <f>INT(BeweglichkeitResultat[[#This Row],[Resultat]])=BeweglichkeitResultat[[#This Row],[Resultat]]</f>
        <v>#VALUE!</v>
      </c>
      <c r="AAU42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2" s="96"/>
      <c r="AAW42" s="91" t="str" cm="1">
        <f t="array" aca="1" ref="AAW42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2" s="96" t="str">
        <f ca="1">REPLACE(AAW$4,AAX$6,1,Geschlecht[[#This Row],[Geschlecht (Skala)]])</f>
        <v>Beweglichkeit_[Resultat]</v>
      </c>
      <c r="AAY42" s="96" t="str" cm="1">
        <f t="array" aca="1" ref="AAY42" ca="1">IF(OR(INDIRECT(AAW$1)=$A$2,INDIRECT(AAW$1)=$A$3),$A$3,IF(OR(INDIRECT(AAW$2)="",AND(Geschlecht[[#This Row],[Geschlecht (Skala)]]=Stammdaten!$D$7,INDIRECT(AAW$2)&lt;0)),"",IFERROR(INDEX(INDIRECT(AAX42),MATCH(INDIRECT(AAW$3),INDIRECT(AAX42),AAX$25)),IFERROR(IF(AAX$25=-1,MAX(INDIRECT(AAX42)),IF(AAX$25=1,MIN(INDIRECT(AAX42)))),""))))</f>
        <v/>
      </c>
      <c r="AAZ42" s="97" t="str" cm="1">
        <f t="array" aca="1" ref="AAZ42" ca="1">IF(INDIRECT(AAW$1)="","",IF(INDIRECT(AAW$1)=0,0,IF(OR(INDIRECT(AAW$1)=$A$2,INDIRECT(AAW$1)=$A$3),$A$3,IFERROR(INDEX(INDIRECT(AAY42),MATCH(INDIRECT(AAW$3),INDIRECT(AAY42),AAY$27)),IFERROR(IF(AAY$27=-1,MAX(INDIRECT(AAY42)),IF(AAY$27=1,MIN(INDIRECT(AAY42)))),"")))))</f>
        <v/>
      </c>
      <c r="ABA42" s="96" t="str">
        <f ca="1">REPLACE(AAW$6,AAX$6,1,Geschlecht[[#This Row],[Geschlecht (Skala)]])</f>
        <v>Beweglichkeit_[Note]</v>
      </c>
      <c r="ABB42" s="91" t="str" cm="1">
        <f t="array" aca="1" ref="ABB42" ca="1">IFERROR(INDEX(INDIRECT(ABA42),MATCH(INDIRECT(AAW$5),INDIRECT(AAX42),0)),"")</f>
        <v/>
      </c>
      <c r="ABC42" s="97" t="str" cm="1">
        <f t="array" aca="1" ref="ABC42" ca="1">IFERROR(INDEX(INDIRECT(ABB42),MATCH(INDIRECT(AAW$5),INDIRECT(AAY42),0)),"")</f>
        <v/>
      </c>
      <c r="ABD42" s="307"/>
      <c r="ABE42" s="96" t="str">
        <f>IFERROR(IFERROR(SUBSTITUTE(RumpfkraftResultat[[#This Row],[Eingabe]],".",",")*1,SUBSTITUTE(RumpfkraftResultat[[#This Row],[Eingabe]],",",".")*1),"")</f>
        <v/>
      </c>
      <c r="ABF42" s="96" t="e">
        <f>INT(RumpfkraftResultat[[#This Row],[Resultat]])=RumpfkraftResultat[[#This Row],[Resultat]]</f>
        <v>#VALUE!</v>
      </c>
      <c r="ABG42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2" s="96"/>
      <c r="ABI42" s="91" t="str" cm="1">
        <f t="array" aca="1" ref="ABI42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2" s="96" t="str">
        <f ca="1">REPLACE(ABI$4,ABJ$6,1,Geschlecht[[#This Row],[Geschlecht (Skala)]])</f>
        <v>Rumpfkraft_[Resultat]</v>
      </c>
      <c r="ABK42" s="97" t="str" cm="1">
        <f t="array" aca="1" ref="ABK42" ca="1">IF(INDIRECT(ABI$1)="","",IF(OR(INDIRECT(ABI$1)=$A$2,INDIRECT(ABI$1)=$A$3),$A$3,IFERROR(INDEX(INDIRECT(ABJ42),MATCH(INDIRECT(ABI$3),INDIRECT(ABJ42),ABJ$25)),IFERROR(IF(ABJ$25=-1,MAX(INDIRECT(ABJ42)),IF(ABJ$25=1,MIN(INDIRECT(ABJ42)))),""))))</f>
        <v/>
      </c>
      <c r="ABM42" s="91" t="str">
        <f ca="1">REPLACE(ABI$6,ABJ$6,1,Geschlecht[[#This Row],[Geschlecht (Skala)]])</f>
        <v>Rumpfkraft_[Note]</v>
      </c>
      <c r="ABN42" s="97" t="str" cm="1">
        <f t="array" aca="1" ref="ABN42" ca="1">IFERROR(INDEX(INDIRECT(ABM42),MATCH(INDIRECT(ABI$5),INDIRECT(ABJ42),0)),"")</f>
        <v/>
      </c>
      <c r="ABO42" s="97"/>
      <c r="ABP42" s="96" t="str">
        <f>SechzigmLaufResultat[[#This Row],[Resultat]]</f>
        <v/>
      </c>
      <c r="ABQ42" s="96"/>
      <c r="ABR42" s="97" t="str">
        <f ca="1">SechzigmLaufSkalawert[[#This Row],[Skala-Wert]]</f>
        <v/>
      </c>
      <c r="ABT42" s="97" t="str">
        <f ca="1">SechzigmLaufNote[[#This Row],[Note]]</f>
        <v/>
      </c>
      <c r="ABU42" s="97"/>
      <c r="ABV42" s="96" t="str">
        <f>AchtzigmLaufResultat[[#This Row],[Resultat]]</f>
        <v/>
      </c>
      <c r="ABW42" s="96"/>
      <c r="ABX42" s="97" t="str">
        <f ca="1">AchtzigmLaufSkalawert[[#This Row],[Skala-Wert]]</f>
        <v/>
      </c>
      <c r="ABZ42" s="97" t="str">
        <f ca="1">AchtzigmLaufNote[[#This Row],[Note]]</f>
        <v/>
      </c>
      <c r="ACA42" s="97"/>
      <c r="ACB42" s="307"/>
      <c r="ACC42" s="96" t="str">
        <f>IFERROR(IFERROR(SUBSTITUTE(KonditionsparcoursResultat[[#This Row],[Eingabe]],".",",")*1,SUBSTITUTE(KonditionsparcoursResultat[[#This Row],[Eingabe]],",",".")*1),"")</f>
        <v/>
      </c>
      <c r="ACD42" s="96" t="e">
        <f>INT(KonditionsparcoursResultat[[#This Row],[Resultat]])=KonditionsparcoursResultat[[#This Row],[Resultat]]</f>
        <v>#VALUE!</v>
      </c>
      <c r="ACE42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2" s="96"/>
      <c r="ACG42" s="91" t="str" cm="1">
        <f t="array" aca="1" ref="ACG42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2" s="96" t="str">
        <f ca="1">LEFT(Geschlecht[[#This Row],[Geschlecht (Skala)]],1)&amp;ACM$4</f>
        <v>2</v>
      </c>
      <c r="ACI42" s="96" t="str">
        <f t="shared" ca="1" si="133"/>
        <v>Konditionsparcours_2[Resultat]</v>
      </c>
      <c r="ACJ42" s="97" t="str" cm="1">
        <f t="array" aca="1" ref="ACJ42" ca="1">IF(INDIRECT(ACG$1)="","",IF(OR(INDIRECT(ACG$1)=$A$2,INDIRECT(ACG$1)=$A$3),$A$3,IFERROR(INDEX(INDIRECT(ACI42),MATCH(INDIRECT(ACG$3),INDIRECT(ACI42),ACI$25)),IFERROR(IF(ACI$25=-1,MAX(INDIRECT(ACI42)),IF(ACI$25=1,MIN(INDIRECT(ACI42)))),""))))</f>
        <v/>
      </c>
      <c r="ACL42" s="91" t="str">
        <f t="shared" ca="1" si="134"/>
        <v>Konditionsparcours_2[Note]</v>
      </c>
      <c r="ACM42" s="97" t="str" cm="1">
        <f t="array" aca="1" ref="ACM42" ca="1">IFERROR(INDEX(INDIRECT(ACL42),MATCH(INDIRECT(ACG$5),INDIRECT(ACI42),0)),"")</f>
        <v/>
      </c>
      <c r="ACN42" s="102"/>
    </row>
    <row r="43" spans="1:768">
      <c r="A43" s="305">
        <v>16</v>
      </c>
      <c r="B43" s="133"/>
      <c r="C43" s="133"/>
      <c r="E43" s="306"/>
      <c r="G43" s="307"/>
      <c r="H43" s="96" t="str">
        <f>IFERROR(IFERROR(SUBSTITUTE(SechzigmLaufResultat[[#This Row],[Eingabe]],".",",")*1,SUBSTITUTE(SechzigmLaufResultat[[#This Row],[Eingabe]],",",".")*1),"")</f>
        <v/>
      </c>
      <c r="I43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3" s="96"/>
      <c r="K43" s="91" t="str" cm="1">
        <f t="array" aca="1" ref="K43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3" s="96" t="str">
        <f ca="1">LEFT(Geschlecht[[#This Row],[Geschlecht (Skala)]],1)&amp;Q$4</f>
        <v>2</v>
      </c>
      <c r="M43" s="96" t="str">
        <f t="shared" ca="1" si="37"/>
        <v>SechzigmLauf_2[Resultat]</v>
      </c>
      <c r="N43" s="97" t="str" cm="1">
        <f t="array" aca="1" ref="N43" ca="1">IF(INDIRECT(K$1)="","",IF(INDIRECT(K$2)=0,0,IF(OR(INDIRECT(K$1)=$A$2,INDIRECT(K$1)=$A$3),$A$3,IFERROR(INDEX(INDIRECT(M43),MATCH(INDIRECT(K$3),INDIRECT(M43),M$25)),IFERROR(IF(M$25=-1,MAX(INDIRECT(M43)),IF(M$25=1,MIN(INDIRECT(M43)))),"")))))</f>
        <v/>
      </c>
      <c r="P43" s="91" t="str">
        <f t="shared" ca="1" si="38"/>
        <v>SechzigmLauf_2[Note]</v>
      </c>
      <c r="Q43" s="97" t="str" cm="1">
        <f t="array" aca="1" ref="Q43" ca="1">IFERROR(INDEX(INDIRECT(P43),MATCH(INDIRECT(K$5),INDIRECT(M43),0)),IF(INDIRECT(K$5)=0,1,""))</f>
        <v/>
      </c>
      <c r="R43" s="97"/>
      <c r="S43" s="307"/>
      <c r="T43" s="96" t="str">
        <f>IFERROR(IFERROR(SUBSTITUTE(AchtzigmLaufResultat[[#This Row],[Eingabe]],".",",")*1,SUBSTITUTE(AchtzigmLaufResultat[[#This Row],[Eingabe]],",",".")*1),"")</f>
        <v/>
      </c>
      <c r="U43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3" s="96"/>
      <c r="W43" s="91" t="str" cm="1">
        <f t="array" aca="1" ref="W43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3" s="96" t="str">
        <f ca="1">LEFT(Geschlecht[[#This Row],[Geschlecht (Skala)]],1)&amp;AC$4</f>
        <v>2</v>
      </c>
      <c r="Y43" s="96" t="str">
        <f t="shared" ca="1" si="39"/>
        <v>AchtzigmLauf_2[Resultat]</v>
      </c>
      <c r="Z43" s="97" t="str" cm="1">
        <f t="array" aca="1" ref="Z43" ca="1">IF(INDIRECT(W$1)="","",IF(INDIRECT(W$2)=0,0,IF(OR(INDIRECT(W$1)=$A$2,INDIRECT(W$1)=$A$3),$A$3,IFERROR(INDEX(INDIRECT(Y43),MATCH(INDIRECT(W$3),INDIRECT(Y43),Y$25)),IFERROR(IF(Y$25=-1,MAX(INDIRECT(Y43)),IF(Y$25=1,MIN(INDIRECT(Y43)))),"")))))</f>
        <v/>
      </c>
      <c r="AB43" s="91" t="str">
        <f t="shared" ca="1" si="40"/>
        <v>AchtzigmLauf_2[Note]</v>
      </c>
      <c r="AC43" s="97" t="str" cm="1">
        <f t="array" aca="1" ref="AC43" ca="1">IFERROR(INDEX(INDIRECT(AB43),MATCH(INDIRECT(W$5),INDIRECT(Y43),0)),IF(INDIRECT(W$5)=0,1,""))</f>
        <v/>
      </c>
      <c r="AD43" s="97"/>
      <c r="AE43" s="307"/>
      <c r="AF43" s="96" t="str">
        <f>IFERROR(IFERROR(SUBSTITUTE(ZwölfMinLaufHalleResultat[[#This Row],[Eingabe]],".",",")*1,SUBSTITUTE(ZwölfMinLaufHalleResultat[[#This Row],[Eingabe]],",",".")*1),"")</f>
        <v/>
      </c>
      <c r="AG43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3" s="96"/>
      <c r="AI43" s="91" t="str" cm="1">
        <f t="array" aca="1" ref="AI43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3" s="96" t="str">
        <f ca="1">LEFT(Geschlecht[[#This Row],[Geschlecht (Skala)]],1)&amp;AO$4</f>
        <v>2</v>
      </c>
      <c r="AK43" s="96" t="str">
        <f t="shared" ca="1" si="41"/>
        <v>ZwölfMinLaufHalle_2[Resultat]</v>
      </c>
      <c r="AL43" s="97" t="str" cm="1">
        <f t="array" aca="1" ref="AL43" ca="1">IF(INDIRECT(AI$1)="","",IF(INDIRECT(AI$2)=0,0,IF(OR(INDIRECT(AI$1)=$A$2,INDIRECT(AI$1)=$A$3),$A$3,IFERROR(INDEX(INDIRECT(AK43),MATCH(INDIRECT(AI$3),INDIRECT(AK43),AK$25)),IFERROR(IF(AK$25=-1,MAX(INDIRECT(AK43)),IF(AK$25=1,MIN(INDIRECT(AK43)))),"")))))</f>
        <v/>
      </c>
      <c r="AN43" s="91" t="str">
        <f t="shared" ca="1" si="42"/>
        <v>ZwölfMinLaufHalle_2[Note]</v>
      </c>
      <c r="AO43" s="97" t="str" cm="1">
        <f t="array" aca="1" ref="AO43" ca="1">IFERROR(INDEX(INDIRECT(AN43),MATCH(INDIRECT(AI$5),INDIRECT(AK43),0)),IF(INDIRECT(AI$5)=0,1,""))</f>
        <v/>
      </c>
      <c r="AP43" s="97"/>
      <c r="AQ43" s="307"/>
      <c r="AR43" s="96" t="str">
        <f>IFERROR(IFERROR(SUBSTITUTE(ZwölfMinLaufimFreienResultat[[#This Row],[Eingabe]],".",",")*1,SUBSTITUTE(ZwölfMinLaufimFreienResultat[[#This Row],[Eingabe]],",",".")*1),"")</f>
        <v/>
      </c>
      <c r="AS43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3" s="96"/>
      <c r="AU43" s="91" t="str" cm="1">
        <f t="array" aca="1" ref="AU43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3" s="96" t="str">
        <f ca="1">LEFT(Geschlecht[[#This Row],[Geschlecht (Skala)]],1)&amp;BA$4</f>
        <v>2</v>
      </c>
      <c r="AW43" s="96" t="str">
        <f t="shared" ca="1" si="43"/>
        <v>ZwölfMinLaufimFreien_2[Resultat]</v>
      </c>
      <c r="AX43" s="97" t="str" cm="1">
        <f t="array" aca="1" ref="AX43" ca="1">IF(INDIRECT(AU$1)="","",IF(INDIRECT(AU$2)=0,0,IF(OR(INDIRECT(AU$1)=$A$2,INDIRECT(AU$1)=$A$3),$A$3,IFERROR(INDEX(INDIRECT(AW43),MATCH(INDIRECT(AU$3),INDIRECT(AW43),AW$25)),IFERROR(IF(AW$25=-1,MAX(INDIRECT(AW43)),IF(AW$25=1,MIN(INDIRECT(AW43)))),"")))))</f>
        <v/>
      </c>
      <c r="AZ43" s="91" t="str">
        <f t="shared" ca="1" si="44"/>
        <v>ZwölfMinLaufimFreien_2[Note]</v>
      </c>
      <c r="BA43" s="97" t="str" cm="1">
        <f t="array" aca="1" ref="BA43" ca="1">IFERROR(INDEX(INDIRECT(AZ43),MATCH(INDIRECT(AU$5),INDIRECT(AW43),0)),IF(INDIRECT(AU$5)=0,1,""))</f>
        <v/>
      </c>
      <c r="BB43" s="97"/>
      <c r="BC43" s="307"/>
      <c r="BD43" s="96" t="str">
        <f>IFERROR(IFERROR(SUBSTITUTE(HochsprungResultat[[#This Row],[Eingabe]],".",",")*1,SUBSTITUTE(HochsprungResultat[[#This Row],[Eingabe]],",",".")*1),"")</f>
        <v/>
      </c>
      <c r="BE43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3" s="96"/>
      <c r="BG43" s="91" t="str" cm="1">
        <f t="array" aca="1" ref="BG43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3" s="96" t="str">
        <f ca="1">LEFT(Geschlecht[[#This Row],[Geschlecht (Skala)]],1)&amp;BM$4</f>
        <v>2</v>
      </c>
      <c r="BI43" s="96" t="str">
        <f t="shared" ca="1" si="45"/>
        <v>Hochsprung_2[Resultat]</v>
      </c>
      <c r="BJ43" s="97" t="str" cm="1">
        <f t="array" aca="1" ref="BJ43" ca="1">IF(INDIRECT(BG$1)="","",IF(INDIRECT(BG$2)=0,0,IF(OR(INDIRECT(BG$1)=$A$2,INDIRECT(BG$1)=$A$3),$A$3,IFERROR(INDEX(INDIRECT(BI43),MATCH(INDIRECT(BG$3),INDIRECT(BI43),BI$25)),IFERROR(IF(BI$25=-1,MAX(INDIRECT(BI43)),IF(BI$25=1,MIN(INDIRECT(BI43)))),"")))))</f>
        <v/>
      </c>
      <c r="BL43" s="91" t="str">
        <f t="shared" ca="1" si="46"/>
        <v>Hochsprung_2[Note]</v>
      </c>
      <c r="BM43" s="97" t="str" cm="1">
        <f t="array" aca="1" ref="BM43" ca="1">IFERROR(INDEX(INDIRECT(BL43),MATCH(INDIRECT(BG$5),INDIRECT(BI43),0)),IF(INDIRECT(BG$5)=0,1,""))</f>
        <v/>
      </c>
      <c r="BN43" s="97"/>
      <c r="BO43" s="307"/>
      <c r="BP43" s="96" t="str">
        <f>IFERROR(IFERROR(SUBSTITUTE(WeitsprungResultat[[#This Row],[Eingabe]],".",",")*1,SUBSTITUTE(WeitsprungResultat[[#This Row],[Eingabe]],",",".")*1),"")</f>
        <v/>
      </c>
      <c r="BQ43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3" s="96"/>
      <c r="BS43" s="91" t="str" cm="1">
        <f t="array" aca="1" ref="BS43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3" s="96" t="str">
        <f ca="1">LEFT(Geschlecht[[#This Row],[Geschlecht (Skala)]],1)&amp;BY$4</f>
        <v>2</v>
      </c>
      <c r="BU43" s="96" t="str">
        <f t="shared" ca="1" si="47"/>
        <v>Weitsprung_2[Resultat]</v>
      </c>
      <c r="BV43" s="97" t="str" cm="1">
        <f t="array" aca="1" ref="BV43" ca="1">IF(INDIRECT(BS$1)="","",IF(INDIRECT(BS$2)=0,0,IF(OR(INDIRECT(BS$1)=$A$2,INDIRECT(BS$1)=$A$3),$A$3,IFERROR(INDEX(INDIRECT(BU43),MATCH(INDIRECT(BS$3),INDIRECT(BU43),BU$25)),IFERROR(IF(BU$25=-1,MAX(INDIRECT(BU43)),IF(BU$25=1,MIN(INDIRECT(BU43)))),"")))))</f>
        <v/>
      </c>
      <c r="BX43" s="91" t="str">
        <f t="shared" ca="1" si="48"/>
        <v>Weitsprung_2[Note]</v>
      </c>
      <c r="BY43" s="97" t="str" cm="1">
        <f t="array" aca="1" ref="BY43" ca="1">IFERROR(INDEX(INDIRECT(BX43),MATCH(INDIRECT(BS$5),INDIRECT(BU43),0)),IF(INDIRECT(BS$5)=0,1,""))</f>
        <v/>
      </c>
      <c r="BZ43" s="97"/>
      <c r="CA43" s="307"/>
      <c r="CB43" s="96" t="str">
        <f>IFERROR(IFERROR(SUBSTITUTE(BallwurfResultat[[#This Row],[Eingabe]],".",",")*1,SUBSTITUTE(BallwurfResultat[[#This Row],[Eingabe]],",",".")*1),"")</f>
        <v/>
      </c>
      <c r="CC43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3" s="96"/>
      <c r="CE43" s="91" t="str" cm="1">
        <f t="array" aca="1" ref="CE43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3" s="96" t="str">
        <f ca="1">LEFT(Geschlecht[[#This Row],[Geschlecht (Skala)]],1)&amp;CK$4</f>
        <v>2</v>
      </c>
      <c r="CG43" s="96" t="str">
        <f t="shared" ca="1" si="49"/>
        <v>Ballwurf_2[Resultat]</v>
      </c>
      <c r="CH43" s="97" t="str" cm="1">
        <f t="array" aca="1" ref="CH43" ca="1">IF(INDIRECT(CE$1)="","",IF(INDIRECT(CE$2)=0,0,IF(OR(INDIRECT(CE$1)=$A$2,INDIRECT(CE$1)=$A$3),$A$3,IFERROR(INDEX(INDIRECT(CG43),MATCH(INDIRECT(CE$3),INDIRECT(CG43),CG$25)),IFERROR(IF(CG$25=-1,MAX(INDIRECT(CG43)),IF(CG$25=1,MIN(INDIRECT(CG43)))),"")))))</f>
        <v/>
      </c>
      <c r="CJ43" s="91" t="str">
        <f t="shared" ca="1" si="50"/>
        <v>Ballwurf_2[Note]</v>
      </c>
      <c r="CK43" s="97" t="str" cm="1">
        <f t="array" aca="1" ref="CK43" ca="1">IFERROR(INDEX(INDIRECT(CJ43),MATCH(INDIRECT(CE$5),INDIRECT(CG43),0)),IF(INDIRECT(CE$5)=0,1,""))</f>
        <v/>
      </c>
      <c r="CL43" s="97"/>
      <c r="CM43" s="307"/>
      <c r="CN43" s="96" t="str">
        <f>IFERROR(IFERROR(SUBSTITUTE(KugelstossenResultat[[#This Row],[Eingabe]],".",",")*1,SUBSTITUTE(KugelstossenResultat[[#This Row],[Eingabe]],",",".")*1),"")</f>
        <v/>
      </c>
      <c r="CO43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3" s="96"/>
      <c r="CQ43" s="91" t="str" cm="1">
        <f t="array" aca="1" ref="CQ43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3" s="96" t="str">
        <f ca="1">LEFT(Geschlecht[[#This Row],[Geschlecht (Skala)]],1)&amp;CW$4</f>
        <v>2</v>
      </c>
      <c r="CS43" s="96" t="str">
        <f t="shared" ca="1" si="51"/>
        <v>Kugelstossen_2[Resultat]</v>
      </c>
      <c r="CT43" s="97" t="str" cm="1">
        <f t="array" aca="1" ref="CT43" ca="1">IF(INDIRECT(CQ$1)="","",IF(INDIRECT(CQ$2)=0,0,IF(OR(INDIRECT(CQ$1)=$A$2,INDIRECT(CQ$1)=$A$3),$A$3,IFERROR(INDEX(INDIRECT(CS43),MATCH(INDIRECT(CQ$3),INDIRECT(CS43),CS$25)),IFERROR(IF(CS$25=-1,MAX(INDIRECT(CS43)),IF(CS$25=1,MIN(INDIRECT(CS43)))),"")))))</f>
        <v/>
      </c>
      <c r="CV43" s="91" t="str">
        <f t="shared" ca="1" si="52"/>
        <v>Kugelstossen_2[Note]</v>
      </c>
      <c r="CW43" s="97" t="str" cm="1">
        <f t="array" aca="1" ref="CW43" ca="1">IFERROR(INDEX(INDIRECT(CV43),MATCH(INDIRECT(CQ$5),INDIRECT(CS43),0)),IF(INDIRECT(CQ$5)=0,1,""))</f>
        <v/>
      </c>
      <c r="CX43" s="97"/>
      <c r="CY43" s="307"/>
      <c r="CZ43" s="96" t="str">
        <f>IFERROR(IFERROR(SUBSTITUTE(SpeerwurfResultat[[#This Row],[Eingabe]],".",",")*1,SUBSTITUTE(SpeerwurfResultat[[#This Row],[Eingabe]],",",".")*1),"")</f>
        <v/>
      </c>
      <c r="DA43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3" s="96"/>
      <c r="DC43" s="91" t="str" cm="1">
        <f t="array" aca="1" ref="DC43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3" s="96" t="str">
        <f ca="1">LEFT(Geschlecht[[#This Row],[Geschlecht (Skala)]],1)&amp;DI$4</f>
        <v>2</v>
      </c>
      <c r="DE43" s="96" t="str">
        <f t="shared" ca="1" si="53"/>
        <v>Speerwurf_2[Resultat]</v>
      </c>
      <c r="DF43" s="97" t="str" cm="1">
        <f t="array" aca="1" ref="DF43" ca="1">IF(INDIRECT(DC$1)="","",IF(INDIRECT(DC$2)=0,0,IF(OR(INDIRECT(DC$1)=$A$2,INDIRECT(DC$1)=$A$3),$A$3,IFERROR(INDEX(INDIRECT(DE43),MATCH(INDIRECT(DC$3),INDIRECT(DE43),DE$25)),IFERROR(IF(DE$25=-1,MAX(INDIRECT(DE43)),IF(DE$25=1,MIN(INDIRECT(DE43)))),"")))))</f>
        <v/>
      </c>
      <c r="DH43" s="91" t="str">
        <f t="shared" ca="1" si="54"/>
        <v>Speerwurf_2[Note]</v>
      </c>
      <c r="DI43" s="97" t="str" cm="1">
        <f t="array" aca="1" ref="DI43" ca="1">IFERROR(INDEX(INDIRECT(DH43),MATCH(INDIRECT(DC$5),INDIRECT(DE43),0)),IF(INDIRECT(DC$5)=0,1,""))</f>
        <v/>
      </c>
      <c r="DJ43" s="97"/>
      <c r="DK43" s="97" t="str" cm="1">
        <f t="array" aca="1" ref="DK43" ca="1">INDIRECT(DK$5)</f>
        <v/>
      </c>
      <c r="DL43" s="97" t="str" cm="1">
        <f t="array" aca="1" ref="DL43" ca="1">INDIRECT(DL$5)</f>
        <v/>
      </c>
      <c r="DM43" s="97" t="str" cm="1">
        <f t="array" aca="1" ref="DM43" ca="1">INDIRECT(DM$5)</f>
        <v/>
      </c>
      <c r="DN43" s="97" t="str" cm="1">
        <f t="array" aca="1" ref="DN43" ca="1">INDIRECT(DN$5)</f>
        <v/>
      </c>
      <c r="DO43" s="97" t="str">
        <f t="shared" ca="1" si="135"/>
        <v>Sprintdisziplinen nicht durchgeführt</v>
      </c>
      <c r="DP43" s="97" t="str">
        <f t="shared" ca="1" si="136"/>
        <v/>
      </c>
      <c r="DQ43" s="108">
        <f t="shared" ca="1" si="137"/>
        <v>0</v>
      </c>
      <c r="DR43" s="108">
        <f t="shared" ca="1" si="138"/>
        <v>0</v>
      </c>
      <c r="DS43" s="108" t="str">
        <f t="shared" ca="1" si="139"/>
        <v/>
      </c>
      <c r="DT43" s="97" t="str">
        <f t="shared" ca="1" si="140"/>
        <v>Sprintdisziplinen nicht durchgeführt</v>
      </c>
      <c r="DU43" s="97" t="str">
        <f t="shared" ca="1" si="141"/>
        <v/>
      </c>
      <c r="DV43" s="97" t="str" cm="1">
        <f t="array" aca="1" ref="DV43" ca="1">IFERROR(IF(INDIRECT(INDEX(INDIRECT(DV$5),MATCH(DT43,INDIRECT(DV$4),0)))&lt;&gt;"",INDEX(INDIRECT(DV$5),MATCH(DT43,INDIRECT(DV$4),0)),INDEX(INDIRECT(DV$6),MATCH(DT43,INDIRECT(DV$4),0))),"")</f>
        <v/>
      </c>
      <c r="DW43" s="97" t="str">
        <f t="shared" ca="1" si="142"/>
        <v/>
      </c>
      <c r="DX43" s="97" t="str" cm="1">
        <f t="array" aca="1" ref="DX43" ca="1">IFERROR(INDIRECT(DV43),IF(NOT(ISERROR(FIND(Stammdaten!$CC$3,DT43,1))),$A$2,""))</f>
        <v/>
      </c>
      <c r="DY43" s="97" t="str">
        <f ca="1">IF(DX43="","",IF(AND(DU43=Stammdaten!$BX$20,DW43="0",DX43=1),SUBSTITUTE(TEXT(DX43,DW43)&amp;" "&amp;LEFT(DU43,LEN(DU43)-1),".",","),SUBSTITUTE(TEXT(DX43,DW43)&amp;" "&amp;DU43,".",",")))</f>
        <v/>
      </c>
      <c r="DZ43" s="97" t="str">
        <f t="shared" ca="1" si="55"/>
        <v/>
      </c>
      <c r="EA43" s="97" t="str" cm="1">
        <f t="array" aca="1" ref="EA43" ca="1">IFERROR(LEFT(INDIRECT(DZ43),1)&amp;"]","")</f>
        <v/>
      </c>
      <c r="EB43" s="97" t="str">
        <f t="shared" ca="1" si="56"/>
        <v/>
      </c>
      <c r="EC43" s="97" t="str">
        <f ca="1">IFERROR(LEFT(DT43,FIND(Stammdaten!$CA$4,DT43,1)-2),IFERROR(LEFT(DT43,FIND(Stammdaten!$CC$3,DT43,1)-2),DT43))</f>
        <v>Sprintdisziplinen</v>
      </c>
      <c r="ED43" s="97" t="str">
        <f ca="1">IF(NOT(ISERROR(FIND(Stammdaten!$CA$4,DT43,1))),Stammdaten!$CA$4,IF(EE43&lt;&gt;Stammdaten!$CC$3,EB43,""))</f>
        <v>nicht durchgeführt</v>
      </c>
      <c r="EE43" s="91" t="str">
        <f ca="1">IF(DX43=$A$2,Stammdaten!$CC$3,DY43)</f>
        <v/>
      </c>
      <c r="EF43" s="97" t="str" cm="1">
        <f t="array" aca="1" ref="EF43" ca="1">INDIRECT(EF$5)</f>
        <v/>
      </c>
      <c r="EG43" s="97" t="str" cm="1">
        <f t="array" aca="1" ref="EG43" ca="1">INDIRECT(EG$5)</f>
        <v/>
      </c>
      <c r="EH43" s="97" t="str" cm="1">
        <f t="array" aca="1" ref="EH43" ca="1">INDIRECT(EH$5)</f>
        <v/>
      </c>
      <c r="EI43" s="97" t="str" cm="1">
        <f t="array" aca="1" ref="EI43" ca="1">INDIRECT(EI$5)</f>
        <v/>
      </c>
      <c r="EJ43" s="97" t="str">
        <f t="shared" ca="1" si="143"/>
        <v>Ausdauerdisziplinen nicht durchgeführt</v>
      </c>
      <c r="EK43" s="97" t="str">
        <f t="shared" ca="1" si="144"/>
        <v/>
      </c>
      <c r="EL43" s="108">
        <f t="shared" ca="1" si="145"/>
        <v>0</v>
      </c>
      <c r="EM43" s="108">
        <f t="shared" ca="1" si="146"/>
        <v>0</v>
      </c>
      <c r="EN43" s="108" t="str">
        <f t="shared" ca="1" si="147"/>
        <v/>
      </c>
      <c r="EO43" s="97" t="str">
        <f t="shared" ca="1" si="148"/>
        <v>Ausdauerdisziplinen nicht durchgeführt</v>
      </c>
      <c r="EP43" s="97" t="str">
        <f t="shared" ca="1" si="149"/>
        <v/>
      </c>
      <c r="EQ43" s="97" t="str" cm="1">
        <f t="array" aca="1" ref="EQ43" ca="1">IFERROR(IF(INDIRECT(INDEX(INDIRECT(EQ$5),MATCH(EO43,INDIRECT(EQ$4),0)))&lt;&gt;"",INDEX(INDIRECT(EQ$5),MATCH(EO43,INDIRECT(EQ$4),0)),INDEX(INDIRECT(EQ$6),MATCH(EO43,INDIRECT(EQ$4),0))),"")</f>
        <v/>
      </c>
      <c r="ER43" s="97" t="str">
        <f t="shared" ca="1" si="150"/>
        <v/>
      </c>
      <c r="ES43" s="97" t="str" cm="1">
        <f t="array" aca="1" ref="ES43" ca="1">IFERROR(INDIRECT(EQ43),IF(NOT(ISERROR(FIND(Stammdaten!$CC$3,EO43,1))),$A$2,""))</f>
        <v/>
      </c>
      <c r="ET43" s="97" t="str">
        <f ca="1">IF(ES43="","",IF(AND(EP43=Stammdaten!$BX$20,ER43="0",ES43=1),SUBSTITUTE(TEXT(ES43,ER43)&amp;" "&amp;LEFT(EP43,LEN(EP43)-1),".",","),SUBSTITUTE(TEXT(ES43,ER43)&amp;" "&amp;EP43,".",",")))</f>
        <v/>
      </c>
      <c r="EU43" s="97" t="str">
        <f t="shared" ca="1" si="57"/>
        <v/>
      </c>
      <c r="EV43" s="97" t="str" cm="1">
        <f t="array" aca="1" ref="EV43" ca="1">IFERROR(LEFT(INDIRECT(EU43),1)&amp;"]","")</f>
        <v/>
      </c>
      <c r="EW43" s="97" t="str">
        <f t="shared" ca="1" si="58"/>
        <v/>
      </c>
      <c r="EX43" s="97" t="str">
        <f ca="1">IFERROR(LEFT(EO43,FIND(Stammdaten!$CA$4,EO43,1)-2),IFERROR(LEFT(EO43,FIND(Stammdaten!$CC$3,EO43,1)-2),EO43))</f>
        <v>Ausdauerdisziplinen</v>
      </c>
      <c r="EY43" s="97" t="str">
        <f ca="1">IF(NOT(ISERROR(FIND(Stammdaten!$CA$4,EO43,1))),Stammdaten!$CA$4,IF(EZ43&lt;&gt;Stammdaten!$CC$3,EW43,""))</f>
        <v>nicht durchgeführt</v>
      </c>
      <c r="EZ43" s="91" t="str">
        <f ca="1">IF(ES43=$A$2,Stammdaten!$CC$3,ET43)</f>
        <v/>
      </c>
      <c r="FA43" s="97" t="str" cm="1">
        <f t="array" aca="1" ref="FA43" ca="1">INDIRECT(FA$5)</f>
        <v/>
      </c>
      <c r="FB43" s="97" t="str" cm="1">
        <f t="array" aca="1" ref="FB43" ca="1">INDIRECT(FB$5)</f>
        <v/>
      </c>
      <c r="FC43" s="97" t="str" cm="1">
        <f t="array" aca="1" ref="FC43" ca="1">INDIRECT(FC$5)</f>
        <v/>
      </c>
      <c r="FD43" s="97" t="str" cm="1">
        <f t="array" aca="1" ref="FD43" ca="1">INDIRECT(FD$5)</f>
        <v/>
      </c>
      <c r="FE43" s="97" t="str">
        <f t="shared" ca="1" si="151"/>
        <v>Sprungdisziplinen nicht durchgeführt</v>
      </c>
      <c r="FF43" s="97" t="str">
        <f t="shared" ca="1" si="152"/>
        <v/>
      </c>
      <c r="FG43" s="108">
        <f t="shared" ca="1" si="153"/>
        <v>0</v>
      </c>
      <c r="FH43" s="108">
        <f t="shared" ca="1" si="154"/>
        <v>0</v>
      </c>
      <c r="FI43" s="108" t="str">
        <f t="shared" ca="1" si="155"/>
        <v/>
      </c>
      <c r="FJ43" s="97" t="str">
        <f t="shared" ca="1" si="156"/>
        <v>Sprungdisziplinen nicht durchgeführt</v>
      </c>
      <c r="FK43" s="97" t="str">
        <f t="shared" ca="1" si="157"/>
        <v/>
      </c>
      <c r="FL43" s="97" t="str" cm="1">
        <f t="array" aca="1" ref="FL43" ca="1">IFERROR(IF(INDIRECT(INDEX(INDIRECT(FL$5),MATCH(FJ43,INDIRECT(FL$4),0)))&lt;&gt;"",INDEX(INDIRECT(FL$5),MATCH(FJ43,INDIRECT(FL$4),0)),INDEX(INDIRECT(FL$6),MATCH(FJ43,INDIRECT(FL$4),0))),"")</f>
        <v/>
      </c>
      <c r="FM43" s="97" t="str">
        <f t="shared" ca="1" si="158"/>
        <v/>
      </c>
      <c r="FN43" s="97" t="str" cm="1">
        <f t="array" aca="1" ref="FN43" ca="1">IFERROR(INDIRECT(FL43),IF(NOT(ISERROR(FIND(Stammdaten!$CC$3,FJ43,1))),$A$2,""))</f>
        <v/>
      </c>
      <c r="FO43" s="97" t="str">
        <f ca="1">IF(FN43="","",IF(AND(FK43=Stammdaten!$BX$20,FM43="0",FN43=1),SUBSTITUTE(TEXT(FN43,FM43)&amp;" "&amp;LEFT(FK43,LEN(FK43)-1),".",","),SUBSTITUTE(TEXT(FN43,FM43)&amp;" "&amp;FK43,".",",")))</f>
        <v/>
      </c>
      <c r="FP43" s="97" t="str">
        <f t="shared" ca="1" si="59"/>
        <v/>
      </c>
      <c r="FQ43" s="97" t="str" cm="1">
        <f t="array" aca="1" ref="FQ43" ca="1">IFERROR(LEFT(INDIRECT(FP43),1)&amp;"]","")</f>
        <v/>
      </c>
      <c r="FR43" s="97" t="str">
        <f t="shared" ca="1" si="60"/>
        <v/>
      </c>
      <c r="FS43" s="97" t="str">
        <f ca="1">IFERROR(LEFT(FJ43,FIND(Stammdaten!$CA$4,FJ43,1)-2),IFERROR(LEFT(FJ43,FIND(Stammdaten!$CC$3,FJ43,1)-2),FJ43))</f>
        <v>Sprungdisziplinen</v>
      </c>
      <c r="FT43" s="97" t="str">
        <f ca="1">IF(NOT(ISERROR(FIND(Stammdaten!$CA$4,FJ43,1))),Stammdaten!$CA$4,IF(FU43&lt;&gt;Stammdaten!$CC$3,FR43,""))</f>
        <v>nicht durchgeführt</v>
      </c>
      <c r="FU43" s="91" t="str">
        <f ca="1">IF(FN43=$A$2,Stammdaten!$CC$3,FO43)</f>
        <v/>
      </c>
      <c r="FV43" s="97" t="str" cm="1">
        <f t="array" aca="1" ref="FV43" ca="1">INDIRECT(FV$5)</f>
        <v/>
      </c>
      <c r="FW43" s="97" t="str" cm="1">
        <f t="array" aca="1" ref="FW43" ca="1">INDIRECT(FW$5)</f>
        <v/>
      </c>
      <c r="FX43" s="97" t="str" cm="1">
        <f t="array" aca="1" ref="FX43" ca="1">INDIRECT(FX$5)</f>
        <v/>
      </c>
      <c r="FY43" s="97" t="str" cm="1">
        <f t="array" aca="1" ref="FY43" ca="1">INDIRECT(FY$5)</f>
        <v/>
      </c>
      <c r="FZ43" s="97" t="str" cm="1">
        <f t="array" aca="1" ref="FZ43" ca="1">INDIRECT(FZ$5)</f>
        <v/>
      </c>
      <c r="GA43" s="97" t="str" cm="1">
        <f t="array" aca="1" ref="GA43" ca="1">INDIRECT(GA$5)</f>
        <v/>
      </c>
      <c r="GB43" s="97" t="str">
        <f t="shared" ca="1" si="159"/>
        <v>Wurfdisziplinen nicht durchgeführt</v>
      </c>
      <c r="GC43" s="97" t="str">
        <f t="shared" ca="1" si="160"/>
        <v/>
      </c>
      <c r="GD43" s="108">
        <f t="shared" ca="1" si="161"/>
        <v>0</v>
      </c>
      <c r="GE43" s="108">
        <f t="shared" ca="1" si="162"/>
        <v>0</v>
      </c>
      <c r="GF43" s="108" t="str">
        <f t="shared" ca="1" si="163"/>
        <v/>
      </c>
      <c r="GG43" s="97" t="str">
        <f t="shared" ca="1" si="164"/>
        <v>Wurfdisziplinen nicht durchgeführt</v>
      </c>
      <c r="GH43" s="97" t="str">
        <f t="shared" ca="1" si="165"/>
        <v/>
      </c>
      <c r="GI43" s="97" t="str" cm="1">
        <f t="array" aca="1" ref="GI43" ca="1">IFERROR(IF(INDIRECT(INDEX(INDIRECT(GI$5),MATCH(GG43,INDIRECT(GI$4),0)))&lt;&gt;"",INDEX(INDIRECT(GI$5),MATCH(GG43,INDIRECT(GI$4),0)),INDEX(INDIRECT(GI$6),MATCH(GG43,INDIRECT(GI$4),0))),"")</f>
        <v/>
      </c>
      <c r="GJ43" s="97" t="str">
        <f t="shared" ca="1" si="166"/>
        <v/>
      </c>
      <c r="GK43" s="97" t="str" cm="1">
        <f t="array" aca="1" ref="GK43" ca="1">IFERROR(INDIRECT(GI43),IF(NOT(ISERROR(FIND(Stammdaten!$CC$3,GG43,1))),$A$2,""))</f>
        <v/>
      </c>
      <c r="GL43" s="97" t="str">
        <f ca="1">IF(GK43="","",IF(AND(GH43=Stammdaten!$BX$20,GJ43="0",GK43=1),SUBSTITUTE(TEXT(GK43,GJ43)&amp;" "&amp;LEFT(GH43,LEN(GH43)-1),".",","),SUBSTITUTE(TEXT(GK43,GJ43)&amp;" "&amp;GH43,".",",")))</f>
        <v/>
      </c>
      <c r="GM43" s="97" t="str">
        <f t="shared" ca="1" si="61"/>
        <v/>
      </c>
      <c r="GN43" s="97" t="str" cm="1">
        <f t="array" aca="1" ref="GN43" ca="1">IFERROR(LEFT(INDIRECT(GM43),1)&amp;"]","")</f>
        <v/>
      </c>
      <c r="GO43" s="97" t="str">
        <f t="shared" ca="1" si="62"/>
        <v/>
      </c>
      <c r="GP43" s="97" t="str">
        <f ca="1">IFERROR(LEFT(GG43,FIND(Stammdaten!$CA$4,GG43,1)-2),IFERROR(LEFT(GG43,FIND(Stammdaten!$CC$3,GG43,1)-2),GG43))</f>
        <v>Wurfdisziplinen</v>
      </c>
      <c r="GQ43" s="97" t="str">
        <f ca="1">IF(NOT(ISERROR(FIND(Stammdaten!$CA$4,GG43,1))),Stammdaten!$CA$4,IF(GR43&lt;&gt;Stammdaten!$CC$3,GO43,""))</f>
        <v>nicht durchgeführt</v>
      </c>
      <c r="GR43" s="91" t="str">
        <f ca="1">IF(GK43=$A$2,Stammdaten!$CC$3,GL43)</f>
        <v/>
      </c>
      <c r="GS43" s="97" t="str">
        <f t="shared" ca="1" si="63"/>
        <v/>
      </c>
      <c r="GT43" s="97" t="str">
        <f t="shared" ca="1" si="64"/>
        <v/>
      </c>
      <c r="GU43" s="97" t="str">
        <f t="shared" ca="1" si="65"/>
        <v/>
      </c>
      <c r="GV43" s="97" t="str">
        <f t="shared" ca="1" si="66"/>
        <v/>
      </c>
      <c r="GW43" s="97">
        <f t="shared" ca="1" si="167"/>
        <v>0</v>
      </c>
      <c r="GX43" s="108">
        <f t="shared" ca="1" si="168"/>
        <v>0</v>
      </c>
      <c r="GY43" s="108">
        <f t="shared" ca="1" si="169"/>
        <v>0</v>
      </c>
      <c r="GZ43" s="108" t="str">
        <f t="shared" ca="1" si="170"/>
        <v/>
      </c>
      <c r="HA43" s="97" t="str">
        <f ca="1">IF(GZ43="",Stammdaten!$BZ$1,IF(AND(GX43=0,GY43&gt;=GZ$25),$A$3,ROUND(SUM(GW43/GZ43)/HA$25,0)*HA$25))</f>
        <v>Zu wenige Werte</v>
      </c>
      <c r="HB43" s="108">
        <f t="shared" ca="1" si="171"/>
        <v>6</v>
      </c>
      <c r="HC43" s="97" t="str">
        <f t="shared" ca="1" si="172"/>
        <v/>
      </c>
      <c r="HD43" s="97" t="str">
        <f t="shared" ca="1" si="173"/>
        <v/>
      </c>
      <c r="HE43" s="97" t="str">
        <f t="shared" ca="1" si="174"/>
        <v/>
      </c>
      <c r="HF43" s="97" t="str">
        <f t="shared" ca="1" si="175"/>
        <v/>
      </c>
      <c r="HG43" s="97" t="str">
        <f t="shared" ca="1" si="176"/>
        <v/>
      </c>
      <c r="HH43" s="97" t="str">
        <f t="shared" ca="1" si="177"/>
        <v>g</v>
      </c>
      <c r="HI43" s="97" t="str">
        <f t="shared" ca="1" si="178"/>
        <v/>
      </c>
      <c r="HJ43" s="97">
        <f t="shared" ca="1" si="179"/>
        <v>1</v>
      </c>
      <c r="HK43" s="97" t="str">
        <f ca="1">IF(OR(Geschlecht[[#This Row],[Geschlecht (Skala)]]="",NOT(ISNUMBER(GZ43))),"",HJ43)</f>
        <v/>
      </c>
      <c r="HL43" s="97" t="str">
        <f t="shared" ca="1" si="180"/>
        <v/>
      </c>
      <c r="HM43" s="97"/>
      <c r="HN43" s="308" t="str">
        <f t="shared" ca="1" si="68"/>
        <v>Zu wenige Werte</v>
      </c>
      <c r="HO43" s="97"/>
      <c r="HP43" s="307"/>
      <c r="HQ43" s="96" t="str">
        <f>IFERROR(IFERROR(SUBSTITUTE(ReckResultat[[#This Row],[Eingabe]],".",",")*1,SUBSTITUTE(ReckResultat[[#This Row],[Eingabe]],",",".")*1),"")</f>
        <v/>
      </c>
      <c r="HR43" s="96" t="e">
        <f>INT(ReckResultat[[#This Row],[Resultat]])=ReckResultat[[#This Row],[Resultat]]</f>
        <v>#VALUE!</v>
      </c>
      <c r="HS43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3" s="96"/>
      <c r="HX43" s="97"/>
      <c r="HY43" s="307"/>
      <c r="HZ43" s="96" t="str">
        <f>IFERROR(IFERROR(SUBSTITUTE(BodenResultat[[#This Row],[Eingabe]],".",",")*1,SUBSTITUTE(BodenResultat[[#This Row],[Eingabe]],",",".")*1),"")</f>
        <v/>
      </c>
      <c r="IA43" s="96" t="e">
        <f>INT(BodenResultat[[#This Row],[Resultat]])=BodenResultat[[#This Row],[Resultat]]</f>
        <v>#VALUE!</v>
      </c>
      <c r="IB43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3" s="96"/>
      <c r="IG43" s="97"/>
      <c r="IH43" s="307"/>
      <c r="II43" s="96" t="str">
        <f>IFERROR(IFERROR(SUBSTITUTE(StufenbarrenResultat[[#This Row],[Eingabe]],".",",")*1,SUBSTITUTE(StufenbarrenResultat[[#This Row],[Eingabe]],",",".")*1),"")</f>
        <v/>
      </c>
      <c r="IJ43" s="96" t="e">
        <f>INT(StufenbarrenResultat[[#This Row],[Resultat]])=StufenbarrenResultat[[#This Row],[Resultat]]</f>
        <v>#VALUE!</v>
      </c>
      <c r="IK43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3" s="96"/>
      <c r="IP43" s="97"/>
      <c r="IQ43" s="307"/>
      <c r="IR43" s="96" t="str">
        <f>IFERROR(IFERROR(SUBSTITUTE(ParallelbarrenResultat[[#This Row],[Eingabe]],".",",")*1,SUBSTITUTE(ParallelbarrenResultat[[#This Row],[Eingabe]],",",".")*1),"")</f>
        <v/>
      </c>
      <c r="IS43" s="96" t="e">
        <f>INT(ParallelbarrenResultat[[#This Row],[Resultat]])=ParallelbarrenResultat[[#This Row],[Resultat]]</f>
        <v>#VALUE!</v>
      </c>
      <c r="IT43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3" s="96"/>
      <c r="IY43" s="97"/>
      <c r="IZ43" s="307"/>
      <c r="JA43" s="96" t="str">
        <f>IFERROR(IFERROR(SUBSTITUTE(SchaukelringeResultat[[#This Row],[Eingabe]],".",",")*1,SUBSTITUTE(SchaukelringeResultat[[#This Row],[Eingabe]],",",".")*1),"")</f>
        <v/>
      </c>
      <c r="JB43" s="96" t="e">
        <f>INT(SchaukelringeResultat[[#This Row],[Resultat]])=SchaukelringeResultat[[#This Row],[Resultat]]</f>
        <v>#VALUE!</v>
      </c>
      <c r="JC43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3" s="96"/>
      <c r="JH43" s="97"/>
      <c r="JI43" s="307"/>
      <c r="JJ43" s="96" t="str">
        <f>IFERROR(IFERROR(SUBSTITUTE(SprungResultat[[#This Row],[Eingabe]],".",",")*1,SUBSTITUTE(SprungResultat[[#This Row],[Eingabe]],",",".")*1),"")</f>
        <v/>
      </c>
      <c r="JK43" s="96" t="e">
        <f>INT(SprungResultat[[#This Row],[Resultat]])=SprungResultat[[#This Row],[Resultat]]</f>
        <v>#VALUE!</v>
      </c>
      <c r="JL43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3" s="96"/>
      <c r="JQ43" s="97"/>
      <c r="JR43" s="309" t="str" cm="1">
        <f t="array" aca="1" ref="JR43" ca="1">IF(AND(ISNUMBER(INDIRECT(JR$3)),INDIRECT(JR$3)&gt;0),INDIRECT(JR$3),"")</f>
        <v/>
      </c>
      <c r="JS43" s="309" t="str" cm="1">
        <f t="array" aca="1" ref="JS43" ca="1">IF(AND(ISNUMBER(INDIRECT(JS$3)),INDIRECT(JS$3)&gt;0),INDIRECT(JS$3),"")</f>
        <v/>
      </c>
      <c r="JT43" s="309" t="str" cm="1">
        <f t="array" aca="1" ref="JT43" ca="1">IF(AND(ISNUMBER(INDIRECT(JT$3)),INDIRECT(JT$3)&gt;0),INDIRECT(JT$3),"")</f>
        <v/>
      </c>
      <c r="JU43" s="309" t="str" cm="1">
        <f t="array" aca="1" ref="JU43" ca="1">IF(AND(ISNUMBER(INDIRECT(JU$3)),INDIRECT(JU$3)&gt;0),INDIRECT(JU$3),"")</f>
        <v/>
      </c>
      <c r="JV43" s="309" t="str" cm="1">
        <f t="array" aca="1" ref="JV43" ca="1">IF(AND(ISNUMBER(INDIRECT(JV$3)),INDIRECT(JV$3)&gt;0),INDIRECT(JV$3),"")</f>
        <v/>
      </c>
      <c r="JW43" s="309" t="str" cm="1">
        <f t="array" aca="1" ref="JW43" ca="1">IF(AND(ISNUMBER(INDIRECT(JW$3)),INDIRECT(JW$3)&gt;0),INDIRECT(JW$3),"")</f>
        <v/>
      </c>
      <c r="JX43" s="309" t="str">
        <f t="shared" ca="1" si="69"/>
        <v>x</v>
      </c>
      <c r="JY43" s="309" t="str">
        <f t="shared" ca="1" si="70"/>
        <v>y</v>
      </c>
      <c r="JZ43" s="309" t="str">
        <f t="shared" ca="1" si="71"/>
        <v>z</v>
      </c>
      <c r="KA43" s="309" t="str">
        <f t="shared" ca="1" si="181"/>
        <v>a</v>
      </c>
      <c r="KB43" s="309" t="str" cm="1">
        <f t="array" aca="1" ref="KB43" ca="1">IF(KA43="a","",INDEX($JR$23:$JW$23,,MATCH(KA43,$JR43:$JW43,0)))</f>
        <v/>
      </c>
      <c r="KC43" s="309" t="str" cm="1">
        <f t="array" aca="1" ref="KC43" ca="1">IF(OR(KB43="",KB43&gt;=$JW$23),"",INDEX(INDIRECT(ADDRESS(ROW($JR$23),KB43+1)):$JW$23,,MATCH(KA43,INDIRECT(ADDRESS(ROW(),KB43+1)):$JW43,0)))</f>
        <v/>
      </c>
      <c r="KD43" s="309" t="str" cm="1">
        <f t="array" aca="1" ref="KD43" ca="1">IF(OR(KC43="",KC43&gt;=$JW$23),"",INDEX(INDIRECT(ADDRESS(ROW($JR$23),KC43+1)):$JW$23,,MATCH(KA43,INDIRECT(ADDRESS(ROW(),KC43+1)):$JW43,0)))</f>
        <v/>
      </c>
      <c r="KE43" s="309" t="str">
        <f t="shared" ca="1" si="182"/>
        <v>c</v>
      </c>
      <c r="KF43" s="309" t="str" cm="1">
        <f t="array" aca="1" ref="KF43" ca="1">IF(OR(KE43="b",KE43="c"),"",INDEX($JR$23:$JW$23,,MATCH(KE43,$JR43:$JW43,0)))</f>
        <v/>
      </c>
      <c r="KG43" s="309" t="str" cm="1">
        <f t="array" aca="1" ref="KG43" ca="1">IF(OR(KF43="",KF43&gt;=$JW$23),"",INDEX(INDIRECT(ADDRESS(ROW($JR$23),KF43+1)):$JW$23,,MATCH(KE43,INDIRECT(ADDRESS(ROW(),KF43+1)):$JW43,0)))</f>
        <v/>
      </c>
      <c r="KH43" s="309" t="str">
        <f t="shared" ca="1" si="72"/>
        <v/>
      </c>
      <c r="KI43" s="309" t="str">
        <f t="shared" ca="1" si="183"/>
        <v>e</v>
      </c>
      <c r="KJ43" s="309" t="str">
        <f t="shared" ca="1" si="73"/>
        <v/>
      </c>
      <c r="KK43" s="309" t="str" cm="1">
        <f t="array" aca="1" ref="KK43" ca="1">IF(OR(KI43="d",KI43="e"),"",INDEX($JR$23:$JW$23,,MATCH(KI43,$JR43:$JW43,0)))</f>
        <v/>
      </c>
      <c r="KL43" s="309" t="str" cm="1">
        <f t="array" aca="1" ref="KL43" ca="1">IF(OR(KK43="",KK43&gt;=$JW$23),"",INDEX(INDIRECT(ADDRESS(ROW($JR$23),KK43+1)):$JW$23,,MATCH(KI43,INDIRECT(ADDRESS(ROW(),KK43+1)):$JW43,0)))</f>
        <v/>
      </c>
      <c r="KM43" s="309" t="str" cm="1">
        <f t="array" aca="1" ref="KM43" ca="1">IFERROR(IF(ISNUMBER(KB43),KB43,IF(ISNUMBER(KF43),KF43,IF(ISNUMBER(KJ43),KJ43,INDEX($JR$23:$JW$23,,MATCH(JX43,$JR43:$JW43,0))))),"x1")</f>
        <v>x1</v>
      </c>
      <c r="KN43" s="309" t="str" cm="1">
        <f t="array" aca="1" ref="KN43" ca="1">IFERROR(IF(ISNUMBER(KC43),KC43,IF(ISNUMBER(KG43),KG43,IF(ISNUMBER(KK43),KK43,INDEX($JR$23:$JW$23,,MATCH(JY43,$JR43:$JW43,0))))),IF(KM43="x1","x2","x1"))</f>
        <v>x2</v>
      </c>
      <c r="KO43" s="309" t="str" cm="1">
        <f t="array" aca="1" ref="KO43" ca="1">IFERROR(IF(ISNUMBER(KD43),KD43,IF(ISNUMBER(KH43),KH43,IF(ISNUMBER(KL43),KL43,INDEX($JR$23:$JW$23,,MATCH(JZ43,$JR43:$JW43,0))))),IF(KN43="x1","x2",IF(KN43="x2","x3","x1")))</f>
        <v>x3</v>
      </c>
      <c r="KP43" s="97" t="str" cm="1">
        <f t="array" aca="1" ref="KP43" ca="1">IF(OR(INDIRECT(KP$3)=$A$2,INDIRECT(KP$3)=$A$3),COLUMN(),"")</f>
        <v/>
      </c>
      <c r="KQ43" s="97" t="str" cm="1">
        <f t="array" aca="1" ref="KQ43" ca="1">IF(OR(INDIRECT(KQ$3)=$A$2,INDIRECT(KQ$3)=$A$3),COLUMN(),"")</f>
        <v/>
      </c>
      <c r="KR43" s="97" t="str" cm="1">
        <f t="array" aca="1" ref="KR43" ca="1">IF(OR(INDIRECT(KR$3)=$A$2,INDIRECT(KR$3)=$A$3),COLUMN(),"")</f>
        <v/>
      </c>
      <c r="KS43" s="97" t="str" cm="1">
        <f t="array" aca="1" ref="KS43" ca="1">IF(OR(INDIRECT(KS$3)=$A$2,INDIRECT(KS$3)=$A$3),COLUMN(),"")</f>
        <v/>
      </c>
      <c r="KT43" s="97" t="str" cm="1">
        <f t="array" aca="1" ref="KT43" ca="1">IF(OR(INDIRECT(KT$3)=$A$2,INDIRECT(KT$3)=$A$3),COLUMN(),"")</f>
        <v/>
      </c>
      <c r="KU43" s="97" t="str" cm="1">
        <f t="array" aca="1" ref="KU43" ca="1">IF(OR(INDIRECT(KU$3)=$A$2,INDIRECT(KU$3)=$A$3),COLUMN(),"")</f>
        <v/>
      </c>
      <c r="KV43" s="97" t="str" cm="1">
        <f t="array" aca="1" ref="KV43" ca="1">IF(AND(ISNUMBER(INDIRECT(KV$3)),INDIRECT(KV$3)=0),COLUMN(),"")</f>
        <v/>
      </c>
      <c r="KW43" s="97" t="str" cm="1">
        <f t="array" aca="1" ref="KW43" ca="1">IF(AND(ISNUMBER(INDIRECT(KW$3)),INDIRECT(KW$3)=0),COLUMN(),"")</f>
        <v/>
      </c>
      <c r="KX43" s="97" t="str" cm="1">
        <f t="array" aca="1" ref="KX43" ca="1">IF(AND(ISNUMBER(INDIRECT(KX$3)),INDIRECT(KX$3)=0),COLUMN(),"")</f>
        <v/>
      </c>
      <c r="KY43" s="97" t="str" cm="1">
        <f t="array" aca="1" ref="KY43" ca="1">IF(AND(ISNUMBER(INDIRECT(KY$3)),INDIRECT(KY$3)=0),COLUMN(),"")</f>
        <v/>
      </c>
      <c r="KZ43" s="97" t="str" cm="1">
        <f t="array" aca="1" ref="KZ43" ca="1">IF(AND(ISNUMBER(INDIRECT(KZ$3)),INDIRECT(KZ$3)=0),COLUMN(),"")</f>
        <v/>
      </c>
      <c r="LA43" s="97" t="str" cm="1">
        <f t="array" aca="1" ref="LA43" ca="1">IF(AND(ISNUMBER(INDIRECT(LA$3)),INDIRECT(LA$3)=0),COLUMN(),"")</f>
        <v/>
      </c>
      <c r="LB43" s="97" t="str">
        <f t="shared" ca="1" si="184"/>
        <v>x1</v>
      </c>
      <c r="LC43" s="97" t="str">
        <f t="shared" ca="1" si="185"/>
        <v>x2</v>
      </c>
      <c r="LD43" s="97" t="str">
        <f t="shared" ca="1" si="186"/>
        <v>x3</v>
      </c>
      <c r="LE43" s="97" t="str">
        <f ca="1">IFERROR(IF(ISNUMBER(LB43),LB43,SMALL($KV43:$LA43,VALUE(RIGHT(LB43,1)))),Stammdaten!$CA$17)</f>
        <v>Erstes Gerät nicht durchgeführt</v>
      </c>
      <c r="LF43" s="97" t="str">
        <f ca="1">IFERROR(IF(ISNUMBER(LC43),LC43,SMALL($KV43:$LA43,VALUE(RIGHT(LC43,1)))),Stammdaten!$CA$18)</f>
        <v>Zweites Gerät nicht durchgeführt</v>
      </c>
      <c r="LG43" s="97" t="str">
        <f ca="1">IFERROR(IF(ISNUMBER(LD43),LD43,SMALL($KV43:$LA43,VALUE(RIGHT(LD43,1)))),Stammdaten!$CA$19)</f>
        <v>Drittes Gerät nicht durchgeführt</v>
      </c>
      <c r="LH43" s="91" t="str" cm="1">
        <f t="array" aca="1" ref="LH43" ca="1">IFERROR(INDIRECT(ADDRESS(ROW($JR$5),LE43)),LE43)</f>
        <v>Erstes Gerät nicht durchgeführt</v>
      </c>
      <c r="LI43" s="97" t="str">
        <f t="shared" ca="1" si="187"/>
        <v/>
      </c>
      <c r="LJ43" s="97" t="str" cm="1">
        <f t="array" aca="1" ref="LJ43" ca="1">IFERROR(IF(INDIRECT(INDEX(INDIRECT(LJ$5),MATCH(LH43,INDIRECT(LJ$4),0)))&lt;&gt;"",INDEX(INDIRECT(LJ$5),MATCH(LH43,INDIRECT(LJ$4),0)),INDEX(INDIRECT(LJ$6),MATCH(LH43,INDIRECT(LJ$4),0))),"")</f>
        <v/>
      </c>
      <c r="LK43" s="97" t="str">
        <f t="shared" ca="1" si="188"/>
        <v/>
      </c>
      <c r="LL43" s="97" t="str" cm="1">
        <f t="array" aca="1" ref="LL43" ca="1">IFERROR(INDIRECT(LJ43),"")</f>
        <v/>
      </c>
      <c r="LM43" s="97" t="str">
        <f ca="1">IF(LL43="","",IF(AND(LI43=Stammdaten!$BX$20,LK43="0",LL43=1),SUBSTITUTE(TEXT(LL43,LK43)&amp;" "&amp;LEFT(LI43,LEN(LI43)-1),".",","),SUBSTITUTE(TEXT(LL43,LK43)&amp;" "&amp;LI43,".",",")))</f>
        <v/>
      </c>
      <c r="LN43" s="97" t="str">
        <f t="shared" ca="1" si="74"/>
        <v/>
      </c>
      <c r="LO43" s="97" t="str" cm="1">
        <f t="array" aca="1" ref="LO43" ca="1">IFERROR(LEFT(INDIRECT(LN43),1)&amp;"]","")</f>
        <v/>
      </c>
      <c r="LP43" s="97" t="str">
        <f t="shared" ca="1" si="75"/>
        <v/>
      </c>
      <c r="LQ43" s="97" t="str">
        <f ca="1">IFERROR(LEFT(LH43,FIND(Stammdaten!$CA$4,LH43,1)-2),IFERROR(LEFT(LH43,FIND(Stammdaten!$CC$3,LH43,1)-2),LH43))</f>
        <v>Erstes Gerät</v>
      </c>
      <c r="LR43" s="97" t="str">
        <f ca="1">IF(NOT(ISERROR(FIND(Stammdaten!$CA$4,LH43,1))),Stammdaten!$CA$4,IF(LS43&lt;&gt;Stammdaten!$CC$3,LP43,""))</f>
        <v>nicht durchgeführt</v>
      </c>
      <c r="LS43" s="91" t="str">
        <f ca="1">IF(LL43=$A$2,Stammdaten!$CC$3,LM43)</f>
        <v/>
      </c>
      <c r="LT43" s="91" t="str" cm="1">
        <f t="array" aca="1" ref="LT43" ca="1">IFERROR(INDIRECT(ADDRESS(ROW($JR$5),LF43)),LF43)</f>
        <v>Zweites Gerät nicht durchgeführt</v>
      </c>
      <c r="LU43" s="97" t="str">
        <f t="shared" ca="1" si="189"/>
        <v/>
      </c>
      <c r="LV43" s="97" t="str" cm="1">
        <f t="array" aca="1" ref="LV43" ca="1">IFERROR(IF(INDIRECT(INDEX(INDIRECT(LV$5),MATCH(LT43,INDIRECT(LV$4),0)))&lt;&gt;"",INDEX(INDIRECT(LV$5),MATCH(LT43,INDIRECT(LV$4),0)),INDEX(INDIRECT(LV$6),MATCH(LT43,INDIRECT(LV$4),0))),"")</f>
        <v/>
      </c>
      <c r="LW43" s="97" t="str">
        <f t="shared" ca="1" si="190"/>
        <v/>
      </c>
      <c r="LX43" s="97" t="str" cm="1">
        <f t="array" aca="1" ref="LX43" ca="1">IFERROR(INDIRECT(LV43),"")</f>
        <v/>
      </c>
      <c r="LY43" s="97" t="str">
        <f ca="1">IF(LX43="","",IF(AND(LU43=Stammdaten!$BX$20,LW43="0",LX43=1),SUBSTITUTE(TEXT(LX43,LW43)&amp;" "&amp;LEFT(LU43,LEN(LU43)-1),".",","),SUBSTITUTE(TEXT(LX43,LW43)&amp;" "&amp;LU43,".",",")))</f>
        <v/>
      </c>
      <c r="LZ43" s="97" t="str">
        <f t="shared" ca="1" si="76"/>
        <v/>
      </c>
      <c r="MA43" s="97" t="str" cm="1">
        <f t="array" aca="1" ref="MA43" ca="1">IFERROR(LEFT(INDIRECT(LZ43),1)&amp;"]","")</f>
        <v/>
      </c>
      <c r="MB43" s="97" t="str">
        <f t="shared" ca="1" si="77"/>
        <v/>
      </c>
      <c r="MC43" s="97" t="str">
        <f ca="1">IFERROR(LEFT(LT43,FIND(Stammdaten!$CA$4,LT43,1)-2),IFERROR(LEFT(LT43,FIND(Stammdaten!$CC$3,LT43,1)-2),LT43))</f>
        <v>Zweites Gerät</v>
      </c>
      <c r="MD43" s="97" t="str">
        <f ca="1">IF(NOT(ISERROR(FIND(Stammdaten!$CA$4,LT43,1))),Stammdaten!$CA$4,IF(ME43&lt;&gt;Stammdaten!$CC$3,MB43,""))</f>
        <v>nicht durchgeführt</v>
      </c>
      <c r="ME43" s="91" t="str">
        <f ca="1">IF(LX43=$A$2,Stammdaten!$CC$3,LY43)</f>
        <v/>
      </c>
      <c r="MF43" s="91" t="str" cm="1">
        <f t="array" aca="1" ref="MF43" ca="1">IFERROR(INDIRECT(ADDRESS(ROW($JR$5),LG43)),LG43)</f>
        <v>Drittes Gerät nicht durchgeführt</v>
      </c>
      <c r="MG43" s="97" t="str">
        <f t="shared" ca="1" si="191"/>
        <v/>
      </c>
      <c r="MH43" s="97" t="str" cm="1">
        <f t="array" aca="1" ref="MH43" ca="1">IFERROR(IF(INDIRECT(INDEX(INDIRECT(MH$5),MATCH(MF43,INDIRECT(MH$4),0)))&lt;&gt;"",INDEX(INDIRECT(MH$5),MATCH(MF43,INDIRECT(MH$4),0)),INDEX(INDIRECT(MH$6),MATCH(MF43,INDIRECT(MH$4),0))),"")</f>
        <v/>
      </c>
      <c r="MI43" s="97" t="str">
        <f t="shared" ca="1" si="192"/>
        <v/>
      </c>
      <c r="MJ43" s="97" t="str" cm="1">
        <f t="array" aca="1" ref="MJ43" ca="1">IFERROR(INDIRECT(MH43),"")</f>
        <v/>
      </c>
      <c r="MK43" s="97" t="str">
        <f ca="1">IF(MJ43="","",IF(AND(MG43=Stammdaten!$BX$20,MI43="0",MJ43=1),SUBSTITUTE(TEXT(MJ43,MI43)&amp;" "&amp;LEFT(MG43,LEN(MG43)-1),".",","),SUBSTITUTE(TEXT(MJ43,MI43)&amp;" "&amp;MG43,".",",")))</f>
        <v/>
      </c>
      <c r="ML43" s="97" t="str">
        <f t="shared" ca="1" si="78"/>
        <v/>
      </c>
      <c r="MM43" s="97" t="str" cm="1">
        <f t="array" aca="1" ref="MM43" ca="1">IFERROR(LEFT(INDIRECT(ML43),1)&amp;"]","")</f>
        <v/>
      </c>
      <c r="MN43" s="97" t="str">
        <f t="shared" ca="1" si="79"/>
        <v/>
      </c>
      <c r="MO43" s="97" t="str">
        <f ca="1">IFERROR(LEFT(MF43,FIND(Stammdaten!$CA$4,MF43,1)-2),IFERROR(LEFT(MF43,FIND(Stammdaten!$CC$3,MF43,1)-2),MF43))</f>
        <v>Drittes Gerät</v>
      </c>
      <c r="MP43" s="97" t="str">
        <f ca="1">IF(NOT(ISERROR(FIND(Stammdaten!$CA$4,MF43,1))),Stammdaten!$CA$4,IF(MQ43&lt;&gt;Stammdaten!$CC$3,MN43,""))</f>
        <v>nicht durchgeführt</v>
      </c>
      <c r="MQ43" s="91" t="str">
        <f ca="1">IF(MJ43=$A$2,Stammdaten!$CC$3,MK43)</f>
        <v/>
      </c>
      <c r="MR43" s="97">
        <f t="shared" ca="1" si="80"/>
        <v>0</v>
      </c>
      <c r="MS43" s="108">
        <f t="shared" ca="1" si="193"/>
        <v>0</v>
      </c>
      <c r="MT43" s="108">
        <f t="shared" ca="1" si="194"/>
        <v>0</v>
      </c>
      <c r="MU43" s="108">
        <f t="shared" ca="1" si="195"/>
        <v>0</v>
      </c>
      <c r="MV43" s="108" t="str">
        <f t="shared" ca="1" si="196"/>
        <v/>
      </c>
      <c r="MW43" s="97" t="str">
        <f ca="1">IF(MV43="",Stammdaten!$BZ$1,IF(AND(MS43+MT43=0,MU43&gt;=MV$25),$A$3,MR43))</f>
        <v>Zu wenige Werte</v>
      </c>
      <c r="MX43" s="97"/>
      <c r="MY43" s="91" t="str">
        <f t="shared" ca="1" si="81"/>
        <v/>
      </c>
      <c r="MZ43" s="96" t="str">
        <f>LEFT(Geschlecht[[#This Row],[Geschlecht (Skala)]],1)&amp;$MZ$27</f>
        <v>2</v>
      </c>
      <c r="NA43" s="96" t="str">
        <f t="shared" ca="1" si="82"/>
        <v>Geräteturnen_2[Resultat]</v>
      </c>
      <c r="NB43" s="97" t="str" cm="1">
        <f t="array" aca="1" ref="NB43" ca="1">IF(OR($MW43="",$MW43=Stammdaten!$BZ$1),"",IF($MW43=0,0,IF(OR($MW43=$A$2,$MW43=$A$3),$A$3,IFERROR(INDEX(INDIRECT(NA43),MATCH(INDIRECT(MY$3),INDIRECT(NA43),NA$25)),IFERROR(IF(NA$25=-1,MAX(INDIRECT(NA43)),IF(NA$25=1,MIN(INDIRECT(NA43)))),"")))))</f>
        <v/>
      </c>
      <c r="ND43" s="91" t="str">
        <f t="shared" ca="1" si="83"/>
        <v>Geräteturnen_2[Note]</v>
      </c>
      <c r="NE43" s="97" t="str" cm="1">
        <f t="array" aca="1" ref="NE43" ca="1">IFERROR(INDEX(INDIRECT(ND43),MATCH(INDIRECT(MY$5),INDIRECT(NA43),0)),IF(INDIRECT(MY$5)=0,1,""))</f>
        <v/>
      </c>
      <c r="NF43" s="97"/>
      <c r="NG43" s="307"/>
      <c r="NH43" s="96" t="str">
        <f>IFERROR(IFERROR(SUBSTITUTE(ParkourResultat[[#This Row],[Eingabe]],".",",")*1,SUBSTITUTE(ParkourResultat[[#This Row],[Eingabe]],",",".")*1),"")</f>
        <v/>
      </c>
      <c r="NI43" s="96" t="e">
        <f>INT(ParkourResultat[[#This Row],[Resultat]])=ParkourResultat[[#This Row],[Resultat]]</f>
        <v>#VALUE!</v>
      </c>
      <c r="NJ43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3" s="96"/>
      <c r="NL43" s="91" t="str" cm="1">
        <f t="array" aca="1" ref="NL43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3" s="96" t="str">
        <f ca="1">LEFT(Geschlecht[[#This Row],[Geschlecht (Skala)]],1)&amp;NR$4</f>
        <v>2</v>
      </c>
      <c r="NN43" s="96" t="str">
        <f t="shared" ca="1" si="84"/>
        <v>Parkour_2[Resultat]</v>
      </c>
      <c r="NO43" s="97" t="str" cm="1">
        <f t="array" aca="1" ref="NO43" ca="1">IF(INDIRECT(NL$1)="","",IF(INDIRECT(NL$2)=0,0,IF(OR(INDIRECT(NL$1)=$A$2,INDIRECT(NL$1)=$A$3),$A$3,IFERROR(INDEX(INDIRECT(NN43),MATCH(INDIRECT(NL$3),INDIRECT(NN43),NN$25)),IFERROR(IF(NN$25=-1,MAX(INDIRECT(NN43)),IF(NN$25=1,MIN(INDIRECT(NN43)))),"")))))</f>
        <v/>
      </c>
      <c r="NQ43" s="91" t="str">
        <f t="shared" ca="1" si="85"/>
        <v>Parkour_2[Note]</v>
      </c>
      <c r="NR43" s="97" t="str" cm="1">
        <f t="array" aca="1" ref="NR43" ca="1">IFERROR(INDEX(INDIRECT(NQ43),MATCH(INDIRECT(NL$5),INDIRECT(NN43),0)),IF(INDIRECT(NL$5)=0,1,""))</f>
        <v/>
      </c>
      <c r="NS43" s="97"/>
      <c r="NT43" s="97" t="str" cm="1">
        <f t="array" aca="1" ref="NT43" ca="1">INDIRECT(NT$5)</f>
        <v/>
      </c>
      <c r="NU43" s="97" t="str" cm="1">
        <f t="array" aca="1" ref="NU43" ca="1">INDIRECT(NU$5)</f>
        <v/>
      </c>
      <c r="NV43" s="97" t="str" cm="1">
        <f t="array" aca="1" ref="NV43" ca="1">INDIRECT(NV$5)</f>
        <v/>
      </c>
      <c r="NW43" s="97" t="str" cm="1">
        <f t="array" aca="1" ref="NW43" ca="1">INDIRECT(NW$5)</f>
        <v/>
      </c>
      <c r="NX43" s="97" t="str">
        <f t="shared" ca="1" si="86"/>
        <v>Parkour nicht durchgeführt</v>
      </c>
      <c r="NY43" s="97" t="str">
        <f t="shared" ca="1" si="197"/>
        <v/>
      </c>
      <c r="NZ43" s="97" t="str" cm="1">
        <f t="array" aca="1" ref="NZ43" ca="1">IFERROR(IF(INDIRECT(INDEX(INDIRECT(NZ$5),MATCH(NX43,INDIRECT(NZ$4),0)))&lt;&gt;"",INDEX(INDIRECT(NZ$5),MATCH(NX43,INDIRECT(NZ$4),0)),INDEX(INDIRECT(NZ$6),MATCH(NX43,INDIRECT(NZ$4),0))),"")</f>
        <v/>
      </c>
      <c r="OA43" s="97" t="str">
        <f t="shared" ca="1" si="198"/>
        <v/>
      </c>
      <c r="OB43" s="97" t="str" cm="1">
        <f t="array" aca="1" ref="OB43" ca="1">IFERROR(INDIRECT(NZ43),IF(NOT(ISERROR(FIND(Stammdaten!$CC$3,NX43,1))),$A$2,""))</f>
        <v/>
      </c>
      <c r="OC43" s="97" t="str">
        <f ca="1">IF(OB43="","",IF(AND(NY43=Stammdaten!$BX$20,OA43="0",OB43=1),SUBSTITUTE(TEXT(OB43,OA43)&amp;" "&amp;LEFT(NY43,LEN(NY43)-1),".",","),SUBSTITUTE(TEXT(OB43,OA43)&amp;" "&amp;NY43,".",",")))</f>
        <v/>
      </c>
      <c r="OD43" s="97" t="str">
        <f t="shared" ca="1" si="87"/>
        <v/>
      </c>
      <c r="OE43" s="97" t="str" cm="1">
        <f t="array" aca="1" ref="OE43" ca="1">IFERROR(LEFT(INDIRECT(OD43),1)&amp;"]","")</f>
        <v/>
      </c>
      <c r="OF43" s="97" t="str">
        <f t="shared" ca="1" si="88"/>
        <v/>
      </c>
      <c r="OG43" s="97" t="str">
        <f ca="1">IFERROR(LEFT(NX43,FIND(Stammdaten!$CA$4,NX43,1)-2),IFERROR(LEFT(NX43,FIND(Stammdaten!$CC$3,NX43,1)-2),NX43))</f>
        <v>Parkour</v>
      </c>
      <c r="OH43" s="97" t="str">
        <f ca="1">IF(NOT(ISERROR(FIND(Stammdaten!$CA$4,NX43,1))),Stammdaten!$CA$4,IF(OI43&lt;&gt;Stammdaten!$CC$3,OF43,""))</f>
        <v>nicht durchgeführt</v>
      </c>
      <c r="OI43" s="91" t="str">
        <f ca="1">IF(OB43=$A$2,Stammdaten!$CC$3,OC43)</f>
        <v/>
      </c>
      <c r="OJ43" s="97" t="str">
        <f t="shared" ca="1" si="89"/>
        <v/>
      </c>
      <c r="OK43" s="97" t="str">
        <f t="shared" ca="1" si="90"/>
        <v/>
      </c>
      <c r="OL43" s="97">
        <f t="shared" ca="1" si="199"/>
        <v>0</v>
      </c>
      <c r="OM43" s="108">
        <f t="shared" ca="1" si="91"/>
        <v>0</v>
      </c>
      <c r="ON43" s="108">
        <f t="shared" ca="1" si="92"/>
        <v>0</v>
      </c>
      <c r="OO43" s="108" t="str">
        <f t="shared" ca="1" si="200"/>
        <v/>
      </c>
      <c r="OP43" s="97" t="str">
        <f ca="1">IF(OO43="",Stammdaten!$BZ$1,IF(AND(OM43=0,ON43&gt;=OO$25),$A$3,ROUND(SUM(OL43/OO43)/OP$25,0)*OP$25))</f>
        <v>Zu wenige Werte</v>
      </c>
      <c r="OQ43" s="108">
        <f t="shared" ca="1" si="201"/>
        <v>6</v>
      </c>
      <c r="OR43" s="97" t="str">
        <f t="shared" ca="1" si="202"/>
        <v/>
      </c>
      <c r="OS43" s="97" t="str">
        <f t="shared" ca="1" si="203"/>
        <v/>
      </c>
      <c r="OT43" s="97" t="str">
        <f t="shared" ca="1" si="204"/>
        <v/>
      </c>
      <c r="OU43" s="97" t="str">
        <f t="shared" ca="1" si="205"/>
        <v>g</v>
      </c>
      <c r="OV43" s="97" t="str">
        <f t="shared" ca="1" si="206"/>
        <v/>
      </c>
      <c r="OW43" s="97">
        <f t="shared" ca="1" si="207"/>
        <v>1</v>
      </c>
      <c r="OX43" s="97" t="str">
        <f ca="1">IF(OR(Geschlecht[[#This Row],[Geschlecht (Skala)]]="",NOT(ISNUMBER(OO43))),"",OW43)</f>
        <v/>
      </c>
      <c r="OY43" s="97" t="str">
        <f t="shared" ca="1" si="208"/>
        <v/>
      </c>
      <c r="OZ43" s="97"/>
      <c r="PA43" s="308" t="str">
        <f t="shared" ca="1" si="209"/>
        <v>Zu wenige Werte</v>
      </c>
      <c r="PB43" s="97"/>
      <c r="PC43" s="307"/>
      <c r="PD43" s="96" t="str">
        <f>IFERROR(IFERROR(SUBSTITUTE(TanzenResultat[[#This Row],[Eingabe]],".",",")*1,SUBSTITUTE(TanzenResultat[[#This Row],[Eingabe]],",",".")*1),"")</f>
        <v/>
      </c>
      <c r="PE43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3" s="96"/>
      <c r="PG43" s="91" t="str" cm="1">
        <f t="array" aca="1" ref="PG43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3" s="96" t="str">
        <f ca="1">LEFT(Geschlecht[[#This Row],[Geschlecht (Skala)]],1)&amp;PM$4</f>
        <v>2</v>
      </c>
      <c r="PI43" s="96" t="str">
        <f t="shared" ca="1" si="93"/>
        <v>Tanzen_2[Resultat]</v>
      </c>
      <c r="PJ43" s="97" t="str" cm="1">
        <f t="array" aca="1" ref="PJ43" ca="1">IF(INDIRECT(PG$1)="","",IF(INDIRECT(PG$2)=0,0,IF(OR(INDIRECT(PG$1)=$A$2,INDIRECT(PG$1)=$A$3),$A$3,IFERROR(INDEX(INDIRECT(PI43),MATCH(INDIRECT(PG$3),INDIRECT(PI43),PI$25)),IFERROR(IF(PI$25=-1,MAX(INDIRECT(PI43)),IF(PI$25=1,MIN(INDIRECT(PI43)))),"")))))</f>
        <v/>
      </c>
      <c r="PL43" s="91" t="str">
        <f t="shared" ca="1" si="94"/>
        <v>Tanzen_2[Note]</v>
      </c>
      <c r="PM43" s="97" t="str" cm="1">
        <f t="array" aca="1" ref="PM43" ca="1">IFERROR(INDEX(INDIRECT(PL43),MATCH(INDIRECT(PG$5),INDIRECT(PI43),0)),IF(INDIRECT(PG$5)=0,1,""))</f>
        <v/>
      </c>
      <c r="PN43" s="97"/>
      <c r="PO43" s="307"/>
      <c r="PP43" s="96" t="str">
        <f>IFERROR(IFERROR(SUBSTITUTE(RopeSkippingResultat[[#This Row],[Eingabe]],".",",")*1,SUBSTITUTE(RopeSkippingResultat[[#This Row],[Eingabe]],",",".")*1),"")</f>
        <v/>
      </c>
      <c r="PQ43" s="96" t="e">
        <f>INT(RopeSkippingResultat[[#This Row],[Resultat]])=RopeSkippingResultat[[#This Row],[Resultat]]</f>
        <v>#VALUE!</v>
      </c>
      <c r="PR43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3" s="96"/>
      <c r="PT43" s="91" t="str" cm="1">
        <f t="array" aca="1" ref="PT43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3" s="96" t="str">
        <f ca="1">LEFT(Geschlecht[[#This Row],[Geschlecht (Skala)]],1)&amp;PZ$4</f>
        <v>2</v>
      </c>
      <c r="PV43" s="96" t="str">
        <f t="shared" ca="1" si="95"/>
        <v>RopeSkipping_2[Resultat]</v>
      </c>
      <c r="PW43" s="97" t="str" cm="1">
        <f t="array" aca="1" ref="PW43" ca="1">IF(INDIRECT(PT$1)="","",IF(INDIRECT(PT$2)=0,0,IF(OR(INDIRECT(PT$1)=$A$2,INDIRECT(PT$1)=$A$3),$A$3,IFERROR(INDEX(INDIRECT(PV43),MATCH(INDIRECT(PT$3),INDIRECT(PV43),PV$25)),IFERROR(IF(PV$25=-1,MAX(INDIRECT(PV43)),IF(PV$25=1,MIN(INDIRECT(PV43)))),"")))))</f>
        <v/>
      </c>
      <c r="PY43" s="91" t="str">
        <f t="shared" ca="1" si="96"/>
        <v>RopeSkipping_2[Note]</v>
      </c>
      <c r="PZ43" s="97" t="str" cm="1">
        <f t="array" aca="1" ref="PZ43" ca="1">IFERROR(INDEX(INDIRECT(PY43),MATCH(INDIRECT(PT$5),INDIRECT(PV43),0)),IF(INDIRECT(PT$5)=0,1,""))</f>
        <v/>
      </c>
      <c r="QA43" s="97"/>
      <c r="QB43" s="307"/>
      <c r="QC43" s="96" t="str">
        <f>IFERROR(IFERROR(SUBSTITUTE(AerobicResultat[[#This Row],[Eingabe]],".",",")*1,SUBSTITUTE(AerobicResultat[[#This Row],[Eingabe]],",",".")*1),"")</f>
        <v/>
      </c>
      <c r="QD43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3" s="96"/>
      <c r="QF43" s="91" t="str" cm="1">
        <f t="array" aca="1" ref="QF43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3" s="96" t="str">
        <f ca="1">LEFT(Geschlecht[[#This Row],[Geschlecht (Skala)]],1)&amp;QL$4</f>
        <v>2</v>
      </c>
      <c r="QH43" s="96" t="str">
        <f t="shared" ca="1" si="97"/>
        <v>Aerobic_2[Resultat]</v>
      </c>
      <c r="QI43" s="97" t="str" cm="1">
        <f t="array" aca="1" ref="QI43" ca="1">IF(INDIRECT(QF$1)="","",IF(INDIRECT(QF$2)=0,0,IF(OR(INDIRECT(QF$1)=$A$2,INDIRECT(QF$1)=$A$3),$A$3,IFERROR(INDEX(INDIRECT(QH43),MATCH(INDIRECT(QF$3),INDIRECT(QH43),QH$25)),IFERROR(IF(QH$25=-1,MAX(INDIRECT(QH43)),IF(QH$25=1,MIN(INDIRECT(QH43)))),"")))))</f>
        <v/>
      </c>
      <c r="QK43" s="91" t="str">
        <f t="shared" ca="1" si="98"/>
        <v>Aerobic_2[Note]</v>
      </c>
      <c r="QL43" s="97" t="str" cm="1">
        <f t="array" aca="1" ref="QL43" ca="1">IFERROR(INDEX(INDIRECT(QK43),MATCH(INDIRECT(QF$5),INDIRECT(QH43),0)),IF(INDIRECT(QF$5)=0,1,""))</f>
        <v/>
      </c>
      <c r="QM43" s="97"/>
      <c r="QN43" s="97" t="str" cm="1">
        <f t="array" aca="1" ref="QN43" ca="1">INDIRECT(QN$5)</f>
        <v/>
      </c>
      <c r="QO43" s="97" t="str" cm="1">
        <f t="array" aca="1" ref="QO43" ca="1">INDIRECT(QO$5)</f>
        <v/>
      </c>
      <c r="QP43" s="97" t="str" cm="1">
        <f t="array" aca="1" ref="QP43" ca="1">INDIRECT(QP$5)</f>
        <v/>
      </c>
      <c r="QQ43" s="97" t="str" cm="1">
        <f t="array" aca="1" ref="QQ43" ca="1">INDIRECT(QQ$5)</f>
        <v/>
      </c>
      <c r="QR43" s="97" t="str" cm="1">
        <f t="array" aca="1" ref="QR43" ca="1">INDIRECT(QR$5)</f>
        <v/>
      </c>
      <c r="QS43" s="97" t="str" cm="1">
        <f t="array" aca="1" ref="QS43" ca="1">INDIRECT(QS$5)</f>
        <v/>
      </c>
      <c r="QT43" s="97" t="str">
        <f t="shared" ca="1" si="99"/>
        <v>Darstellen und Tanzen nicht durchgeführt</v>
      </c>
      <c r="QU43" s="108">
        <f t="shared" ca="1" si="100"/>
        <v>0</v>
      </c>
      <c r="QV43" s="108">
        <f t="shared" ca="1" si="101"/>
        <v>0</v>
      </c>
      <c r="QW43" s="108" t="str">
        <f t="shared" ca="1" si="210"/>
        <v/>
      </c>
      <c r="QX43" s="97" t="str">
        <f t="shared" ca="1" si="211"/>
        <v>Darstellen und Tanzen nicht durchgeführt</v>
      </c>
      <c r="QY43" s="97" t="str">
        <f t="shared" ca="1" si="212"/>
        <v/>
      </c>
      <c r="QZ43" s="97" t="str" cm="1">
        <f t="array" aca="1" ref="QZ43" ca="1">IFERROR(IF(INDIRECT(INDEX(INDIRECT(QZ$5),MATCH(QX43,INDIRECT(QZ$4),0)))&lt;&gt;"",INDEX(INDIRECT(QZ$5),MATCH(QX43,INDIRECT(QZ$4),0)),INDEX(INDIRECT(QZ$6),MATCH(QX43,INDIRECT(QZ$4),0))),"")</f>
        <v/>
      </c>
      <c r="RA43" s="97" t="str">
        <f t="shared" ca="1" si="213"/>
        <v/>
      </c>
      <c r="RB43" s="97" t="str" cm="1">
        <f t="array" aca="1" ref="RB43" ca="1">IFERROR(INDIRECT(QZ43),IF(NOT(ISERROR(FIND(Stammdaten!$CC$3,QX43,1))),$A$2,""))</f>
        <v/>
      </c>
      <c r="RC43" s="97" t="str">
        <f ca="1">IF(RB43="","",IF(AND(QY43=Stammdaten!$BX$20,RA43="0",RB43=1),SUBSTITUTE(TEXT(RB43,RA43)&amp;" "&amp;LEFT(QY43,LEN(QY43)-1),".",","),SUBSTITUTE(TEXT(RB43,RA43)&amp;" "&amp;QY43,".",",")))</f>
        <v/>
      </c>
      <c r="RD43" s="97" t="str">
        <f t="shared" ca="1" si="102"/>
        <v/>
      </c>
      <c r="RE43" s="97" t="str" cm="1">
        <f t="array" aca="1" ref="RE43" ca="1">IFERROR(LEFT(INDIRECT(RD43),1)&amp;"]","")</f>
        <v/>
      </c>
      <c r="RF43" s="97" t="str">
        <f t="shared" ca="1" si="103"/>
        <v/>
      </c>
      <c r="RG43" s="97" t="str">
        <f ca="1">IFERROR(LEFT(QX43,FIND(Stammdaten!$CA$4,QX43,1)-2),IFERROR(LEFT(QX43,FIND(Stammdaten!$CC$3,QX43,1)-2),QX43))</f>
        <v>Darstellen und Tanzen</v>
      </c>
      <c r="RH43" s="97" t="str">
        <f ca="1">IF(NOT(ISERROR(FIND(Stammdaten!$CA$4,QX43,1))),Stammdaten!$CA$4,IF(RI43&lt;&gt;Stammdaten!$CC$3,RF43,""))</f>
        <v>nicht durchgeführt</v>
      </c>
      <c r="RI43" s="91" t="str">
        <f ca="1">IF(RB43=$A$2,Stammdaten!$CC$3,RC43)</f>
        <v/>
      </c>
      <c r="RJ43" s="108">
        <f t="shared" ca="1" si="214"/>
        <v>6</v>
      </c>
      <c r="RK43" s="97"/>
      <c r="RL43" s="308" t="str">
        <f ca="1">IF(QT43=$QT$4,Stammdaten!$BZ$1,IF(QT43=$QT$5,$A$3,QT43))</f>
        <v>Zu wenige Werte</v>
      </c>
      <c r="RM43" s="97"/>
      <c r="RN43" s="307"/>
      <c r="RO43" s="96" t="str">
        <f>IFERROR(IFERROR(SUBSTITUTE(BasketballResultat[[#This Row],[Eingabe]],".",",")*1,SUBSTITUTE(BasketballResultat[[#This Row],[Eingabe]],",",".")*1),"")</f>
        <v/>
      </c>
      <c r="RP43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3" s="96"/>
      <c r="RR43" s="91" t="str" cm="1">
        <f t="array" aca="1" ref="RR43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3" s="96" t="str">
        <f ca="1">LEFT(Geschlecht[[#This Row],[Geschlecht (Skala)]],1)&amp;RX$4</f>
        <v>2</v>
      </c>
      <c r="RT43" s="96" t="str">
        <f t="shared" ca="1" si="104"/>
        <v>Basketball_2[Resultat]</v>
      </c>
      <c r="RU43" s="97" t="str" cm="1">
        <f t="array" aca="1" ref="RU43" ca="1">IF(INDIRECT(RR$1)="","",IF(INDIRECT(RR$2)=0,0,IF(OR(INDIRECT(RR$1)=$A$2,INDIRECT(RR$1)=$A$3),$A$3,IFERROR(INDEX(INDIRECT(RT43),MATCH(INDIRECT(RR$3),INDIRECT(RT43),RT$25)),IFERROR(IF(RT$25=-1,MAX(INDIRECT(RT43)),IF(RT$25=1,MIN(INDIRECT(RT43)))),"")))))</f>
        <v/>
      </c>
      <c r="RW43" s="91" t="str">
        <f t="shared" ca="1" si="105"/>
        <v>Basketball_2[Note]</v>
      </c>
      <c r="RX43" s="97" t="str" cm="1">
        <f t="array" aca="1" ref="RX43" ca="1">IFERROR(INDEX(INDIRECT(RW43),MATCH(INDIRECT(RR$5),INDIRECT(RT43),0)),IF(INDIRECT(RR$5)=0,1,""))</f>
        <v/>
      </c>
      <c r="RY43" s="97"/>
      <c r="RZ43" s="307"/>
      <c r="SA43" s="96" t="str">
        <f>IFERROR(IFERROR(SUBSTITUTE(FussballResultat[[#This Row],[Eingabe]],".",",")*1,SUBSTITUTE(FussballResultat[[#This Row],[Eingabe]],",",".")*1),"")</f>
        <v/>
      </c>
      <c r="SB43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3" s="96"/>
      <c r="SD43" s="316" t="str" cm="1">
        <f t="array" aca="1" ref="SD43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3" s="96" t="str">
        <f ca="1">LEFT(Geschlecht[[#This Row],[Geschlecht (Skala)]],1)&amp;SJ$4</f>
        <v>2</v>
      </c>
      <c r="SF43" s="96" t="str">
        <f t="shared" ca="1" si="106"/>
        <v>Fussball_2[Resultat]</v>
      </c>
      <c r="SG43" s="97" t="str" cm="1">
        <f t="array" aca="1" ref="SG43" ca="1">IF(INDIRECT(SD$1)="","",IF(INDIRECT(SD$2)=0,0,IF(OR(INDIRECT(SD$1)=$A$2,INDIRECT(SD$1)=$A$3),$A$3,IFERROR(INDEX(INDIRECT(SF43),MATCH(INDIRECT(SD$3),INDIRECT(SF43),SF$25)),IFERROR(IF(SF$25=-1,MAX(INDIRECT(SF43)),IF(SF$25=1,MIN(INDIRECT(SF43)))),"")))))</f>
        <v/>
      </c>
      <c r="SI43" s="91" t="str">
        <f t="shared" ca="1" si="107"/>
        <v>Fussball_2[Note]</v>
      </c>
      <c r="SJ43" s="97" t="str" cm="1">
        <f t="array" aca="1" ref="SJ43" ca="1">IFERROR(INDEX(INDIRECT(SI43),MATCH(INDIRECT(SD$5),INDIRECT(SF43),0)),IF(INDIRECT(SD$5)=0,1,""))</f>
        <v/>
      </c>
      <c r="SK43" s="97"/>
      <c r="SL43" s="307"/>
      <c r="SM43" s="96" t="str">
        <f>IFERROR(IFERROR(SUBSTITUTE(HandballResultat[[#This Row],[Eingabe]],".",",")*1,SUBSTITUTE(HandballResultat[[#This Row],[Eingabe]],",",".")*1),"")</f>
        <v/>
      </c>
      <c r="SN43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3" s="96"/>
      <c r="SP43" s="91" t="str" cm="1">
        <f t="array" aca="1" ref="SP43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3" s="96" t="str">
        <f ca="1">LEFT(Geschlecht[[#This Row],[Geschlecht (Skala)]],1)&amp;SV$4</f>
        <v>2</v>
      </c>
      <c r="SR43" s="96" t="str">
        <f t="shared" ca="1" si="108"/>
        <v>Handball_2[Resultat]</v>
      </c>
      <c r="SS43" s="97" t="str" cm="1">
        <f t="array" aca="1" ref="SS43" ca="1">IF(INDIRECT(SP$1)="","",IF(INDIRECT(SP$2)=0,0,IF(OR(INDIRECT(SP$1)=$A$2,INDIRECT(SP$1)=$A$3),$A$3,IFERROR(INDEX(INDIRECT(SR43),MATCH(INDIRECT(SP$3),INDIRECT(SR43),SR$25)),IFERROR(IF(SR$25=-1,MAX(INDIRECT(SR43)),IF(SR$25=1,MIN(INDIRECT(SR43)))),"")))))</f>
        <v/>
      </c>
      <c r="SU43" s="91" t="str">
        <f t="shared" ca="1" si="109"/>
        <v>Handball_2[Note]</v>
      </c>
      <c r="SV43" s="97" t="str" cm="1">
        <f t="array" aca="1" ref="SV43" ca="1">IFERROR(INDEX(INDIRECT(SU43),MATCH(INDIRECT(SP$5),INDIRECT(SR43),0)),IF(INDIRECT(SP$5)=0,1,""))</f>
        <v/>
      </c>
      <c r="SW43" s="97"/>
      <c r="SX43" s="307"/>
      <c r="SY43" s="96" t="str">
        <f>IFERROR(IFERROR(SUBSTITUTE(UnihockeyResultat[[#This Row],[Eingabe]],".",",")*1,SUBSTITUTE(UnihockeyResultat[[#This Row],[Eingabe]],",",".")*1),"")</f>
        <v/>
      </c>
      <c r="SZ43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3" s="96"/>
      <c r="TB43" s="91" t="str" cm="1">
        <f t="array" aca="1" ref="TB43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3" s="96" t="str">
        <f ca="1">LEFT(Geschlecht[[#This Row],[Geschlecht (Skala)]],1)&amp;TH$4</f>
        <v>2</v>
      </c>
      <c r="TD43" s="96" t="str">
        <f t="shared" ca="1" si="110"/>
        <v>Unihockey_2[Resultat]</v>
      </c>
      <c r="TE43" s="97" t="str" cm="1">
        <f t="array" aca="1" ref="TE43" ca="1">IF(INDIRECT(TB$1)="","",IF(INDIRECT(TB$2)=0,0,IF(OR(INDIRECT(TB$1)=$A$2,INDIRECT(TB$1)=$A$3),$A$3,IFERROR(INDEX(INDIRECT(TD43),MATCH(INDIRECT(TB$3),INDIRECT(TD43),TD$25)),IFERROR(IF(TD$25=-1,MAX(INDIRECT(TD43)),IF(TD$25=1,MIN(INDIRECT(TD43)))),"")))))</f>
        <v/>
      </c>
      <c r="TG43" s="91" t="str">
        <f t="shared" ca="1" si="111"/>
        <v>Unihockey_2[Note]</v>
      </c>
      <c r="TH43" s="97" t="str" cm="1">
        <f t="array" aca="1" ref="TH43" ca="1">IFERROR(INDEX(INDIRECT(TG43),MATCH(INDIRECT(TB$5),INDIRECT(TD43),0)),IF(INDIRECT(TB$5)=0,1,""))</f>
        <v/>
      </c>
      <c r="TI43" s="97"/>
      <c r="TJ43" s="307"/>
      <c r="TK43" s="96" t="str">
        <f>IFERROR(IFERROR(SUBSTITUTE(VolleyballResultat[[#This Row],[Eingabe]],".",",")*1,SUBSTITUTE(VolleyballResultat[[#This Row],[Eingabe]],",",".")*1),"")</f>
        <v/>
      </c>
      <c r="TL43" s="96" t="e">
        <f>INT(VolleyballResultat[[#This Row],[Resultat]])=VolleyballResultat[[#This Row],[Resultat]]</f>
        <v>#VALUE!</v>
      </c>
      <c r="TM43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3" s="96"/>
      <c r="TO43" s="91" t="str" cm="1">
        <f t="array" aca="1" ref="TO43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3" s="96" t="str">
        <f ca="1">LEFT(Geschlecht[[#This Row],[Geschlecht (Skala)]],1)&amp;TU$4</f>
        <v>2</v>
      </c>
      <c r="TQ43" s="96" t="str">
        <f t="shared" ca="1" si="112"/>
        <v>Volleyball_2[Resultat]</v>
      </c>
      <c r="TR43" s="97" t="str" cm="1">
        <f t="array" aca="1" ref="TR43" ca="1">IF(INDIRECT(TO$1)="","",IF(INDIRECT(TO$2)=0,0,IF(OR(INDIRECT(TO$1)=$A$2,INDIRECT(TO$1)=$A$3),$A$3,IFERROR(INDEX(INDIRECT(TQ43),MATCH(INDIRECT(TO$3),INDIRECT(TQ43),TQ$25)),IFERROR(IF(TQ$25=-1,MAX(INDIRECT(TQ43)),IF(TQ$25=1,MIN(INDIRECT(TQ43)))),"")))))</f>
        <v/>
      </c>
      <c r="TT43" s="91" t="str">
        <f t="shared" ca="1" si="113"/>
        <v>Volleyball_2[Note]</v>
      </c>
      <c r="TU43" s="97" t="str" cm="1">
        <f t="array" aca="1" ref="TU43" ca="1">IFERROR(INDEX(INDIRECT(TT43),MATCH(INDIRECT(TO$5),INDIRECT(TQ43),0)),IF(INDIRECT(TO$5)=0,1,""))</f>
        <v/>
      </c>
      <c r="TV43" s="97"/>
      <c r="TW43" s="309" t="str" cm="1">
        <f t="array" aca="1" ref="TW43" ca="1">IF(AND(ISNUMBER(INDIRECT(TW$3)),INDIRECT(TW$3)&gt;1),INDIRECT(TW$3),"")</f>
        <v/>
      </c>
      <c r="TX43" s="309" t="str" cm="1">
        <f t="array" aca="1" ref="TX43" ca="1">IF(AND(ISNUMBER(INDIRECT(TX$3)),INDIRECT(TX$3)&gt;1),INDIRECT(TX$3),"")</f>
        <v/>
      </c>
      <c r="TY43" s="309" t="str" cm="1">
        <f t="array" aca="1" ref="TY43" ca="1">IF(AND(ISNUMBER(INDIRECT(TY$3)),INDIRECT(TY$3)&gt;1),INDIRECT(TY$3),"")</f>
        <v/>
      </c>
      <c r="TZ43" s="309" t="str" cm="1">
        <f t="array" aca="1" ref="TZ43" ca="1">IF(AND(ISNUMBER(INDIRECT(TZ$3)),INDIRECT(TZ$3)&gt;1),INDIRECT(TZ$3),"")</f>
        <v/>
      </c>
      <c r="UA43" s="309" t="str" cm="1">
        <f t="array" aca="1" ref="UA43" ca="1">IF(AND(ISNUMBER(INDIRECT(UA$3)),INDIRECT(UA$3)&gt;1),INDIRECT(UA$3),"")</f>
        <v/>
      </c>
      <c r="UB43" s="309" t="str">
        <f t="shared" ca="1" si="114"/>
        <v>x</v>
      </c>
      <c r="UC43" s="309" t="str">
        <f t="shared" ca="1" si="115"/>
        <v>y</v>
      </c>
      <c r="UD43" s="309" t="str">
        <f t="shared" ca="1" si="116"/>
        <v>z</v>
      </c>
      <c r="UE43" s="309" t="str">
        <f t="shared" ca="1" si="215"/>
        <v>a</v>
      </c>
      <c r="UF43" s="309" t="str" cm="1">
        <f t="array" aca="1" ref="UF43" ca="1">IF(UE43="a","",INDEX($TW$23:$UA$23,,MATCH(UE43,$TW43:$UA43,0)))</f>
        <v/>
      </c>
      <c r="UG43" s="309" t="str" cm="1">
        <f t="array" aca="1" ref="UG43" ca="1">IF(OR(UF43="",UF43&gt;=$UA$23),"",INDEX(INDIRECT(ADDRESS(ROW($TW$23),UF43+1)):$UA$23,,MATCH(UE43,INDIRECT(ADDRESS(ROW(),UF43+1)):$UA43,0)))</f>
        <v/>
      </c>
      <c r="UH43" s="309" t="str" cm="1">
        <f t="array" aca="1" ref="UH43" ca="1">IF(OR(UG43="",UG43&gt;=$UA$23),"",INDEX(INDIRECT(ADDRESS(ROW($TW$23),UG43+1)):$UA$23,,MATCH(UE43,INDIRECT(ADDRESS(ROW(),UG43+1)):$UA43,0)))</f>
        <v/>
      </c>
      <c r="UI43" s="309" t="str">
        <f t="shared" ca="1" si="216"/>
        <v>c</v>
      </c>
      <c r="UJ43" s="309" t="str" cm="1">
        <f t="array" aca="1" ref="UJ43" ca="1">IF(OR(UI43="b",UI43="c"),"",INDEX($TW$23:$UA$23,,MATCH(UI43,$TW43:$UA43,0)))</f>
        <v/>
      </c>
      <c r="UK43" s="309" t="str" cm="1">
        <f t="array" aca="1" ref="UK43" ca="1">IF(OR(UJ43="",UJ43&gt;=$UA$23),"",INDEX(INDIRECT(ADDRESS(ROW($TW$23),UJ43+1)):$UA$23,,MATCH(UI43,INDIRECT(ADDRESS(ROW(),UJ43+1)):$UA43,0)))</f>
        <v/>
      </c>
      <c r="UL43" s="309" t="str">
        <f t="shared" ca="1" si="117"/>
        <v/>
      </c>
      <c r="UM43" s="309" t="str">
        <f t="shared" ca="1" si="217"/>
        <v>e</v>
      </c>
      <c r="UN43" s="309" t="str">
        <f t="shared" ca="1" si="118"/>
        <v/>
      </c>
      <c r="UO43" s="309" t="str" cm="1">
        <f t="array" aca="1" ref="UO43" ca="1">IF(OR(UM43="d",UM43="e"),"",INDEX($TW$23:$UA$23,,MATCH(UM43,$TW43:$UA43,0)))</f>
        <v/>
      </c>
      <c r="UP43" s="309" t="str" cm="1">
        <f t="array" aca="1" ref="UP43" ca="1">IF(OR(UO43="",UO43&gt;=$UA$23),"",INDEX(INDIRECT(ADDRESS(ROW($TW$23),UO43+1)):$UA$23,,MATCH(UM43,INDIRECT(ADDRESS(ROW(),UO43+1)):$UA43,0)))</f>
        <v/>
      </c>
      <c r="UQ43" s="309" t="str" cm="1">
        <f t="array" aca="1" ref="UQ43" ca="1">IFERROR(IF(ISNUMBER(UF43),UF43,IF(ISNUMBER(UJ43),UJ43,IF(ISNUMBER(UN43),UN43,INDEX($TW$23:$UA$23,,MATCH(UB43,$TW43:$UA43,0))))),"x1")</f>
        <v>x1</v>
      </c>
      <c r="UR43" s="309" t="str" cm="1">
        <f t="array" aca="1" ref="UR43" ca="1">IFERROR(IF(ISNUMBER(UG43),UG43,IF(ISNUMBER(UK43),UK43,IF(ISNUMBER(UO43),UO43,INDEX($TW$23:$UA$23,,MATCH(UC43,$TW43:$UA43,0))))),IF(UQ43="x1","x2","x1"))</f>
        <v>x2</v>
      </c>
      <c r="US43" s="309" t="str" cm="1">
        <f t="array" aca="1" ref="US43" ca="1">IFERROR(IF(ISNUMBER(UH43),UH43,IF(ISNUMBER(UL43),UL43,IF(ISNUMBER(UP43),UP43,INDEX($TW$23:$UA$23,,MATCH(UD43,$TW43:$UA43,0))))),IF(UR43="x1","x2",IF(UR43="x2","x3","x1")))</f>
        <v>x3</v>
      </c>
      <c r="UT43" s="97" t="str" cm="1">
        <f t="array" aca="1" ref="UT43" ca="1">IF(OR(INDIRECT(UT$3)=$A$2,INDIRECT(UT$3)=$A$3),COLUMN(),"")</f>
        <v/>
      </c>
      <c r="UU43" s="97" t="str" cm="1">
        <f t="array" aca="1" ref="UU43" ca="1">IF(OR(INDIRECT(UU$3)=$A$2,INDIRECT(UU$3)=$A$3),COLUMN(),"")</f>
        <v/>
      </c>
      <c r="UV43" s="97" t="str" cm="1">
        <f t="array" aca="1" ref="UV43" ca="1">IF(OR(INDIRECT(UV$3)=$A$2,INDIRECT(UV$3)=$A$3),COLUMN(),"")</f>
        <v/>
      </c>
      <c r="UW43" s="97" t="str" cm="1">
        <f t="array" aca="1" ref="UW43" ca="1">IF(OR(INDIRECT(UW$3)=$A$2,INDIRECT(UW$3)=$A$3),COLUMN(),"")</f>
        <v/>
      </c>
      <c r="UX43" s="97" t="str" cm="1">
        <f t="array" aca="1" ref="UX43" ca="1">IF(OR(INDIRECT(UX$3)=$A$2,INDIRECT(UX$3)=$A$3),COLUMN(),"")</f>
        <v/>
      </c>
      <c r="UY43" s="97" t="str" cm="1">
        <f t="array" aca="1" ref="UY43" ca="1">IF(AND(ISNUMBER(INDIRECT(UY$3)),INDIRECT(UY$3)=0),COLUMN(),"")</f>
        <v/>
      </c>
      <c r="UZ43" s="97" t="str" cm="1">
        <f t="array" aca="1" ref="UZ43" ca="1">IF(AND(ISNUMBER(INDIRECT(UZ$3)),INDIRECT(UZ$3)=0),COLUMN(),"")</f>
        <v/>
      </c>
      <c r="VA43" s="97" t="str" cm="1">
        <f t="array" aca="1" ref="VA43" ca="1">IF(AND(ISNUMBER(INDIRECT(VA$3)),INDIRECT(VA$3)=0),COLUMN(),"")</f>
        <v/>
      </c>
      <c r="VB43" s="97" t="str" cm="1">
        <f t="array" aca="1" ref="VB43" ca="1">IF(AND(ISNUMBER(INDIRECT(VB$3)),INDIRECT(VB$3)=0),COLUMN(),"")</f>
        <v/>
      </c>
      <c r="VC43" s="97" t="str" cm="1">
        <f t="array" aca="1" ref="VC43" ca="1">IF(AND(ISNUMBER(INDIRECT(VC$3)),INDIRECT(VC$3)=0),COLUMN(),"")</f>
        <v/>
      </c>
      <c r="VD43" s="97" t="str">
        <f t="shared" ca="1" si="218"/>
        <v>x1</v>
      </c>
      <c r="VE43" s="97" t="str">
        <f t="shared" ca="1" si="219"/>
        <v>x2</v>
      </c>
      <c r="VF43" s="97" t="str">
        <f t="shared" ca="1" si="220"/>
        <v>x3</v>
      </c>
      <c r="VG43" s="97" t="str">
        <f ca="1">IFERROR(IF(ISNUMBER(VD43),VD43,SMALL($UY43:$VC43,VALUE(RIGHT(VD43,1)))),Stammdaten!$CB$17)</f>
        <v>Erste Spielsportart nicht durchgeführt</v>
      </c>
      <c r="VH43" s="97" t="str">
        <f ca="1">IFERROR(IF(ISNUMBER(VE43),VE43,SMALL($UY43:$VC43,VALUE(RIGHT(VE43,1)))),Stammdaten!$CB$18)</f>
        <v>Zweite Spielsportart nicht durchgeführt</v>
      </c>
      <c r="VI43" s="97" t="str">
        <f ca="1">IFERROR(IF(ISNUMBER(VF43),VF43,SMALL($UY43:$VC43,VALUE(RIGHT(VF43,1)))),Stammdaten!$CB$19)</f>
        <v>Dritte Spielsportart nicht durchgeführt</v>
      </c>
      <c r="VJ43" s="91" t="str" cm="1">
        <f t="array" aca="1" ref="VJ43" ca="1">IFERROR(INDIRECT(ADDRESS(ROW($TW$5),VG43)),VG43)</f>
        <v>Erste Spielsportart nicht durchgeführt</v>
      </c>
      <c r="VK43" s="97" t="str">
        <f t="shared" ca="1" si="221"/>
        <v/>
      </c>
      <c r="VL43" s="97" t="str" cm="1">
        <f t="array" aca="1" ref="VL43" ca="1">IFERROR(IF(INDIRECT(INDEX(INDIRECT(VL$5),MATCH(VJ43,INDIRECT(VL$4),0)))&lt;&gt;"",INDEX(INDIRECT(VL$5),MATCH(VJ43,INDIRECT(VL$4),0)),INDEX(INDIRECT(VL$6),MATCH(VJ43,INDIRECT(VL$4),0))),"")</f>
        <v/>
      </c>
      <c r="VM43" s="97" t="str">
        <f t="shared" ca="1" si="222"/>
        <v/>
      </c>
      <c r="VN43" s="97" t="str" cm="1">
        <f t="array" aca="1" ref="VN43" ca="1">IFERROR(INDIRECT(VL43),"")</f>
        <v/>
      </c>
      <c r="VO43" s="97" t="str">
        <f ca="1">IF(VN43="","",IF(AND(VK43=Stammdaten!$BX$20,VM43="0",VN43=1),SUBSTITUTE(TEXT(VN43,VM43)&amp;" "&amp;LEFT(VK43,LEN(VK43)-1),".",","),SUBSTITUTE(TEXT(VN43,VM43)&amp;" "&amp;VK43,".",",")))</f>
        <v/>
      </c>
      <c r="VP43" s="97" t="str">
        <f t="shared" ca="1" si="119"/>
        <v/>
      </c>
      <c r="VQ43" s="97" t="str" cm="1">
        <f t="array" aca="1" ref="VQ43" ca="1">IFERROR(LEFT(INDIRECT(VP43),1)&amp;"]","")</f>
        <v/>
      </c>
      <c r="VR43" s="97" t="str">
        <f t="shared" ca="1" si="120"/>
        <v/>
      </c>
      <c r="VS43" s="97" t="str">
        <f ca="1">IFERROR(LEFT(VJ43,FIND(Stammdaten!$CA$4,VJ43,1)-2),IFERROR(LEFT(VJ43,FIND(Stammdaten!$CC$3,VJ43,1)-2),VJ43))</f>
        <v>Erste Spielsportart</v>
      </c>
      <c r="VT43" s="97" t="str">
        <f ca="1">IF(NOT(ISERROR(FIND(Stammdaten!$CA$4,VJ43,1))),Stammdaten!$CA$4,IF(VU43&lt;&gt;Stammdaten!$CC$3,VR43,""))</f>
        <v>nicht durchgeführt</v>
      </c>
      <c r="VU43" s="91" t="str">
        <f ca="1">IF(VN43=$A$2,Stammdaten!$CC$3,VO43)</f>
        <v/>
      </c>
      <c r="VV43" s="91" t="str" cm="1">
        <f t="array" aca="1" ref="VV43" ca="1">IFERROR(INDIRECT(ADDRESS(ROW($TW$5),VH43)),VH43)</f>
        <v>Zweite Spielsportart nicht durchgeführt</v>
      </c>
      <c r="VW43" s="97" t="str">
        <f t="shared" ca="1" si="223"/>
        <v/>
      </c>
      <c r="VX43" s="97" t="str" cm="1">
        <f t="array" aca="1" ref="VX43" ca="1">IFERROR(IF(INDIRECT(INDEX(INDIRECT(VX$5),MATCH(VV43,INDIRECT(VX$4),0)))&lt;&gt;"",INDEX(INDIRECT(VX$5),MATCH(VV43,INDIRECT(VX$4),0)),INDEX(INDIRECT(VX$6),MATCH(VV43,INDIRECT(VX$4),0))),"")</f>
        <v/>
      </c>
      <c r="VY43" s="97" t="str">
        <f t="shared" ca="1" si="224"/>
        <v/>
      </c>
      <c r="VZ43" s="97" t="str" cm="1">
        <f t="array" aca="1" ref="VZ43" ca="1">IFERROR(INDIRECT(VX43),"")</f>
        <v/>
      </c>
      <c r="WA43" s="97" t="str">
        <f ca="1">IF(VZ43="","",IF(AND(VW43=Stammdaten!$BX$20,VY43="0",VZ43=1),SUBSTITUTE(TEXT(VZ43,VY43)&amp;" "&amp;LEFT(VW43,LEN(VW43)-1),".",","),SUBSTITUTE(TEXT(VZ43,VY43)&amp;" "&amp;VW43,".",",")))</f>
        <v/>
      </c>
      <c r="WB43" s="97" t="str">
        <f t="shared" ca="1" si="121"/>
        <v/>
      </c>
      <c r="WC43" s="97" t="str" cm="1">
        <f t="array" aca="1" ref="WC43" ca="1">IFERROR(LEFT(INDIRECT(WB43),1)&amp;"]","")</f>
        <v/>
      </c>
      <c r="WD43" s="97" t="str">
        <f t="shared" ca="1" si="122"/>
        <v/>
      </c>
      <c r="WE43" s="97" t="str">
        <f ca="1">IFERROR(LEFT(VV43,FIND(Stammdaten!$CA$4,VV43,1)-2),IFERROR(LEFT(VV43,FIND(Stammdaten!$CC$3,VV43,1)-2),VV43))</f>
        <v>Zweite Spielsportart</v>
      </c>
      <c r="WF43" s="97" t="str">
        <f ca="1">IF(NOT(ISERROR(FIND(Stammdaten!$CA$4,VV43,1))),Stammdaten!$CA$4,IF(WG43&lt;&gt;Stammdaten!$CC$3,WD43,""))</f>
        <v>nicht durchgeführt</v>
      </c>
      <c r="WG43" s="91" t="str">
        <f ca="1">IF(VZ43=$A$2,Stammdaten!$CC$3,WA43)</f>
        <v/>
      </c>
      <c r="WH43" s="91" t="str" cm="1">
        <f t="array" aca="1" ref="WH43" ca="1">IFERROR(INDIRECT(ADDRESS(ROW($TW$5),VI43)),VI43)</f>
        <v>Dritte Spielsportart nicht durchgeführt</v>
      </c>
      <c r="WI43" s="97" t="str">
        <f t="shared" ca="1" si="225"/>
        <v/>
      </c>
      <c r="WJ43" s="97" t="str" cm="1">
        <f t="array" aca="1" ref="WJ43" ca="1">IFERROR(IF(INDIRECT(INDEX(INDIRECT(WJ$5),MATCH(WH43,INDIRECT(WJ$4),0)))&lt;&gt;"",INDEX(INDIRECT(WJ$5),MATCH(WH43,INDIRECT(WJ$4),0)),INDEX(INDIRECT(WJ$6),MATCH(WH43,INDIRECT(WJ$4),0))),"")</f>
        <v/>
      </c>
      <c r="WK43" s="97" t="str">
        <f t="shared" ca="1" si="226"/>
        <v/>
      </c>
      <c r="WL43" s="97" t="str" cm="1">
        <f t="array" aca="1" ref="WL43" ca="1">IFERROR(INDIRECT(WJ43),"")</f>
        <v/>
      </c>
      <c r="WM43" s="97" t="str">
        <f ca="1">IF(WL43="","",IF(AND(WI43=Stammdaten!$BX$20,WK43="0",WL43=1),SUBSTITUTE(TEXT(WL43,WK43)&amp;" "&amp;LEFT(WI43,LEN(WI43)-1),".",","),SUBSTITUTE(TEXT(WL43,WK43)&amp;" "&amp;WI43,".",",")))</f>
        <v/>
      </c>
      <c r="WN43" s="97" t="str">
        <f t="shared" ca="1" si="123"/>
        <v/>
      </c>
      <c r="WO43" s="97" t="str" cm="1">
        <f t="array" aca="1" ref="WO43" ca="1">IFERROR(LEFT(INDIRECT(WN43),1)&amp;"]","")</f>
        <v/>
      </c>
      <c r="WP43" s="97" t="str">
        <f t="shared" ca="1" si="124"/>
        <v/>
      </c>
      <c r="WQ43" s="97" t="str">
        <f ca="1">IFERROR(LEFT(WH43,FIND(Stammdaten!$CA$4,WH43,1)-2),IFERROR(LEFT(WH43,FIND(Stammdaten!$CC$3,WH43,1)-2),WH43))</f>
        <v>Dritte Spielsportart</v>
      </c>
      <c r="WR43" s="97" t="str">
        <f ca="1">IF(NOT(ISERROR(FIND(Stammdaten!$CA$4,WH43,1))),Stammdaten!$CA$4,IF(WS43&lt;&gt;Stammdaten!$CC$3,WP43,""))</f>
        <v>nicht durchgeführt</v>
      </c>
      <c r="WS43" s="91" t="str">
        <f ca="1">IF(WL43=$A$2,Stammdaten!$CC$3,WM43)</f>
        <v/>
      </c>
      <c r="WT43" s="97" t="str" cm="1">
        <f t="array" aca="1" ref="WT43" ca="1">INDIRECT(WT$5)</f>
        <v/>
      </c>
      <c r="WU43" s="97" t="str" cm="1">
        <f t="array" aca="1" ref="WU43" ca="1">INDIRECT(WU$5)</f>
        <v/>
      </c>
      <c r="WV43" s="97" t="str" cm="1">
        <f t="array" aca="1" ref="WV43" ca="1">INDIRECT(WV$5)</f>
        <v/>
      </c>
      <c r="WW43" s="97" t="str" cm="1">
        <f t="array" aca="1" ref="WW43" ca="1">INDIRECT(WW$5)</f>
        <v/>
      </c>
      <c r="WX43" s="97" t="str" cm="1">
        <f t="array" aca="1" ref="WX43" ca="1">INDIRECT(WX$5)</f>
        <v/>
      </c>
      <c r="WY43" s="97" cm="1">
        <f t="array" aca="1" ref="WY43" ca="1">IF(INDIRECT(WY$5)&lt;&gt;"",INDIRECT(WY$5),0)</f>
        <v>0</v>
      </c>
      <c r="WZ43" s="97" cm="1">
        <f t="array" aca="1" ref="WZ43" ca="1">IF(INDIRECT(WZ$5)&lt;&gt;"",INDIRECT(WZ$5),0)</f>
        <v>0</v>
      </c>
      <c r="XA43" s="97" cm="1">
        <f t="array" aca="1" ref="XA43" ca="1">IF(INDIRECT(XA$5)&lt;&gt;"",INDIRECT(XA$5),0)</f>
        <v>0</v>
      </c>
      <c r="XB43" s="97" cm="1">
        <f t="array" aca="1" ref="XB43" ca="1">IF(INDIRECT(XB$5)&lt;&gt;"",INDIRECT(XB$5),0)</f>
        <v>0</v>
      </c>
      <c r="XC43" s="97" cm="1">
        <f t="array" aca="1" ref="XC43" ca="1">IF(INDIRECT(XC$5)&lt;&gt;"",INDIRECT(XC$5),0)</f>
        <v>0</v>
      </c>
      <c r="XD43" s="97">
        <f t="shared" ca="1" si="125"/>
        <v>0</v>
      </c>
      <c r="XE43" s="97">
        <f t="shared" ca="1" si="125"/>
        <v>0</v>
      </c>
      <c r="XF43" s="97">
        <f t="shared" ca="1" si="125"/>
        <v>0</v>
      </c>
      <c r="XG43" s="97">
        <f t="shared" ca="1" si="227"/>
        <v>0</v>
      </c>
      <c r="XH43" s="108">
        <f t="shared" ca="1" si="228"/>
        <v>0</v>
      </c>
      <c r="XI43" s="108">
        <f t="shared" ca="1" si="126"/>
        <v>0</v>
      </c>
      <c r="XJ43" s="108" t="str">
        <f t="shared" ca="1" si="229"/>
        <v/>
      </c>
      <c r="XK43" s="97" t="str">
        <f ca="1">IF(XJ43="",Stammdaten!$BZ$1,IF(AND(XH43=0,XI43&gt;=XJ$25),$A$3,ROUND(SUM(XG43/XJ43)/XK$25,0)*XK$25))</f>
        <v>Zu wenige Werte</v>
      </c>
      <c r="XL43" s="108">
        <f t="shared" ca="1" si="230"/>
        <v>6</v>
      </c>
      <c r="XM43" s="97" t="str">
        <f t="shared" ca="1" si="231"/>
        <v/>
      </c>
      <c r="XN43" s="97" t="str">
        <f t="shared" ca="1" si="232"/>
        <v/>
      </c>
      <c r="XO43" s="97" t="str">
        <f t="shared" ca="1" si="233"/>
        <v/>
      </c>
      <c r="XP43" s="97" t="str">
        <f t="shared" ca="1" si="234"/>
        <v/>
      </c>
      <c r="XQ43" s="97" t="str">
        <f t="shared" ca="1" si="235"/>
        <v>g</v>
      </c>
      <c r="XR43" s="97" t="str">
        <f t="shared" ca="1" si="236"/>
        <v/>
      </c>
      <c r="XS43" s="97">
        <f t="shared" ca="1" si="237"/>
        <v>1</v>
      </c>
      <c r="XT43" s="97" t="str">
        <f ca="1">IF(OR(Geschlecht[[#This Row],[Geschlecht (Skala)]]="",NOT(ISNUMBER(XJ43))),"",XS43)</f>
        <v/>
      </c>
      <c r="XU43" s="97" t="str">
        <f t="shared" ca="1" si="238"/>
        <v/>
      </c>
      <c r="XV43" s="97"/>
      <c r="XW43" s="308" t="str">
        <f t="shared" ca="1" si="127"/>
        <v>Zu wenige Werte</v>
      </c>
      <c r="XX43" s="97"/>
      <c r="XY43" s="97" t="str">
        <f t="shared" ca="1" si="128"/>
        <v>Zu wenige Werte</v>
      </c>
      <c r="XZ43" s="97" t="str">
        <f t="shared" ca="1" si="129"/>
        <v>Zu wenige Werte</v>
      </c>
      <c r="YA43" s="97" t="str">
        <f t="shared" ca="1" si="130"/>
        <v>Zu wenige Werte</v>
      </c>
      <c r="YB43" s="97" t="str">
        <f t="shared" ca="1" si="131"/>
        <v>Zu wenige Werte</v>
      </c>
      <c r="YC43" s="97">
        <f t="shared" ca="1" si="239"/>
        <v>0</v>
      </c>
      <c r="YD43" s="108">
        <f t="shared" ca="1" si="240"/>
        <v>0</v>
      </c>
      <c r="YE43" s="108">
        <f t="shared" ca="1" si="241"/>
        <v>0</v>
      </c>
      <c r="YF43" s="108" t="str">
        <f t="shared" ca="1" si="242"/>
        <v/>
      </c>
      <c r="YG43" s="97" t="str">
        <f ca="1">IF(YF43="",Stammdaten!$BZ$1,IF(YE43=YF$25,$A$3,ROUND(SUM(YC43/YF43)/YG$25,0)*YG$25))</f>
        <v>Zu wenige Werte</v>
      </c>
      <c r="YH43" s="97" t="str">
        <f ca="1">IF(NOT(ISNUMBER(XY43)),"",IF(YH$11&lt;&gt;"2+",TEXT(XY43,YH$11)&amp;" / ",IF(RIGHT(XY43*100,2)="00",TEXT(XY43,"0"&amp;Stammdaten!$AZ$3&amp;"0")&amp;" / ",XY43&amp;" / ")))</f>
        <v/>
      </c>
      <c r="YI43" s="97" t="str">
        <f ca="1">IF(NOT(ISNUMBER(XZ43)),"",IF(YI$11&lt;&gt;"2+",TEXT(XZ43,YI$11)&amp;" / ",IF(RIGHT(XZ43*100,2)="00",TEXT(XZ43,"0"&amp;Stammdaten!$AZ$3&amp;"0")&amp;" / ",XZ43&amp;" / ")))</f>
        <v/>
      </c>
      <c r="YJ43" s="97" t="str">
        <f ca="1">IF(NOT(ISNUMBER(YA43)),"",IF(YJ$11&lt;&gt;"2+",TEXT(YA43,YJ$11)&amp;" / ",IF(RIGHT(YA43*100,2)="00",TEXT(YA43,"0"&amp;Stammdaten!$AZ$3&amp;"0")&amp;" / ",YA43&amp;" / ")))</f>
        <v/>
      </c>
      <c r="YK43" s="97" t="str">
        <f ca="1">IF(NOT(ISNUMBER(YB43)),"",IF(YK$11&lt;&gt;"2+",TEXT(YB43,YK$11)&amp;" / ",IF(RIGHT(YB43*100,2)="00",TEXT(YB43,"0"&amp;Stammdaten!$AZ$3&amp;"0")&amp;" / ",YB43&amp;" / ")))</f>
        <v/>
      </c>
      <c r="YL43" s="97" t="str">
        <f t="shared" ca="1" si="243"/>
        <v/>
      </c>
      <c r="YM43" s="97" t="str">
        <f>IF(Geschlecht[[#This Row],[Geschlecht (Skala)]]="","",IF(ISNUMBER(XY43),1,IF(XY43=$A$3,$A$2,"R")))</f>
        <v/>
      </c>
      <c r="YN43" s="97" t="str">
        <f>IF(Geschlecht[[#This Row],[Geschlecht (Skala)]]="","",IF(ISNUMBER(XZ43),1,IF(XZ43=$A$3,$A$2,"R")))</f>
        <v/>
      </c>
      <c r="YO43" s="97" t="str">
        <f>IF(Geschlecht[[#This Row],[Geschlecht (Skala)]]="","",IF(ISNUMBER(YA43),1,IF(YA43=$A$3,$A$2,"R")))</f>
        <v/>
      </c>
      <c r="YP43" s="97" t="str">
        <f>IF(Geschlecht[[#This Row],[Geschlecht (Skala)]]="","",IF(ISNUMBER(YB43),1,IF(YB43=$A$3,$A$2,"R")))</f>
        <v/>
      </c>
      <c r="YQ43" s="97" t="str">
        <f t="shared" si="244"/>
        <v>g</v>
      </c>
      <c r="YR43" s="97" t="str">
        <f t="shared" ca="1" si="245"/>
        <v/>
      </c>
      <c r="YS43" s="97">
        <f t="shared" ca="1" si="246"/>
        <v>1</v>
      </c>
      <c r="YT43" s="97" t="str">
        <f ca="1">IF(OR(Geschlecht[[#This Row],[Geschlecht (Skala)]]="",NOT(ISNUMBER(YG43))),"",YS43)</f>
        <v/>
      </c>
      <c r="YU43" s="97"/>
      <c r="YV43" s="311" t="str">
        <f t="shared" si="247"/>
        <v>D</v>
      </c>
      <c r="YW43" s="302"/>
      <c r="YX43" s="311" t="str">
        <f t="shared" si="248"/>
        <v>D</v>
      </c>
      <c r="YY43" s="302"/>
      <c r="YZ43" s="311" t="str">
        <f t="shared" si="249"/>
        <v>D</v>
      </c>
      <c r="ZA43" s="302"/>
      <c r="ZB43" s="311" t="str">
        <f t="shared" si="250"/>
        <v>D</v>
      </c>
      <c r="ZC43" s="97"/>
      <c r="ZD43" s="97" t="str">
        <f t="shared" ca="1" si="132"/>
        <v/>
      </c>
      <c r="ZE43" s="97"/>
      <c r="ZF43" s="308" t="str">
        <f t="shared" ca="1" si="251"/>
        <v>Zu wenige Werte</v>
      </c>
      <c r="ZH43" s="317" t="s">
        <v>134</v>
      </c>
      <c r="ZJ43" s="91" t="str" cm="1">
        <f t="array" ref="ZJ43">IF(OR(Geschlecht[[#This Row],[Geschlecht (Skala)]]="",ZH43="",ZH43=Stammdaten!$BZ$5),"",REPLACE(INDEX(StdDisziplinen[TabÜberschriftNote],ZH$3),FIND("X",INDEX(StdDisziplinen[TabÜberschriftNote],ZH$3),1),1,Geschlecht[[#This Row],[Geschlecht (Skala)]]))</f>
        <v/>
      </c>
      <c r="ZK43" s="314"/>
      <c r="ZM43" s="315"/>
      <c r="ZN43" s="97" t="str">
        <f>IFERROR(IFERROR(SUBSTITUTE(SchwimmenResultatMin[[#This Row],[Min]],".",",")*1,SUBSTITUTE(SchwimmenResultatMin[[#This Row],[Min]],",",".")*1),"")</f>
        <v/>
      </c>
      <c r="ZO43" s="91" t="e">
        <f>INT(SchwimmenResultatMin[[#This Row],[Resultat]])=SchwimmenResultatMin[[#This Row],[Resultat]]</f>
        <v>#VALUE!</v>
      </c>
      <c r="ZP43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3" s="315"/>
      <c r="ZS43" s="97" t="str">
        <f>IFERROR(IFERROR(SUBSTITUTE(SchwimmenResultatSek[[#This Row],[Sek]],".",",")*1,SUBSTITUTE(SchwimmenResultatSek[[#This Row],[Sek]],",",".")*1),"")</f>
        <v/>
      </c>
      <c r="ZT43" s="108" t="e">
        <f>INT(SchwimmenResultatSek[[#This Row],[Resultat]])=SchwimmenResultatSek[[#This Row],[Resultat]]</f>
        <v>#VALUE!</v>
      </c>
      <c r="ZU43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3" s="97" t="str" cm="1">
        <f t="array" aca="1" ref="ZW43" ca="1">IF(AND(INDIRECT(ZW$2)="",INDIRECT(ZX$2)=""),"",IFERROR((INDIRECT(ZW$2)*$ZW$25)+INDIRECT(ZX$2),""))</f>
        <v/>
      </c>
      <c r="ZX43" s="91" t="str">
        <f ca="1">REPLACE(ZW$4,ZX$6,1,Geschlecht[[#This Row],[Geschlecht (Skala)]])</f>
        <v>Schwimmen_[Resultat]</v>
      </c>
      <c r="ZY43" s="91" t="str">
        <f ca="1">IFERROR(REPLACE($ZX43,FIND(Stammdaten!$V$2,$ZX43,1),LEN(Stammdaten!$V$2),Stammdaten!$BZ$9),"")</f>
        <v>Schwimmen_[Anzeige]</v>
      </c>
      <c r="ZZ43" s="97" t="str" cm="1">
        <f t="array" aca="1" ref="ZZ43" ca="1">IF(INDIRECT(ZW$3)="","",IF(INDIRECT(ZW$3)=0,0,IF(OR(INDIRECT(ZW$1)=$A$2,INDIRECT(ZW$1)=$A$3),$A$3,IFERROR(INDEX(INDIRECT(ZX43),MATCH(INDIRECT(ZW$3),INDIRECT(ZX43),ZY$25)),IFERROR(IF(ZY$25=-1,MAX(INDIRECT(ZX43)),IF(ZY$25=1,MIN(INDIRECT(ZX43)))),"")))))</f>
        <v/>
      </c>
      <c r="AAA43" s="97" t="str" cm="1">
        <f t="array" aca="1" ref="AAA43" ca="1">IF(INDIRECT(ZX$5)=0,0,IF(OR(INDIRECT(ZW$1)=$A$2,INDIRECT(ZW$1)=$A$3),$A$3,IFERROR(INDEX(INDIRECT($ZY43),MATCH(INDIRECT(ZX$5),INDIRECT($ZX43),0)),"")))</f>
        <v/>
      </c>
      <c r="AAC43" s="91" t="str">
        <f ca="1">REPLACE(ZW$6,ZX$6,1,Geschlecht[[#This Row],[Geschlecht (Skala)]])</f>
        <v>Schwimmen_[Note]</v>
      </c>
      <c r="AAD43" s="97" t="str" cm="1">
        <f t="array" aca="1" ref="AAD43" ca="1">IFERROR(INDEX(INDIRECT(AAC43),MATCH(INDIRECT(ZX$5),INDIRECT(ZX43),0)),IF(INDIRECT(ZX$5)=0,1,""))</f>
        <v/>
      </c>
      <c r="AAE43" s="97"/>
      <c r="AAF43" s="96" t="str">
        <f>ZwölfMinLaufHalleResultat[[#This Row],[Resultat]]</f>
        <v/>
      </c>
      <c r="AAG43" s="96"/>
      <c r="AAH43" s="97" t="str">
        <f ca="1">ZwölfMinLaufHalleSkalawert[[#This Row],[Skala-Wert]]</f>
        <v/>
      </c>
      <c r="AAJ43" s="97" t="str">
        <f ca="1">ZwölfMinLaufHalleNote[[#This Row],[Note]]</f>
        <v/>
      </c>
      <c r="AAK43" s="97"/>
      <c r="AAL43" s="96" t="str">
        <f>ZwölfMinLaufimFreienResultat[[#This Row],[Resultat]]</f>
        <v/>
      </c>
      <c r="AAM43" s="96"/>
      <c r="AAN43" s="97" t="str">
        <f ca="1">ZwölfMinLaufimFreienSkalawert[[#This Row],[Skala-Wert]]</f>
        <v/>
      </c>
      <c r="AAP43" s="97" t="str">
        <f ca="1">ZwölfMinLaufimFreienNote[[#This Row],[Note]]</f>
        <v/>
      </c>
      <c r="AAQ43" s="97"/>
      <c r="AAR43" s="307"/>
      <c r="AAS43" s="96" t="str">
        <f>IFERROR(IFERROR(SUBSTITUTE(BeweglichkeitResultat[[#This Row],[Eingabe]],".",",")*1,SUBSTITUTE(BeweglichkeitResultat[[#This Row],[Eingabe]],",",".")*1),"")</f>
        <v/>
      </c>
      <c r="AAT43" s="96" t="e">
        <f>INT(BeweglichkeitResultat[[#This Row],[Resultat]])=BeweglichkeitResultat[[#This Row],[Resultat]]</f>
        <v>#VALUE!</v>
      </c>
      <c r="AAU43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3" s="96"/>
      <c r="AAW43" s="91" t="str" cm="1">
        <f t="array" aca="1" ref="AAW43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3" s="96" t="str">
        <f ca="1">REPLACE(AAW$4,AAX$6,1,Geschlecht[[#This Row],[Geschlecht (Skala)]])</f>
        <v>Beweglichkeit_[Resultat]</v>
      </c>
      <c r="AAY43" s="96" t="str" cm="1">
        <f t="array" aca="1" ref="AAY43" ca="1">IF(OR(INDIRECT(AAW$1)=$A$2,INDIRECT(AAW$1)=$A$3),$A$3,IF(OR(INDIRECT(AAW$2)="",AND(Geschlecht[[#This Row],[Geschlecht (Skala)]]=Stammdaten!$D$7,INDIRECT(AAW$2)&lt;0)),"",IFERROR(INDEX(INDIRECT(AAX43),MATCH(INDIRECT(AAW$3),INDIRECT(AAX43),AAX$25)),IFERROR(IF(AAX$25=-1,MAX(INDIRECT(AAX43)),IF(AAX$25=1,MIN(INDIRECT(AAX43)))),""))))</f>
        <v/>
      </c>
      <c r="AAZ43" s="97" t="str" cm="1">
        <f t="array" aca="1" ref="AAZ43" ca="1">IF(INDIRECT(AAW$1)="","",IF(INDIRECT(AAW$1)=0,0,IF(OR(INDIRECT(AAW$1)=$A$2,INDIRECT(AAW$1)=$A$3),$A$3,IFERROR(INDEX(INDIRECT(AAY43),MATCH(INDIRECT(AAW$3),INDIRECT(AAY43),AAY$27)),IFERROR(IF(AAY$27=-1,MAX(INDIRECT(AAY43)),IF(AAY$27=1,MIN(INDIRECT(AAY43)))),"")))))</f>
        <v/>
      </c>
      <c r="ABA43" s="96" t="str">
        <f ca="1">REPLACE(AAW$6,AAX$6,1,Geschlecht[[#This Row],[Geschlecht (Skala)]])</f>
        <v>Beweglichkeit_[Note]</v>
      </c>
      <c r="ABB43" s="91" t="str" cm="1">
        <f t="array" aca="1" ref="ABB43" ca="1">IFERROR(INDEX(INDIRECT(ABA43),MATCH(INDIRECT(AAW$5),INDIRECT(AAX43),0)),"")</f>
        <v/>
      </c>
      <c r="ABC43" s="97" t="str" cm="1">
        <f t="array" aca="1" ref="ABC43" ca="1">IFERROR(INDEX(INDIRECT(ABB43),MATCH(INDIRECT(AAW$5),INDIRECT(AAY43),0)),"")</f>
        <v/>
      </c>
      <c r="ABD43" s="307"/>
      <c r="ABE43" s="96" t="str">
        <f>IFERROR(IFERROR(SUBSTITUTE(RumpfkraftResultat[[#This Row],[Eingabe]],".",",")*1,SUBSTITUTE(RumpfkraftResultat[[#This Row],[Eingabe]],",",".")*1),"")</f>
        <v/>
      </c>
      <c r="ABF43" s="96" t="e">
        <f>INT(RumpfkraftResultat[[#This Row],[Resultat]])=RumpfkraftResultat[[#This Row],[Resultat]]</f>
        <v>#VALUE!</v>
      </c>
      <c r="ABG43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3" s="96"/>
      <c r="ABI43" s="91" t="str" cm="1">
        <f t="array" aca="1" ref="ABI43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3" s="96" t="str">
        <f ca="1">REPLACE(ABI$4,ABJ$6,1,Geschlecht[[#This Row],[Geschlecht (Skala)]])</f>
        <v>Rumpfkraft_[Resultat]</v>
      </c>
      <c r="ABK43" s="97" t="str" cm="1">
        <f t="array" aca="1" ref="ABK43" ca="1">IF(INDIRECT(ABI$1)="","",IF(OR(INDIRECT(ABI$1)=$A$2,INDIRECT(ABI$1)=$A$3),$A$3,IFERROR(INDEX(INDIRECT(ABJ43),MATCH(INDIRECT(ABI$3),INDIRECT(ABJ43),ABJ$25)),IFERROR(IF(ABJ$25=-1,MAX(INDIRECT(ABJ43)),IF(ABJ$25=1,MIN(INDIRECT(ABJ43)))),""))))</f>
        <v/>
      </c>
      <c r="ABM43" s="91" t="str">
        <f ca="1">REPLACE(ABI$6,ABJ$6,1,Geschlecht[[#This Row],[Geschlecht (Skala)]])</f>
        <v>Rumpfkraft_[Note]</v>
      </c>
      <c r="ABN43" s="97" t="str" cm="1">
        <f t="array" aca="1" ref="ABN43" ca="1">IFERROR(INDEX(INDIRECT(ABM43),MATCH(INDIRECT(ABI$5),INDIRECT(ABJ43),0)),"")</f>
        <v/>
      </c>
      <c r="ABO43" s="97"/>
      <c r="ABP43" s="96" t="str">
        <f>SechzigmLaufResultat[[#This Row],[Resultat]]</f>
        <v/>
      </c>
      <c r="ABQ43" s="96"/>
      <c r="ABR43" s="97" t="str">
        <f ca="1">SechzigmLaufSkalawert[[#This Row],[Skala-Wert]]</f>
        <v/>
      </c>
      <c r="ABT43" s="97" t="str">
        <f ca="1">SechzigmLaufNote[[#This Row],[Note]]</f>
        <v/>
      </c>
      <c r="ABU43" s="97"/>
      <c r="ABV43" s="96" t="str">
        <f>AchtzigmLaufResultat[[#This Row],[Resultat]]</f>
        <v/>
      </c>
      <c r="ABW43" s="96"/>
      <c r="ABX43" s="97" t="str">
        <f ca="1">AchtzigmLaufSkalawert[[#This Row],[Skala-Wert]]</f>
        <v/>
      </c>
      <c r="ABZ43" s="97" t="str">
        <f ca="1">AchtzigmLaufNote[[#This Row],[Note]]</f>
        <v/>
      </c>
      <c r="ACA43" s="97"/>
      <c r="ACB43" s="307"/>
      <c r="ACC43" s="96" t="str">
        <f>IFERROR(IFERROR(SUBSTITUTE(KonditionsparcoursResultat[[#This Row],[Eingabe]],".",",")*1,SUBSTITUTE(KonditionsparcoursResultat[[#This Row],[Eingabe]],",",".")*1),"")</f>
        <v/>
      </c>
      <c r="ACD43" s="96" t="e">
        <f>INT(KonditionsparcoursResultat[[#This Row],[Resultat]])=KonditionsparcoursResultat[[#This Row],[Resultat]]</f>
        <v>#VALUE!</v>
      </c>
      <c r="ACE43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3" s="96"/>
      <c r="ACG43" s="91" t="str" cm="1">
        <f t="array" aca="1" ref="ACG43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3" s="96" t="str">
        <f ca="1">LEFT(Geschlecht[[#This Row],[Geschlecht (Skala)]],1)&amp;ACM$4</f>
        <v>2</v>
      </c>
      <c r="ACI43" s="96" t="str">
        <f t="shared" ca="1" si="133"/>
        <v>Konditionsparcours_2[Resultat]</v>
      </c>
      <c r="ACJ43" s="97" t="str" cm="1">
        <f t="array" aca="1" ref="ACJ43" ca="1">IF(INDIRECT(ACG$1)="","",IF(OR(INDIRECT(ACG$1)=$A$2,INDIRECT(ACG$1)=$A$3),$A$3,IFERROR(INDEX(INDIRECT(ACI43),MATCH(INDIRECT(ACG$3),INDIRECT(ACI43),ACI$25)),IFERROR(IF(ACI$25=-1,MAX(INDIRECT(ACI43)),IF(ACI$25=1,MIN(INDIRECT(ACI43)))),""))))</f>
        <v/>
      </c>
      <c r="ACL43" s="91" t="str">
        <f t="shared" ca="1" si="134"/>
        <v>Konditionsparcours_2[Note]</v>
      </c>
      <c r="ACM43" s="97" t="str" cm="1">
        <f t="array" aca="1" ref="ACM43" ca="1">IFERROR(INDEX(INDIRECT(ACL43),MATCH(INDIRECT(ACG$5),INDIRECT(ACI43),0)),"")</f>
        <v/>
      </c>
      <c r="ACN43" s="102"/>
    </row>
    <row r="44" spans="1:768">
      <c r="A44" s="305">
        <v>17</v>
      </c>
      <c r="B44" s="133"/>
      <c r="C44" s="133"/>
      <c r="E44" s="306"/>
      <c r="G44" s="307"/>
      <c r="H44" s="96" t="str">
        <f>IFERROR(IFERROR(SUBSTITUTE(SechzigmLaufResultat[[#This Row],[Eingabe]],".",",")*1,SUBSTITUTE(SechzigmLaufResultat[[#This Row],[Eingabe]],",",".")*1),"")</f>
        <v/>
      </c>
      <c r="I44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4" s="96"/>
      <c r="K44" s="91" t="str" cm="1">
        <f t="array" aca="1" ref="K44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4" s="96" t="str">
        <f ca="1">LEFT(Geschlecht[[#This Row],[Geschlecht (Skala)]],1)&amp;Q$4</f>
        <v>2</v>
      </c>
      <c r="M44" s="96" t="str">
        <f t="shared" ca="1" si="37"/>
        <v>SechzigmLauf_2[Resultat]</v>
      </c>
      <c r="N44" s="97" t="str" cm="1">
        <f t="array" aca="1" ref="N44" ca="1">IF(INDIRECT(K$1)="","",IF(INDIRECT(K$2)=0,0,IF(OR(INDIRECT(K$1)=$A$2,INDIRECT(K$1)=$A$3),$A$3,IFERROR(INDEX(INDIRECT(M44),MATCH(INDIRECT(K$3),INDIRECT(M44),M$25)),IFERROR(IF(M$25=-1,MAX(INDIRECT(M44)),IF(M$25=1,MIN(INDIRECT(M44)))),"")))))</f>
        <v/>
      </c>
      <c r="P44" s="91" t="str">
        <f t="shared" ca="1" si="38"/>
        <v>SechzigmLauf_2[Note]</v>
      </c>
      <c r="Q44" s="97" t="str" cm="1">
        <f t="array" aca="1" ref="Q44" ca="1">IFERROR(INDEX(INDIRECT(P44),MATCH(INDIRECT(K$5),INDIRECT(M44),0)),IF(INDIRECT(K$5)=0,1,""))</f>
        <v/>
      </c>
      <c r="R44" s="97"/>
      <c r="S44" s="307"/>
      <c r="T44" s="96" t="str">
        <f>IFERROR(IFERROR(SUBSTITUTE(AchtzigmLaufResultat[[#This Row],[Eingabe]],".",",")*1,SUBSTITUTE(AchtzigmLaufResultat[[#This Row],[Eingabe]],",",".")*1),"")</f>
        <v/>
      </c>
      <c r="U44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4" s="96"/>
      <c r="W44" s="91" t="str" cm="1">
        <f t="array" aca="1" ref="W44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4" s="96" t="str">
        <f ca="1">LEFT(Geschlecht[[#This Row],[Geschlecht (Skala)]],1)&amp;AC$4</f>
        <v>2</v>
      </c>
      <c r="Y44" s="96" t="str">
        <f t="shared" ca="1" si="39"/>
        <v>AchtzigmLauf_2[Resultat]</v>
      </c>
      <c r="Z44" s="97" t="str" cm="1">
        <f t="array" aca="1" ref="Z44" ca="1">IF(INDIRECT(W$1)="","",IF(INDIRECT(W$2)=0,0,IF(OR(INDIRECT(W$1)=$A$2,INDIRECT(W$1)=$A$3),$A$3,IFERROR(INDEX(INDIRECT(Y44),MATCH(INDIRECT(W$3),INDIRECT(Y44),Y$25)),IFERROR(IF(Y$25=-1,MAX(INDIRECT(Y44)),IF(Y$25=1,MIN(INDIRECT(Y44)))),"")))))</f>
        <v/>
      </c>
      <c r="AB44" s="91" t="str">
        <f t="shared" ca="1" si="40"/>
        <v>AchtzigmLauf_2[Note]</v>
      </c>
      <c r="AC44" s="97" t="str" cm="1">
        <f t="array" aca="1" ref="AC44" ca="1">IFERROR(INDEX(INDIRECT(AB44),MATCH(INDIRECT(W$5),INDIRECT(Y44),0)),IF(INDIRECT(W$5)=0,1,""))</f>
        <v/>
      </c>
      <c r="AD44" s="97"/>
      <c r="AE44" s="307"/>
      <c r="AF44" s="96" t="str">
        <f>IFERROR(IFERROR(SUBSTITUTE(ZwölfMinLaufHalleResultat[[#This Row],[Eingabe]],".",",")*1,SUBSTITUTE(ZwölfMinLaufHalleResultat[[#This Row],[Eingabe]],",",".")*1),"")</f>
        <v/>
      </c>
      <c r="AG44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4" s="96"/>
      <c r="AI44" s="91" t="str" cm="1">
        <f t="array" aca="1" ref="AI44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4" s="96" t="str">
        <f ca="1">LEFT(Geschlecht[[#This Row],[Geschlecht (Skala)]],1)&amp;AO$4</f>
        <v>2</v>
      </c>
      <c r="AK44" s="96" t="str">
        <f t="shared" ca="1" si="41"/>
        <v>ZwölfMinLaufHalle_2[Resultat]</v>
      </c>
      <c r="AL44" s="97" t="str" cm="1">
        <f t="array" aca="1" ref="AL44" ca="1">IF(INDIRECT(AI$1)="","",IF(INDIRECT(AI$2)=0,0,IF(OR(INDIRECT(AI$1)=$A$2,INDIRECT(AI$1)=$A$3),$A$3,IFERROR(INDEX(INDIRECT(AK44),MATCH(INDIRECT(AI$3),INDIRECT(AK44),AK$25)),IFERROR(IF(AK$25=-1,MAX(INDIRECT(AK44)),IF(AK$25=1,MIN(INDIRECT(AK44)))),"")))))</f>
        <v/>
      </c>
      <c r="AN44" s="91" t="str">
        <f t="shared" ca="1" si="42"/>
        <v>ZwölfMinLaufHalle_2[Note]</v>
      </c>
      <c r="AO44" s="97" t="str" cm="1">
        <f t="array" aca="1" ref="AO44" ca="1">IFERROR(INDEX(INDIRECT(AN44),MATCH(INDIRECT(AI$5),INDIRECT(AK44),0)),IF(INDIRECT(AI$5)=0,1,""))</f>
        <v/>
      </c>
      <c r="AP44" s="97"/>
      <c r="AQ44" s="307"/>
      <c r="AR44" s="96" t="str">
        <f>IFERROR(IFERROR(SUBSTITUTE(ZwölfMinLaufimFreienResultat[[#This Row],[Eingabe]],".",",")*1,SUBSTITUTE(ZwölfMinLaufimFreienResultat[[#This Row],[Eingabe]],",",".")*1),"")</f>
        <v/>
      </c>
      <c r="AS44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4" s="96"/>
      <c r="AU44" s="91" t="str" cm="1">
        <f t="array" aca="1" ref="AU44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4" s="96" t="str">
        <f ca="1">LEFT(Geschlecht[[#This Row],[Geschlecht (Skala)]],1)&amp;BA$4</f>
        <v>2</v>
      </c>
      <c r="AW44" s="96" t="str">
        <f t="shared" ca="1" si="43"/>
        <v>ZwölfMinLaufimFreien_2[Resultat]</v>
      </c>
      <c r="AX44" s="97" t="str" cm="1">
        <f t="array" aca="1" ref="AX44" ca="1">IF(INDIRECT(AU$1)="","",IF(INDIRECT(AU$2)=0,0,IF(OR(INDIRECT(AU$1)=$A$2,INDIRECT(AU$1)=$A$3),$A$3,IFERROR(INDEX(INDIRECT(AW44),MATCH(INDIRECT(AU$3),INDIRECT(AW44),AW$25)),IFERROR(IF(AW$25=-1,MAX(INDIRECT(AW44)),IF(AW$25=1,MIN(INDIRECT(AW44)))),"")))))</f>
        <v/>
      </c>
      <c r="AZ44" s="91" t="str">
        <f t="shared" ca="1" si="44"/>
        <v>ZwölfMinLaufimFreien_2[Note]</v>
      </c>
      <c r="BA44" s="97" t="str" cm="1">
        <f t="array" aca="1" ref="BA44" ca="1">IFERROR(INDEX(INDIRECT(AZ44),MATCH(INDIRECT(AU$5),INDIRECT(AW44),0)),IF(INDIRECT(AU$5)=0,1,""))</f>
        <v/>
      </c>
      <c r="BB44" s="97"/>
      <c r="BC44" s="307"/>
      <c r="BD44" s="96" t="str">
        <f>IFERROR(IFERROR(SUBSTITUTE(HochsprungResultat[[#This Row],[Eingabe]],".",",")*1,SUBSTITUTE(HochsprungResultat[[#This Row],[Eingabe]],",",".")*1),"")</f>
        <v/>
      </c>
      <c r="BE44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4" s="96"/>
      <c r="BG44" s="91" t="str" cm="1">
        <f t="array" aca="1" ref="BG44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4" s="96" t="str">
        <f ca="1">LEFT(Geschlecht[[#This Row],[Geschlecht (Skala)]],1)&amp;BM$4</f>
        <v>2</v>
      </c>
      <c r="BI44" s="96" t="str">
        <f t="shared" ca="1" si="45"/>
        <v>Hochsprung_2[Resultat]</v>
      </c>
      <c r="BJ44" s="97" t="str" cm="1">
        <f t="array" aca="1" ref="BJ44" ca="1">IF(INDIRECT(BG$1)="","",IF(INDIRECT(BG$2)=0,0,IF(OR(INDIRECT(BG$1)=$A$2,INDIRECT(BG$1)=$A$3),$A$3,IFERROR(INDEX(INDIRECT(BI44),MATCH(INDIRECT(BG$3),INDIRECT(BI44),BI$25)),IFERROR(IF(BI$25=-1,MAX(INDIRECT(BI44)),IF(BI$25=1,MIN(INDIRECT(BI44)))),"")))))</f>
        <v/>
      </c>
      <c r="BL44" s="91" t="str">
        <f t="shared" ca="1" si="46"/>
        <v>Hochsprung_2[Note]</v>
      </c>
      <c r="BM44" s="97" t="str" cm="1">
        <f t="array" aca="1" ref="BM44" ca="1">IFERROR(INDEX(INDIRECT(BL44),MATCH(INDIRECT(BG$5),INDIRECT(BI44),0)),IF(INDIRECT(BG$5)=0,1,""))</f>
        <v/>
      </c>
      <c r="BN44" s="97"/>
      <c r="BO44" s="307"/>
      <c r="BP44" s="96" t="str">
        <f>IFERROR(IFERROR(SUBSTITUTE(WeitsprungResultat[[#This Row],[Eingabe]],".",",")*1,SUBSTITUTE(WeitsprungResultat[[#This Row],[Eingabe]],",",".")*1),"")</f>
        <v/>
      </c>
      <c r="BQ44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4" s="96"/>
      <c r="BS44" s="91" t="str" cm="1">
        <f t="array" aca="1" ref="BS44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4" s="96" t="str">
        <f ca="1">LEFT(Geschlecht[[#This Row],[Geschlecht (Skala)]],1)&amp;BY$4</f>
        <v>2</v>
      </c>
      <c r="BU44" s="96" t="str">
        <f t="shared" ca="1" si="47"/>
        <v>Weitsprung_2[Resultat]</v>
      </c>
      <c r="BV44" s="97" t="str" cm="1">
        <f t="array" aca="1" ref="BV44" ca="1">IF(INDIRECT(BS$1)="","",IF(INDIRECT(BS$2)=0,0,IF(OR(INDIRECT(BS$1)=$A$2,INDIRECT(BS$1)=$A$3),$A$3,IFERROR(INDEX(INDIRECT(BU44),MATCH(INDIRECT(BS$3),INDIRECT(BU44),BU$25)),IFERROR(IF(BU$25=-1,MAX(INDIRECT(BU44)),IF(BU$25=1,MIN(INDIRECT(BU44)))),"")))))</f>
        <v/>
      </c>
      <c r="BX44" s="91" t="str">
        <f t="shared" ca="1" si="48"/>
        <v>Weitsprung_2[Note]</v>
      </c>
      <c r="BY44" s="97" t="str" cm="1">
        <f t="array" aca="1" ref="BY44" ca="1">IFERROR(INDEX(INDIRECT(BX44),MATCH(INDIRECT(BS$5),INDIRECT(BU44),0)),IF(INDIRECT(BS$5)=0,1,""))</f>
        <v/>
      </c>
      <c r="BZ44" s="97"/>
      <c r="CA44" s="307"/>
      <c r="CB44" s="96" t="str">
        <f>IFERROR(IFERROR(SUBSTITUTE(BallwurfResultat[[#This Row],[Eingabe]],".",",")*1,SUBSTITUTE(BallwurfResultat[[#This Row],[Eingabe]],",",".")*1),"")</f>
        <v/>
      </c>
      <c r="CC44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4" s="96"/>
      <c r="CE44" s="91" t="str" cm="1">
        <f t="array" aca="1" ref="CE44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4" s="96" t="str">
        <f ca="1">LEFT(Geschlecht[[#This Row],[Geschlecht (Skala)]],1)&amp;CK$4</f>
        <v>2</v>
      </c>
      <c r="CG44" s="96" t="str">
        <f t="shared" ca="1" si="49"/>
        <v>Ballwurf_2[Resultat]</v>
      </c>
      <c r="CH44" s="97" t="str" cm="1">
        <f t="array" aca="1" ref="CH44" ca="1">IF(INDIRECT(CE$1)="","",IF(INDIRECT(CE$2)=0,0,IF(OR(INDIRECT(CE$1)=$A$2,INDIRECT(CE$1)=$A$3),$A$3,IFERROR(INDEX(INDIRECT(CG44),MATCH(INDIRECT(CE$3),INDIRECT(CG44),CG$25)),IFERROR(IF(CG$25=-1,MAX(INDIRECT(CG44)),IF(CG$25=1,MIN(INDIRECT(CG44)))),"")))))</f>
        <v/>
      </c>
      <c r="CJ44" s="91" t="str">
        <f t="shared" ca="1" si="50"/>
        <v>Ballwurf_2[Note]</v>
      </c>
      <c r="CK44" s="97" t="str" cm="1">
        <f t="array" aca="1" ref="CK44" ca="1">IFERROR(INDEX(INDIRECT(CJ44),MATCH(INDIRECT(CE$5),INDIRECT(CG44),0)),IF(INDIRECT(CE$5)=0,1,""))</f>
        <v/>
      </c>
      <c r="CL44" s="97"/>
      <c r="CM44" s="307"/>
      <c r="CN44" s="96" t="str">
        <f>IFERROR(IFERROR(SUBSTITUTE(KugelstossenResultat[[#This Row],[Eingabe]],".",",")*1,SUBSTITUTE(KugelstossenResultat[[#This Row],[Eingabe]],",",".")*1),"")</f>
        <v/>
      </c>
      <c r="CO44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4" s="96"/>
      <c r="CQ44" s="91" t="str" cm="1">
        <f t="array" aca="1" ref="CQ44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4" s="96" t="str">
        <f ca="1">LEFT(Geschlecht[[#This Row],[Geschlecht (Skala)]],1)&amp;CW$4</f>
        <v>2</v>
      </c>
      <c r="CS44" s="96" t="str">
        <f t="shared" ca="1" si="51"/>
        <v>Kugelstossen_2[Resultat]</v>
      </c>
      <c r="CT44" s="97" t="str" cm="1">
        <f t="array" aca="1" ref="CT44" ca="1">IF(INDIRECT(CQ$1)="","",IF(INDIRECT(CQ$2)=0,0,IF(OR(INDIRECT(CQ$1)=$A$2,INDIRECT(CQ$1)=$A$3),$A$3,IFERROR(INDEX(INDIRECT(CS44),MATCH(INDIRECT(CQ$3),INDIRECT(CS44),CS$25)),IFERROR(IF(CS$25=-1,MAX(INDIRECT(CS44)),IF(CS$25=1,MIN(INDIRECT(CS44)))),"")))))</f>
        <v/>
      </c>
      <c r="CV44" s="91" t="str">
        <f t="shared" ca="1" si="52"/>
        <v>Kugelstossen_2[Note]</v>
      </c>
      <c r="CW44" s="97" t="str" cm="1">
        <f t="array" aca="1" ref="CW44" ca="1">IFERROR(INDEX(INDIRECT(CV44),MATCH(INDIRECT(CQ$5),INDIRECT(CS44),0)),IF(INDIRECT(CQ$5)=0,1,""))</f>
        <v/>
      </c>
      <c r="CX44" s="97"/>
      <c r="CY44" s="307"/>
      <c r="CZ44" s="96" t="str">
        <f>IFERROR(IFERROR(SUBSTITUTE(SpeerwurfResultat[[#This Row],[Eingabe]],".",",")*1,SUBSTITUTE(SpeerwurfResultat[[#This Row],[Eingabe]],",",".")*1),"")</f>
        <v/>
      </c>
      <c r="DA44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4" s="96"/>
      <c r="DC44" s="91" t="str" cm="1">
        <f t="array" aca="1" ref="DC44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4" s="96" t="str">
        <f ca="1">LEFT(Geschlecht[[#This Row],[Geschlecht (Skala)]],1)&amp;DI$4</f>
        <v>2</v>
      </c>
      <c r="DE44" s="96" t="str">
        <f t="shared" ca="1" si="53"/>
        <v>Speerwurf_2[Resultat]</v>
      </c>
      <c r="DF44" s="97" t="str" cm="1">
        <f t="array" aca="1" ref="DF44" ca="1">IF(INDIRECT(DC$1)="","",IF(INDIRECT(DC$2)=0,0,IF(OR(INDIRECT(DC$1)=$A$2,INDIRECT(DC$1)=$A$3),$A$3,IFERROR(INDEX(INDIRECT(DE44),MATCH(INDIRECT(DC$3),INDIRECT(DE44),DE$25)),IFERROR(IF(DE$25=-1,MAX(INDIRECT(DE44)),IF(DE$25=1,MIN(INDIRECT(DE44)))),"")))))</f>
        <v/>
      </c>
      <c r="DH44" s="91" t="str">
        <f t="shared" ca="1" si="54"/>
        <v>Speerwurf_2[Note]</v>
      </c>
      <c r="DI44" s="97" t="str" cm="1">
        <f t="array" aca="1" ref="DI44" ca="1">IFERROR(INDEX(INDIRECT(DH44),MATCH(INDIRECT(DC$5),INDIRECT(DE44),0)),IF(INDIRECT(DC$5)=0,1,""))</f>
        <v/>
      </c>
      <c r="DJ44" s="97"/>
      <c r="DK44" s="97" t="str" cm="1">
        <f t="array" aca="1" ref="DK44" ca="1">INDIRECT(DK$5)</f>
        <v/>
      </c>
      <c r="DL44" s="97" t="str" cm="1">
        <f t="array" aca="1" ref="DL44" ca="1">INDIRECT(DL$5)</f>
        <v/>
      </c>
      <c r="DM44" s="97" t="str" cm="1">
        <f t="array" aca="1" ref="DM44" ca="1">INDIRECT(DM$5)</f>
        <v/>
      </c>
      <c r="DN44" s="97" t="str" cm="1">
        <f t="array" aca="1" ref="DN44" ca="1">INDIRECT(DN$5)</f>
        <v/>
      </c>
      <c r="DO44" s="97" t="str">
        <f t="shared" ca="1" si="135"/>
        <v>Sprintdisziplinen nicht durchgeführt</v>
      </c>
      <c r="DP44" s="97" t="str">
        <f t="shared" ca="1" si="136"/>
        <v/>
      </c>
      <c r="DQ44" s="108">
        <f t="shared" ca="1" si="137"/>
        <v>0</v>
      </c>
      <c r="DR44" s="108">
        <f t="shared" ca="1" si="138"/>
        <v>0</v>
      </c>
      <c r="DS44" s="108" t="str">
        <f t="shared" ca="1" si="139"/>
        <v/>
      </c>
      <c r="DT44" s="97" t="str">
        <f t="shared" ca="1" si="140"/>
        <v>Sprintdisziplinen nicht durchgeführt</v>
      </c>
      <c r="DU44" s="97" t="str">
        <f t="shared" ca="1" si="141"/>
        <v/>
      </c>
      <c r="DV44" s="97" t="str" cm="1">
        <f t="array" aca="1" ref="DV44" ca="1">IFERROR(IF(INDIRECT(INDEX(INDIRECT(DV$5),MATCH(DT44,INDIRECT(DV$4),0)))&lt;&gt;"",INDEX(INDIRECT(DV$5),MATCH(DT44,INDIRECT(DV$4),0)),INDEX(INDIRECT(DV$6),MATCH(DT44,INDIRECT(DV$4),0))),"")</f>
        <v/>
      </c>
      <c r="DW44" s="97" t="str">
        <f t="shared" ca="1" si="142"/>
        <v/>
      </c>
      <c r="DX44" s="97" t="str" cm="1">
        <f t="array" aca="1" ref="DX44" ca="1">IFERROR(INDIRECT(DV44),IF(NOT(ISERROR(FIND(Stammdaten!$CC$3,DT44,1))),$A$2,""))</f>
        <v/>
      </c>
      <c r="DY44" s="97" t="str">
        <f ca="1">IF(DX44="","",IF(AND(DU44=Stammdaten!$BX$20,DW44="0",DX44=1),SUBSTITUTE(TEXT(DX44,DW44)&amp;" "&amp;LEFT(DU44,LEN(DU44)-1),".",","),SUBSTITUTE(TEXT(DX44,DW44)&amp;" "&amp;DU44,".",",")))</f>
        <v/>
      </c>
      <c r="DZ44" s="97" t="str">
        <f t="shared" ca="1" si="55"/>
        <v/>
      </c>
      <c r="EA44" s="97" t="str" cm="1">
        <f t="array" aca="1" ref="EA44" ca="1">IFERROR(LEFT(INDIRECT(DZ44),1)&amp;"]","")</f>
        <v/>
      </c>
      <c r="EB44" s="97" t="str">
        <f t="shared" ca="1" si="56"/>
        <v/>
      </c>
      <c r="EC44" s="97" t="str">
        <f ca="1">IFERROR(LEFT(DT44,FIND(Stammdaten!$CA$4,DT44,1)-2),IFERROR(LEFT(DT44,FIND(Stammdaten!$CC$3,DT44,1)-2),DT44))</f>
        <v>Sprintdisziplinen</v>
      </c>
      <c r="ED44" s="97" t="str">
        <f ca="1">IF(NOT(ISERROR(FIND(Stammdaten!$CA$4,DT44,1))),Stammdaten!$CA$4,IF(EE44&lt;&gt;Stammdaten!$CC$3,EB44,""))</f>
        <v>nicht durchgeführt</v>
      </c>
      <c r="EE44" s="91" t="str">
        <f ca="1">IF(DX44=$A$2,Stammdaten!$CC$3,DY44)</f>
        <v/>
      </c>
      <c r="EF44" s="97" t="str" cm="1">
        <f t="array" aca="1" ref="EF44" ca="1">INDIRECT(EF$5)</f>
        <v/>
      </c>
      <c r="EG44" s="97" t="str" cm="1">
        <f t="array" aca="1" ref="EG44" ca="1">INDIRECT(EG$5)</f>
        <v/>
      </c>
      <c r="EH44" s="97" t="str" cm="1">
        <f t="array" aca="1" ref="EH44" ca="1">INDIRECT(EH$5)</f>
        <v/>
      </c>
      <c r="EI44" s="97" t="str" cm="1">
        <f t="array" aca="1" ref="EI44" ca="1">INDIRECT(EI$5)</f>
        <v/>
      </c>
      <c r="EJ44" s="97" t="str">
        <f t="shared" ca="1" si="143"/>
        <v>Ausdauerdisziplinen nicht durchgeführt</v>
      </c>
      <c r="EK44" s="97" t="str">
        <f t="shared" ca="1" si="144"/>
        <v/>
      </c>
      <c r="EL44" s="108">
        <f t="shared" ca="1" si="145"/>
        <v>0</v>
      </c>
      <c r="EM44" s="108">
        <f t="shared" ca="1" si="146"/>
        <v>0</v>
      </c>
      <c r="EN44" s="108" t="str">
        <f t="shared" ca="1" si="147"/>
        <v/>
      </c>
      <c r="EO44" s="97" t="str">
        <f t="shared" ca="1" si="148"/>
        <v>Ausdauerdisziplinen nicht durchgeführt</v>
      </c>
      <c r="EP44" s="97" t="str">
        <f t="shared" ca="1" si="149"/>
        <v/>
      </c>
      <c r="EQ44" s="97" t="str" cm="1">
        <f t="array" aca="1" ref="EQ44" ca="1">IFERROR(IF(INDIRECT(INDEX(INDIRECT(EQ$5),MATCH(EO44,INDIRECT(EQ$4),0)))&lt;&gt;"",INDEX(INDIRECT(EQ$5),MATCH(EO44,INDIRECT(EQ$4),0)),INDEX(INDIRECT(EQ$6),MATCH(EO44,INDIRECT(EQ$4),0))),"")</f>
        <v/>
      </c>
      <c r="ER44" s="97" t="str">
        <f t="shared" ca="1" si="150"/>
        <v/>
      </c>
      <c r="ES44" s="97" t="str" cm="1">
        <f t="array" aca="1" ref="ES44" ca="1">IFERROR(INDIRECT(EQ44),IF(NOT(ISERROR(FIND(Stammdaten!$CC$3,EO44,1))),$A$2,""))</f>
        <v/>
      </c>
      <c r="ET44" s="97" t="str">
        <f ca="1">IF(ES44="","",IF(AND(EP44=Stammdaten!$BX$20,ER44="0",ES44=1),SUBSTITUTE(TEXT(ES44,ER44)&amp;" "&amp;LEFT(EP44,LEN(EP44)-1),".",","),SUBSTITUTE(TEXT(ES44,ER44)&amp;" "&amp;EP44,".",",")))</f>
        <v/>
      </c>
      <c r="EU44" s="97" t="str">
        <f t="shared" ca="1" si="57"/>
        <v/>
      </c>
      <c r="EV44" s="97" t="str" cm="1">
        <f t="array" aca="1" ref="EV44" ca="1">IFERROR(LEFT(INDIRECT(EU44),1)&amp;"]","")</f>
        <v/>
      </c>
      <c r="EW44" s="97" t="str">
        <f t="shared" ca="1" si="58"/>
        <v/>
      </c>
      <c r="EX44" s="97" t="str">
        <f ca="1">IFERROR(LEFT(EO44,FIND(Stammdaten!$CA$4,EO44,1)-2),IFERROR(LEFT(EO44,FIND(Stammdaten!$CC$3,EO44,1)-2),EO44))</f>
        <v>Ausdauerdisziplinen</v>
      </c>
      <c r="EY44" s="97" t="str">
        <f ca="1">IF(NOT(ISERROR(FIND(Stammdaten!$CA$4,EO44,1))),Stammdaten!$CA$4,IF(EZ44&lt;&gt;Stammdaten!$CC$3,EW44,""))</f>
        <v>nicht durchgeführt</v>
      </c>
      <c r="EZ44" s="91" t="str">
        <f ca="1">IF(ES44=$A$2,Stammdaten!$CC$3,ET44)</f>
        <v/>
      </c>
      <c r="FA44" s="97" t="str" cm="1">
        <f t="array" aca="1" ref="FA44" ca="1">INDIRECT(FA$5)</f>
        <v/>
      </c>
      <c r="FB44" s="97" t="str" cm="1">
        <f t="array" aca="1" ref="FB44" ca="1">INDIRECT(FB$5)</f>
        <v/>
      </c>
      <c r="FC44" s="97" t="str" cm="1">
        <f t="array" aca="1" ref="FC44" ca="1">INDIRECT(FC$5)</f>
        <v/>
      </c>
      <c r="FD44" s="97" t="str" cm="1">
        <f t="array" aca="1" ref="FD44" ca="1">INDIRECT(FD$5)</f>
        <v/>
      </c>
      <c r="FE44" s="97" t="str">
        <f t="shared" ca="1" si="151"/>
        <v>Sprungdisziplinen nicht durchgeführt</v>
      </c>
      <c r="FF44" s="97" t="str">
        <f t="shared" ca="1" si="152"/>
        <v/>
      </c>
      <c r="FG44" s="108">
        <f t="shared" ca="1" si="153"/>
        <v>0</v>
      </c>
      <c r="FH44" s="108">
        <f t="shared" ca="1" si="154"/>
        <v>0</v>
      </c>
      <c r="FI44" s="108" t="str">
        <f t="shared" ca="1" si="155"/>
        <v/>
      </c>
      <c r="FJ44" s="97" t="str">
        <f t="shared" ca="1" si="156"/>
        <v>Sprungdisziplinen nicht durchgeführt</v>
      </c>
      <c r="FK44" s="97" t="str">
        <f t="shared" ca="1" si="157"/>
        <v/>
      </c>
      <c r="FL44" s="97" t="str" cm="1">
        <f t="array" aca="1" ref="FL44" ca="1">IFERROR(IF(INDIRECT(INDEX(INDIRECT(FL$5),MATCH(FJ44,INDIRECT(FL$4),0)))&lt;&gt;"",INDEX(INDIRECT(FL$5),MATCH(FJ44,INDIRECT(FL$4),0)),INDEX(INDIRECT(FL$6),MATCH(FJ44,INDIRECT(FL$4),0))),"")</f>
        <v/>
      </c>
      <c r="FM44" s="97" t="str">
        <f t="shared" ca="1" si="158"/>
        <v/>
      </c>
      <c r="FN44" s="97" t="str" cm="1">
        <f t="array" aca="1" ref="FN44" ca="1">IFERROR(INDIRECT(FL44),IF(NOT(ISERROR(FIND(Stammdaten!$CC$3,FJ44,1))),$A$2,""))</f>
        <v/>
      </c>
      <c r="FO44" s="97" t="str">
        <f ca="1">IF(FN44="","",IF(AND(FK44=Stammdaten!$BX$20,FM44="0",FN44=1),SUBSTITUTE(TEXT(FN44,FM44)&amp;" "&amp;LEFT(FK44,LEN(FK44)-1),".",","),SUBSTITUTE(TEXT(FN44,FM44)&amp;" "&amp;FK44,".",",")))</f>
        <v/>
      </c>
      <c r="FP44" s="97" t="str">
        <f t="shared" ca="1" si="59"/>
        <v/>
      </c>
      <c r="FQ44" s="97" t="str" cm="1">
        <f t="array" aca="1" ref="FQ44" ca="1">IFERROR(LEFT(INDIRECT(FP44),1)&amp;"]","")</f>
        <v/>
      </c>
      <c r="FR44" s="97" t="str">
        <f t="shared" ca="1" si="60"/>
        <v/>
      </c>
      <c r="FS44" s="97" t="str">
        <f ca="1">IFERROR(LEFT(FJ44,FIND(Stammdaten!$CA$4,FJ44,1)-2),IFERROR(LEFT(FJ44,FIND(Stammdaten!$CC$3,FJ44,1)-2),FJ44))</f>
        <v>Sprungdisziplinen</v>
      </c>
      <c r="FT44" s="97" t="str">
        <f ca="1">IF(NOT(ISERROR(FIND(Stammdaten!$CA$4,FJ44,1))),Stammdaten!$CA$4,IF(FU44&lt;&gt;Stammdaten!$CC$3,FR44,""))</f>
        <v>nicht durchgeführt</v>
      </c>
      <c r="FU44" s="91" t="str">
        <f ca="1">IF(FN44=$A$2,Stammdaten!$CC$3,FO44)</f>
        <v/>
      </c>
      <c r="FV44" s="97" t="str" cm="1">
        <f t="array" aca="1" ref="FV44" ca="1">INDIRECT(FV$5)</f>
        <v/>
      </c>
      <c r="FW44" s="97" t="str" cm="1">
        <f t="array" aca="1" ref="FW44" ca="1">INDIRECT(FW$5)</f>
        <v/>
      </c>
      <c r="FX44" s="97" t="str" cm="1">
        <f t="array" aca="1" ref="FX44" ca="1">INDIRECT(FX$5)</f>
        <v/>
      </c>
      <c r="FY44" s="97" t="str" cm="1">
        <f t="array" aca="1" ref="FY44" ca="1">INDIRECT(FY$5)</f>
        <v/>
      </c>
      <c r="FZ44" s="97" t="str" cm="1">
        <f t="array" aca="1" ref="FZ44" ca="1">INDIRECT(FZ$5)</f>
        <v/>
      </c>
      <c r="GA44" s="97" t="str" cm="1">
        <f t="array" aca="1" ref="GA44" ca="1">INDIRECT(GA$5)</f>
        <v/>
      </c>
      <c r="GB44" s="97" t="str">
        <f t="shared" ca="1" si="159"/>
        <v>Wurfdisziplinen nicht durchgeführt</v>
      </c>
      <c r="GC44" s="97" t="str">
        <f t="shared" ca="1" si="160"/>
        <v/>
      </c>
      <c r="GD44" s="108">
        <f t="shared" ca="1" si="161"/>
        <v>0</v>
      </c>
      <c r="GE44" s="108">
        <f t="shared" ca="1" si="162"/>
        <v>0</v>
      </c>
      <c r="GF44" s="108" t="str">
        <f t="shared" ca="1" si="163"/>
        <v/>
      </c>
      <c r="GG44" s="97" t="str">
        <f t="shared" ca="1" si="164"/>
        <v>Wurfdisziplinen nicht durchgeführt</v>
      </c>
      <c r="GH44" s="97" t="str">
        <f t="shared" ca="1" si="165"/>
        <v/>
      </c>
      <c r="GI44" s="97" t="str" cm="1">
        <f t="array" aca="1" ref="GI44" ca="1">IFERROR(IF(INDIRECT(INDEX(INDIRECT(GI$5),MATCH(GG44,INDIRECT(GI$4),0)))&lt;&gt;"",INDEX(INDIRECT(GI$5),MATCH(GG44,INDIRECT(GI$4),0)),INDEX(INDIRECT(GI$6),MATCH(GG44,INDIRECT(GI$4),0))),"")</f>
        <v/>
      </c>
      <c r="GJ44" s="97" t="str">
        <f t="shared" ca="1" si="166"/>
        <v/>
      </c>
      <c r="GK44" s="97" t="str" cm="1">
        <f t="array" aca="1" ref="GK44" ca="1">IFERROR(INDIRECT(GI44),IF(NOT(ISERROR(FIND(Stammdaten!$CC$3,GG44,1))),$A$2,""))</f>
        <v/>
      </c>
      <c r="GL44" s="97" t="str">
        <f ca="1">IF(GK44="","",IF(AND(GH44=Stammdaten!$BX$20,GJ44="0",GK44=1),SUBSTITUTE(TEXT(GK44,GJ44)&amp;" "&amp;LEFT(GH44,LEN(GH44)-1),".",","),SUBSTITUTE(TEXT(GK44,GJ44)&amp;" "&amp;GH44,".",",")))</f>
        <v/>
      </c>
      <c r="GM44" s="97" t="str">
        <f t="shared" ca="1" si="61"/>
        <v/>
      </c>
      <c r="GN44" s="97" t="str" cm="1">
        <f t="array" aca="1" ref="GN44" ca="1">IFERROR(LEFT(INDIRECT(GM44),1)&amp;"]","")</f>
        <v/>
      </c>
      <c r="GO44" s="97" t="str">
        <f t="shared" ca="1" si="62"/>
        <v/>
      </c>
      <c r="GP44" s="97" t="str">
        <f ca="1">IFERROR(LEFT(GG44,FIND(Stammdaten!$CA$4,GG44,1)-2),IFERROR(LEFT(GG44,FIND(Stammdaten!$CC$3,GG44,1)-2),GG44))</f>
        <v>Wurfdisziplinen</v>
      </c>
      <c r="GQ44" s="97" t="str">
        <f ca="1">IF(NOT(ISERROR(FIND(Stammdaten!$CA$4,GG44,1))),Stammdaten!$CA$4,IF(GR44&lt;&gt;Stammdaten!$CC$3,GO44,""))</f>
        <v>nicht durchgeführt</v>
      </c>
      <c r="GR44" s="91" t="str">
        <f ca="1">IF(GK44=$A$2,Stammdaten!$CC$3,GL44)</f>
        <v/>
      </c>
      <c r="GS44" s="97" t="str">
        <f t="shared" ca="1" si="63"/>
        <v/>
      </c>
      <c r="GT44" s="97" t="str">
        <f t="shared" ca="1" si="64"/>
        <v/>
      </c>
      <c r="GU44" s="97" t="str">
        <f t="shared" ca="1" si="65"/>
        <v/>
      </c>
      <c r="GV44" s="97" t="str">
        <f t="shared" ca="1" si="66"/>
        <v/>
      </c>
      <c r="GW44" s="97">
        <f t="shared" ca="1" si="167"/>
        <v>0</v>
      </c>
      <c r="GX44" s="108">
        <f t="shared" ca="1" si="168"/>
        <v>0</v>
      </c>
      <c r="GY44" s="108">
        <f t="shared" ca="1" si="169"/>
        <v>0</v>
      </c>
      <c r="GZ44" s="108" t="str">
        <f t="shared" ca="1" si="170"/>
        <v/>
      </c>
      <c r="HA44" s="97" t="str">
        <f ca="1">IF(GZ44="",Stammdaten!$BZ$1,IF(AND(GX44=0,GY44&gt;=GZ$25),$A$3,ROUND(SUM(GW44/GZ44)/HA$25,0)*HA$25))</f>
        <v>Zu wenige Werte</v>
      </c>
      <c r="HB44" s="108">
        <f t="shared" ca="1" si="171"/>
        <v>6</v>
      </c>
      <c r="HC44" s="97" t="str">
        <f t="shared" ca="1" si="172"/>
        <v/>
      </c>
      <c r="HD44" s="97" t="str">
        <f t="shared" ca="1" si="173"/>
        <v/>
      </c>
      <c r="HE44" s="97" t="str">
        <f t="shared" ca="1" si="174"/>
        <v/>
      </c>
      <c r="HF44" s="97" t="str">
        <f t="shared" ca="1" si="175"/>
        <v/>
      </c>
      <c r="HG44" s="97" t="str">
        <f t="shared" ca="1" si="176"/>
        <v/>
      </c>
      <c r="HH44" s="97" t="str">
        <f t="shared" ca="1" si="177"/>
        <v>g</v>
      </c>
      <c r="HI44" s="97" t="str">
        <f t="shared" ca="1" si="178"/>
        <v/>
      </c>
      <c r="HJ44" s="97">
        <f t="shared" ca="1" si="179"/>
        <v>1</v>
      </c>
      <c r="HK44" s="97" t="str">
        <f ca="1">IF(OR(Geschlecht[[#This Row],[Geschlecht (Skala)]]="",NOT(ISNUMBER(GZ44))),"",HJ44)</f>
        <v/>
      </c>
      <c r="HL44" s="97" t="str">
        <f t="shared" ca="1" si="180"/>
        <v/>
      </c>
      <c r="HM44" s="97"/>
      <c r="HN44" s="308" t="str">
        <f t="shared" ca="1" si="68"/>
        <v>Zu wenige Werte</v>
      </c>
      <c r="HO44" s="97"/>
      <c r="HP44" s="307"/>
      <c r="HQ44" s="96" t="str">
        <f>IFERROR(IFERROR(SUBSTITUTE(ReckResultat[[#This Row],[Eingabe]],".",",")*1,SUBSTITUTE(ReckResultat[[#This Row],[Eingabe]],",",".")*1),"")</f>
        <v/>
      </c>
      <c r="HR44" s="96" t="e">
        <f>INT(ReckResultat[[#This Row],[Resultat]])=ReckResultat[[#This Row],[Resultat]]</f>
        <v>#VALUE!</v>
      </c>
      <c r="HS44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4" s="96"/>
      <c r="HX44" s="97"/>
      <c r="HY44" s="307"/>
      <c r="HZ44" s="96" t="str">
        <f>IFERROR(IFERROR(SUBSTITUTE(BodenResultat[[#This Row],[Eingabe]],".",",")*1,SUBSTITUTE(BodenResultat[[#This Row],[Eingabe]],",",".")*1),"")</f>
        <v/>
      </c>
      <c r="IA44" s="96" t="e">
        <f>INT(BodenResultat[[#This Row],[Resultat]])=BodenResultat[[#This Row],[Resultat]]</f>
        <v>#VALUE!</v>
      </c>
      <c r="IB44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4" s="96"/>
      <c r="IG44" s="97"/>
      <c r="IH44" s="307"/>
      <c r="II44" s="96" t="str">
        <f>IFERROR(IFERROR(SUBSTITUTE(StufenbarrenResultat[[#This Row],[Eingabe]],".",",")*1,SUBSTITUTE(StufenbarrenResultat[[#This Row],[Eingabe]],",",".")*1),"")</f>
        <v/>
      </c>
      <c r="IJ44" s="96" t="e">
        <f>INT(StufenbarrenResultat[[#This Row],[Resultat]])=StufenbarrenResultat[[#This Row],[Resultat]]</f>
        <v>#VALUE!</v>
      </c>
      <c r="IK44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4" s="96"/>
      <c r="IP44" s="97"/>
      <c r="IQ44" s="307"/>
      <c r="IR44" s="96" t="str">
        <f>IFERROR(IFERROR(SUBSTITUTE(ParallelbarrenResultat[[#This Row],[Eingabe]],".",",")*1,SUBSTITUTE(ParallelbarrenResultat[[#This Row],[Eingabe]],",",".")*1),"")</f>
        <v/>
      </c>
      <c r="IS44" s="96" t="e">
        <f>INT(ParallelbarrenResultat[[#This Row],[Resultat]])=ParallelbarrenResultat[[#This Row],[Resultat]]</f>
        <v>#VALUE!</v>
      </c>
      <c r="IT44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4" s="96"/>
      <c r="IY44" s="97"/>
      <c r="IZ44" s="307"/>
      <c r="JA44" s="96" t="str">
        <f>IFERROR(IFERROR(SUBSTITUTE(SchaukelringeResultat[[#This Row],[Eingabe]],".",",")*1,SUBSTITUTE(SchaukelringeResultat[[#This Row],[Eingabe]],",",".")*1),"")</f>
        <v/>
      </c>
      <c r="JB44" s="96" t="e">
        <f>INT(SchaukelringeResultat[[#This Row],[Resultat]])=SchaukelringeResultat[[#This Row],[Resultat]]</f>
        <v>#VALUE!</v>
      </c>
      <c r="JC44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4" s="96"/>
      <c r="JH44" s="97"/>
      <c r="JI44" s="307"/>
      <c r="JJ44" s="96" t="str">
        <f>IFERROR(IFERROR(SUBSTITUTE(SprungResultat[[#This Row],[Eingabe]],".",",")*1,SUBSTITUTE(SprungResultat[[#This Row],[Eingabe]],",",".")*1),"")</f>
        <v/>
      </c>
      <c r="JK44" s="96" t="e">
        <f>INT(SprungResultat[[#This Row],[Resultat]])=SprungResultat[[#This Row],[Resultat]]</f>
        <v>#VALUE!</v>
      </c>
      <c r="JL44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4" s="96"/>
      <c r="JQ44" s="97"/>
      <c r="JR44" s="309" t="str" cm="1">
        <f t="array" aca="1" ref="JR44" ca="1">IF(AND(ISNUMBER(INDIRECT(JR$3)),INDIRECT(JR$3)&gt;0),INDIRECT(JR$3),"")</f>
        <v/>
      </c>
      <c r="JS44" s="309" t="str" cm="1">
        <f t="array" aca="1" ref="JS44" ca="1">IF(AND(ISNUMBER(INDIRECT(JS$3)),INDIRECT(JS$3)&gt;0),INDIRECT(JS$3),"")</f>
        <v/>
      </c>
      <c r="JT44" s="309" t="str" cm="1">
        <f t="array" aca="1" ref="JT44" ca="1">IF(AND(ISNUMBER(INDIRECT(JT$3)),INDIRECT(JT$3)&gt;0),INDIRECT(JT$3),"")</f>
        <v/>
      </c>
      <c r="JU44" s="309" t="str" cm="1">
        <f t="array" aca="1" ref="JU44" ca="1">IF(AND(ISNUMBER(INDIRECT(JU$3)),INDIRECT(JU$3)&gt;0),INDIRECT(JU$3),"")</f>
        <v/>
      </c>
      <c r="JV44" s="309" t="str" cm="1">
        <f t="array" aca="1" ref="JV44" ca="1">IF(AND(ISNUMBER(INDIRECT(JV$3)),INDIRECT(JV$3)&gt;0),INDIRECT(JV$3),"")</f>
        <v/>
      </c>
      <c r="JW44" s="309" t="str" cm="1">
        <f t="array" aca="1" ref="JW44" ca="1">IF(AND(ISNUMBER(INDIRECT(JW$3)),INDIRECT(JW$3)&gt;0),INDIRECT(JW$3),"")</f>
        <v/>
      </c>
      <c r="JX44" s="309" t="str">
        <f t="shared" ca="1" si="69"/>
        <v>x</v>
      </c>
      <c r="JY44" s="309" t="str">
        <f t="shared" ca="1" si="70"/>
        <v>y</v>
      </c>
      <c r="JZ44" s="309" t="str">
        <f t="shared" ca="1" si="71"/>
        <v>z</v>
      </c>
      <c r="KA44" s="309" t="str">
        <f t="shared" ca="1" si="181"/>
        <v>a</v>
      </c>
      <c r="KB44" s="309" t="str" cm="1">
        <f t="array" aca="1" ref="KB44" ca="1">IF(KA44="a","",INDEX($JR$23:$JW$23,,MATCH(KA44,$JR44:$JW44,0)))</f>
        <v/>
      </c>
      <c r="KC44" s="309" t="str" cm="1">
        <f t="array" aca="1" ref="KC44" ca="1">IF(OR(KB44="",KB44&gt;=$JW$23),"",INDEX(INDIRECT(ADDRESS(ROW($JR$23),KB44+1)):$JW$23,,MATCH(KA44,INDIRECT(ADDRESS(ROW(),KB44+1)):$JW44,0)))</f>
        <v/>
      </c>
      <c r="KD44" s="309" t="str" cm="1">
        <f t="array" aca="1" ref="KD44" ca="1">IF(OR(KC44="",KC44&gt;=$JW$23),"",INDEX(INDIRECT(ADDRESS(ROW($JR$23),KC44+1)):$JW$23,,MATCH(KA44,INDIRECT(ADDRESS(ROW(),KC44+1)):$JW44,0)))</f>
        <v/>
      </c>
      <c r="KE44" s="309" t="str">
        <f t="shared" ca="1" si="182"/>
        <v>c</v>
      </c>
      <c r="KF44" s="309" t="str" cm="1">
        <f t="array" aca="1" ref="KF44" ca="1">IF(OR(KE44="b",KE44="c"),"",INDEX($JR$23:$JW$23,,MATCH(KE44,$JR44:$JW44,0)))</f>
        <v/>
      </c>
      <c r="KG44" s="309" t="str" cm="1">
        <f t="array" aca="1" ref="KG44" ca="1">IF(OR(KF44="",KF44&gt;=$JW$23),"",INDEX(INDIRECT(ADDRESS(ROW($JR$23),KF44+1)):$JW$23,,MATCH(KE44,INDIRECT(ADDRESS(ROW(),KF44+1)):$JW44,0)))</f>
        <v/>
      </c>
      <c r="KH44" s="309" t="str">
        <f t="shared" ca="1" si="72"/>
        <v/>
      </c>
      <c r="KI44" s="309" t="str">
        <f t="shared" ca="1" si="183"/>
        <v>e</v>
      </c>
      <c r="KJ44" s="309" t="str">
        <f t="shared" ca="1" si="73"/>
        <v/>
      </c>
      <c r="KK44" s="309" t="str" cm="1">
        <f t="array" aca="1" ref="KK44" ca="1">IF(OR(KI44="d",KI44="e"),"",INDEX($JR$23:$JW$23,,MATCH(KI44,$JR44:$JW44,0)))</f>
        <v/>
      </c>
      <c r="KL44" s="309" t="str" cm="1">
        <f t="array" aca="1" ref="KL44" ca="1">IF(OR(KK44="",KK44&gt;=$JW$23),"",INDEX(INDIRECT(ADDRESS(ROW($JR$23),KK44+1)):$JW$23,,MATCH(KI44,INDIRECT(ADDRESS(ROW(),KK44+1)):$JW44,0)))</f>
        <v/>
      </c>
      <c r="KM44" s="309" t="str" cm="1">
        <f t="array" aca="1" ref="KM44" ca="1">IFERROR(IF(ISNUMBER(KB44),KB44,IF(ISNUMBER(KF44),KF44,IF(ISNUMBER(KJ44),KJ44,INDEX($JR$23:$JW$23,,MATCH(JX44,$JR44:$JW44,0))))),"x1")</f>
        <v>x1</v>
      </c>
      <c r="KN44" s="309" t="str" cm="1">
        <f t="array" aca="1" ref="KN44" ca="1">IFERROR(IF(ISNUMBER(KC44),KC44,IF(ISNUMBER(KG44),KG44,IF(ISNUMBER(KK44),KK44,INDEX($JR$23:$JW$23,,MATCH(JY44,$JR44:$JW44,0))))),IF(KM44="x1","x2","x1"))</f>
        <v>x2</v>
      </c>
      <c r="KO44" s="309" t="str" cm="1">
        <f t="array" aca="1" ref="KO44" ca="1">IFERROR(IF(ISNUMBER(KD44),KD44,IF(ISNUMBER(KH44),KH44,IF(ISNUMBER(KL44),KL44,INDEX($JR$23:$JW$23,,MATCH(JZ44,$JR44:$JW44,0))))),IF(KN44="x1","x2",IF(KN44="x2","x3","x1")))</f>
        <v>x3</v>
      </c>
      <c r="KP44" s="97" t="str" cm="1">
        <f t="array" aca="1" ref="KP44" ca="1">IF(OR(INDIRECT(KP$3)=$A$2,INDIRECT(KP$3)=$A$3),COLUMN(),"")</f>
        <v/>
      </c>
      <c r="KQ44" s="97" t="str" cm="1">
        <f t="array" aca="1" ref="KQ44" ca="1">IF(OR(INDIRECT(KQ$3)=$A$2,INDIRECT(KQ$3)=$A$3),COLUMN(),"")</f>
        <v/>
      </c>
      <c r="KR44" s="97" t="str" cm="1">
        <f t="array" aca="1" ref="KR44" ca="1">IF(OR(INDIRECT(KR$3)=$A$2,INDIRECT(KR$3)=$A$3),COLUMN(),"")</f>
        <v/>
      </c>
      <c r="KS44" s="97" t="str" cm="1">
        <f t="array" aca="1" ref="KS44" ca="1">IF(OR(INDIRECT(KS$3)=$A$2,INDIRECT(KS$3)=$A$3),COLUMN(),"")</f>
        <v/>
      </c>
      <c r="KT44" s="97" t="str" cm="1">
        <f t="array" aca="1" ref="KT44" ca="1">IF(OR(INDIRECT(KT$3)=$A$2,INDIRECT(KT$3)=$A$3),COLUMN(),"")</f>
        <v/>
      </c>
      <c r="KU44" s="97" t="str" cm="1">
        <f t="array" aca="1" ref="KU44" ca="1">IF(OR(INDIRECT(KU$3)=$A$2,INDIRECT(KU$3)=$A$3),COLUMN(),"")</f>
        <v/>
      </c>
      <c r="KV44" s="97" t="str" cm="1">
        <f t="array" aca="1" ref="KV44" ca="1">IF(AND(ISNUMBER(INDIRECT(KV$3)),INDIRECT(KV$3)=0),COLUMN(),"")</f>
        <v/>
      </c>
      <c r="KW44" s="97" t="str" cm="1">
        <f t="array" aca="1" ref="KW44" ca="1">IF(AND(ISNUMBER(INDIRECT(KW$3)),INDIRECT(KW$3)=0),COLUMN(),"")</f>
        <v/>
      </c>
      <c r="KX44" s="97" t="str" cm="1">
        <f t="array" aca="1" ref="KX44" ca="1">IF(AND(ISNUMBER(INDIRECT(KX$3)),INDIRECT(KX$3)=0),COLUMN(),"")</f>
        <v/>
      </c>
      <c r="KY44" s="97" t="str" cm="1">
        <f t="array" aca="1" ref="KY44" ca="1">IF(AND(ISNUMBER(INDIRECT(KY$3)),INDIRECT(KY$3)=0),COLUMN(),"")</f>
        <v/>
      </c>
      <c r="KZ44" s="97" t="str" cm="1">
        <f t="array" aca="1" ref="KZ44" ca="1">IF(AND(ISNUMBER(INDIRECT(KZ$3)),INDIRECT(KZ$3)=0),COLUMN(),"")</f>
        <v/>
      </c>
      <c r="LA44" s="97" t="str" cm="1">
        <f t="array" aca="1" ref="LA44" ca="1">IF(AND(ISNUMBER(INDIRECT(LA$3)),INDIRECT(LA$3)=0),COLUMN(),"")</f>
        <v/>
      </c>
      <c r="LB44" s="97" t="str">
        <f t="shared" ca="1" si="184"/>
        <v>x1</v>
      </c>
      <c r="LC44" s="97" t="str">
        <f t="shared" ca="1" si="185"/>
        <v>x2</v>
      </c>
      <c r="LD44" s="97" t="str">
        <f t="shared" ca="1" si="186"/>
        <v>x3</v>
      </c>
      <c r="LE44" s="97" t="str">
        <f ca="1">IFERROR(IF(ISNUMBER(LB44),LB44,SMALL($KV44:$LA44,VALUE(RIGHT(LB44,1)))),Stammdaten!$CA$17)</f>
        <v>Erstes Gerät nicht durchgeführt</v>
      </c>
      <c r="LF44" s="97" t="str">
        <f ca="1">IFERROR(IF(ISNUMBER(LC44),LC44,SMALL($KV44:$LA44,VALUE(RIGHT(LC44,1)))),Stammdaten!$CA$18)</f>
        <v>Zweites Gerät nicht durchgeführt</v>
      </c>
      <c r="LG44" s="97" t="str">
        <f ca="1">IFERROR(IF(ISNUMBER(LD44),LD44,SMALL($KV44:$LA44,VALUE(RIGHT(LD44,1)))),Stammdaten!$CA$19)</f>
        <v>Drittes Gerät nicht durchgeführt</v>
      </c>
      <c r="LH44" s="91" t="str" cm="1">
        <f t="array" aca="1" ref="LH44" ca="1">IFERROR(INDIRECT(ADDRESS(ROW($JR$5),LE44)),LE44)</f>
        <v>Erstes Gerät nicht durchgeführt</v>
      </c>
      <c r="LI44" s="97" t="str">
        <f t="shared" ca="1" si="187"/>
        <v/>
      </c>
      <c r="LJ44" s="97" t="str" cm="1">
        <f t="array" aca="1" ref="LJ44" ca="1">IFERROR(IF(INDIRECT(INDEX(INDIRECT(LJ$5),MATCH(LH44,INDIRECT(LJ$4),0)))&lt;&gt;"",INDEX(INDIRECT(LJ$5),MATCH(LH44,INDIRECT(LJ$4),0)),INDEX(INDIRECT(LJ$6),MATCH(LH44,INDIRECT(LJ$4),0))),"")</f>
        <v/>
      </c>
      <c r="LK44" s="97" t="str">
        <f t="shared" ca="1" si="188"/>
        <v/>
      </c>
      <c r="LL44" s="97" t="str" cm="1">
        <f t="array" aca="1" ref="LL44" ca="1">IFERROR(INDIRECT(LJ44),"")</f>
        <v/>
      </c>
      <c r="LM44" s="97" t="str">
        <f ca="1">IF(LL44="","",IF(AND(LI44=Stammdaten!$BX$20,LK44="0",LL44=1),SUBSTITUTE(TEXT(LL44,LK44)&amp;" "&amp;LEFT(LI44,LEN(LI44)-1),".",","),SUBSTITUTE(TEXT(LL44,LK44)&amp;" "&amp;LI44,".",",")))</f>
        <v/>
      </c>
      <c r="LN44" s="97" t="str">
        <f t="shared" ca="1" si="74"/>
        <v/>
      </c>
      <c r="LO44" s="97" t="str" cm="1">
        <f t="array" aca="1" ref="LO44" ca="1">IFERROR(LEFT(INDIRECT(LN44),1)&amp;"]","")</f>
        <v/>
      </c>
      <c r="LP44" s="97" t="str">
        <f t="shared" ca="1" si="75"/>
        <v/>
      </c>
      <c r="LQ44" s="97" t="str">
        <f ca="1">IFERROR(LEFT(LH44,FIND(Stammdaten!$CA$4,LH44,1)-2),IFERROR(LEFT(LH44,FIND(Stammdaten!$CC$3,LH44,1)-2),LH44))</f>
        <v>Erstes Gerät</v>
      </c>
      <c r="LR44" s="97" t="str">
        <f ca="1">IF(NOT(ISERROR(FIND(Stammdaten!$CA$4,LH44,1))),Stammdaten!$CA$4,IF(LS44&lt;&gt;Stammdaten!$CC$3,LP44,""))</f>
        <v>nicht durchgeführt</v>
      </c>
      <c r="LS44" s="91" t="str">
        <f ca="1">IF(LL44=$A$2,Stammdaten!$CC$3,LM44)</f>
        <v/>
      </c>
      <c r="LT44" s="91" t="str" cm="1">
        <f t="array" aca="1" ref="LT44" ca="1">IFERROR(INDIRECT(ADDRESS(ROW($JR$5),LF44)),LF44)</f>
        <v>Zweites Gerät nicht durchgeführt</v>
      </c>
      <c r="LU44" s="97" t="str">
        <f t="shared" ca="1" si="189"/>
        <v/>
      </c>
      <c r="LV44" s="97" t="str" cm="1">
        <f t="array" aca="1" ref="LV44" ca="1">IFERROR(IF(INDIRECT(INDEX(INDIRECT(LV$5),MATCH(LT44,INDIRECT(LV$4),0)))&lt;&gt;"",INDEX(INDIRECT(LV$5),MATCH(LT44,INDIRECT(LV$4),0)),INDEX(INDIRECT(LV$6),MATCH(LT44,INDIRECT(LV$4),0))),"")</f>
        <v/>
      </c>
      <c r="LW44" s="97" t="str">
        <f t="shared" ca="1" si="190"/>
        <v/>
      </c>
      <c r="LX44" s="97" t="str" cm="1">
        <f t="array" aca="1" ref="LX44" ca="1">IFERROR(INDIRECT(LV44),"")</f>
        <v/>
      </c>
      <c r="LY44" s="97" t="str">
        <f ca="1">IF(LX44="","",IF(AND(LU44=Stammdaten!$BX$20,LW44="0",LX44=1),SUBSTITUTE(TEXT(LX44,LW44)&amp;" "&amp;LEFT(LU44,LEN(LU44)-1),".",","),SUBSTITUTE(TEXT(LX44,LW44)&amp;" "&amp;LU44,".",",")))</f>
        <v/>
      </c>
      <c r="LZ44" s="97" t="str">
        <f t="shared" ca="1" si="76"/>
        <v/>
      </c>
      <c r="MA44" s="97" t="str" cm="1">
        <f t="array" aca="1" ref="MA44" ca="1">IFERROR(LEFT(INDIRECT(LZ44),1)&amp;"]","")</f>
        <v/>
      </c>
      <c r="MB44" s="97" t="str">
        <f t="shared" ca="1" si="77"/>
        <v/>
      </c>
      <c r="MC44" s="97" t="str">
        <f ca="1">IFERROR(LEFT(LT44,FIND(Stammdaten!$CA$4,LT44,1)-2),IFERROR(LEFT(LT44,FIND(Stammdaten!$CC$3,LT44,1)-2),LT44))</f>
        <v>Zweites Gerät</v>
      </c>
      <c r="MD44" s="97" t="str">
        <f ca="1">IF(NOT(ISERROR(FIND(Stammdaten!$CA$4,LT44,1))),Stammdaten!$CA$4,IF(ME44&lt;&gt;Stammdaten!$CC$3,MB44,""))</f>
        <v>nicht durchgeführt</v>
      </c>
      <c r="ME44" s="91" t="str">
        <f ca="1">IF(LX44=$A$2,Stammdaten!$CC$3,LY44)</f>
        <v/>
      </c>
      <c r="MF44" s="91" t="str" cm="1">
        <f t="array" aca="1" ref="MF44" ca="1">IFERROR(INDIRECT(ADDRESS(ROW($JR$5),LG44)),LG44)</f>
        <v>Drittes Gerät nicht durchgeführt</v>
      </c>
      <c r="MG44" s="97" t="str">
        <f t="shared" ca="1" si="191"/>
        <v/>
      </c>
      <c r="MH44" s="97" t="str" cm="1">
        <f t="array" aca="1" ref="MH44" ca="1">IFERROR(IF(INDIRECT(INDEX(INDIRECT(MH$5),MATCH(MF44,INDIRECT(MH$4),0)))&lt;&gt;"",INDEX(INDIRECT(MH$5),MATCH(MF44,INDIRECT(MH$4),0)),INDEX(INDIRECT(MH$6),MATCH(MF44,INDIRECT(MH$4),0))),"")</f>
        <v/>
      </c>
      <c r="MI44" s="97" t="str">
        <f t="shared" ca="1" si="192"/>
        <v/>
      </c>
      <c r="MJ44" s="97" t="str" cm="1">
        <f t="array" aca="1" ref="MJ44" ca="1">IFERROR(INDIRECT(MH44),"")</f>
        <v/>
      </c>
      <c r="MK44" s="97" t="str">
        <f ca="1">IF(MJ44="","",IF(AND(MG44=Stammdaten!$BX$20,MI44="0",MJ44=1),SUBSTITUTE(TEXT(MJ44,MI44)&amp;" "&amp;LEFT(MG44,LEN(MG44)-1),".",","),SUBSTITUTE(TEXT(MJ44,MI44)&amp;" "&amp;MG44,".",",")))</f>
        <v/>
      </c>
      <c r="ML44" s="97" t="str">
        <f t="shared" ca="1" si="78"/>
        <v/>
      </c>
      <c r="MM44" s="97" t="str" cm="1">
        <f t="array" aca="1" ref="MM44" ca="1">IFERROR(LEFT(INDIRECT(ML44),1)&amp;"]","")</f>
        <v/>
      </c>
      <c r="MN44" s="97" t="str">
        <f t="shared" ca="1" si="79"/>
        <v/>
      </c>
      <c r="MO44" s="97" t="str">
        <f ca="1">IFERROR(LEFT(MF44,FIND(Stammdaten!$CA$4,MF44,1)-2),IFERROR(LEFT(MF44,FIND(Stammdaten!$CC$3,MF44,1)-2),MF44))</f>
        <v>Drittes Gerät</v>
      </c>
      <c r="MP44" s="97" t="str">
        <f ca="1">IF(NOT(ISERROR(FIND(Stammdaten!$CA$4,MF44,1))),Stammdaten!$CA$4,IF(MQ44&lt;&gt;Stammdaten!$CC$3,MN44,""))</f>
        <v>nicht durchgeführt</v>
      </c>
      <c r="MQ44" s="91" t="str">
        <f ca="1">IF(MJ44=$A$2,Stammdaten!$CC$3,MK44)</f>
        <v/>
      </c>
      <c r="MR44" s="97">
        <f t="shared" ca="1" si="80"/>
        <v>0</v>
      </c>
      <c r="MS44" s="108">
        <f t="shared" ca="1" si="193"/>
        <v>0</v>
      </c>
      <c r="MT44" s="108">
        <f t="shared" ca="1" si="194"/>
        <v>0</v>
      </c>
      <c r="MU44" s="108">
        <f t="shared" ca="1" si="195"/>
        <v>0</v>
      </c>
      <c r="MV44" s="108" t="str">
        <f t="shared" ca="1" si="196"/>
        <v/>
      </c>
      <c r="MW44" s="97" t="str">
        <f ca="1">IF(MV44="",Stammdaten!$BZ$1,IF(AND(MS44+MT44=0,MU44&gt;=MV$25),$A$3,MR44))</f>
        <v>Zu wenige Werte</v>
      </c>
      <c r="MX44" s="97"/>
      <c r="MY44" s="91" t="str">
        <f t="shared" ca="1" si="81"/>
        <v/>
      </c>
      <c r="MZ44" s="96" t="str">
        <f>LEFT(Geschlecht[[#This Row],[Geschlecht (Skala)]],1)&amp;$MZ$27</f>
        <v>2</v>
      </c>
      <c r="NA44" s="96" t="str">
        <f t="shared" ca="1" si="82"/>
        <v>Geräteturnen_2[Resultat]</v>
      </c>
      <c r="NB44" s="97" t="str" cm="1">
        <f t="array" aca="1" ref="NB44" ca="1">IF(OR($MW44="",$MW44=Stammdaten!$BZ$1),"",IF($MW44=0,0,IF(OR($MW44=$A$2,$MW44=$A$3),$A$3,IFERROR(INDEX(INDIRECT(NA44),MATCH(INDIRECT(MY$3),INDIRECT(NA44),NA$25)),IFERROR(IF(NA$25=-1,MAX(INDIRECT(NA44)),IF(NA$25=1,MIN(INDIRECT(NA44)))),"")))))</f>
        <v/>
      </c>
      <c r="ND44" s="91" t="str">
        <f t="shared" ca="1" si="83"/>
        <v>Geräteturnen_2[Note]</v>
      </c>
      <c r="NE44" s="97" t="str" cm="1">
        <f t="array" aca="1" ref="NE44" ca="1">IFERROR(INDEX(INDIRECT(ND44),MATCH(INDIRECT(MY$5),INDIRECT(NA44),0)),IF(INDIRECT(MY$5)=0,1,""))</f>
        <v/>
      </c>
      <c r="NF44" s="97"/>
      <c r="NG44" s="307"/>
      <c r="NH44" s="96" t="str">
        <f>IFERROR(IFERROR(SUBSTITUTE(ParkourResultat[[#This Row],[Eingabe]],".",",")*1,SUBSTITUTE(ParkourResultat[[#This Row],[Eingabe]],",",".")*1),"")</f>
        <v/>
      </c>
      <c r="NI44" s="96" t="e">
        <f>INT(ParkourResultat[[#This Row],[Resultat]])=ParkourResultat[[#This Row],[Resultat]]</f>
        <v>#VALUE!</v>
      </c>
      <c r="NJ44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4" s="96"/>
      <c r="NL44" s="91" t="str" cm="1">
        <f t="array" aca="1" ref="NL44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4" s="96" t="str">
        <f ca="1">LEFT(Geschlecht[[#This Row],[Geschlecht (Skala)]],1)&amp;NR$4</f>
        <v>2</v>
      </c>
      <c r="NN44" s="96" t="str">
        <f t="shared" ca="1" si="84"/>
        <v>Parkour_2[Resultat]</v>
      </c>
      <c r="NO44" s="97" t="str" cm="1">
        <f t="array" aca="1" ref="NO44" ca="1">IF(INDIRECT(NL$1)="","",IF(INDIRECT(NL$2)=0,0,IF(OR(INDIRECT(NL$1)=$A$2,INDIRECT(NL$1)=$A$3),$A$3,IFERROR(INDEX(INDIRECT(NN44),MATCH(INDIRECT(NL$3),INDIRECT(NN44),NN$25)),IFERROR(IF(NN$25=-1,MAX(INDIRECT(NN44)),IF(NN$25=1,MIN(INDIRECT(NN44)))),"")))))</f>
        <v/>
      </c>
      <c r="NQ44" s="91" t="str">
        <f t="shared" ca="1" si="85"/>
        <v>Parkour_2[Note]</v>
      </c>
      <c r="NR44" s="97" t="str" cm="1">
        <f t="array" aca="1" ref="NR44" ca="1">IFERROR(INDEX(INDIRECT(NQ44),MATCH(INDIRECT(NL$5),INDIRECT(NN44),0)),IF(INDIRECT(NL$5)=0,1,""))</f>
        <v/>
      </c>
      <c r="NS44" s="97"/>
      <c r="NT44" s="97" t="str" cm="1">
        <f t="array" aca="1" ref="NT44" ca="1">INDIRECT(NT$5)</f>
        <v/>
      </c>
      <c r="NU44" s="97" t="str" cm="1">
        <f t="array" aca="1" ref="NU44" ca="1">INDIRECT(NU$5)</f>
        <v/>
      </c>
      <c r="NV44" s="97" t="str" cm="1">
        <f t="array" aca="1" ref="NV44" ca="1">INDIRECT(NV$5)</f>
        <v/>
      </c>
      <c r="NW44" s="97" t="str" cm="1">
        <f t="array" aca="1" ref="NW44" ca="1">INDIRECT(NW$5)</f>
        <v/>
      </c>
      <c r="NX44" s="97" t="str">
        <f t="shared" ca="1" si="86"/>
        <v>Parkour nicht durchgeführt</v>
      </c>
      <c r="NY44" s="97" t="str">
        <f t="shared" ca="1" si="197"/>
        <v/>
      </c>
      <c r="NZ44" s="97" t="str" cm="1">
        <f t="array" aca="1" ref="NZ44" ca="1">IFERROR(IF(INDIRECT(INDEX(INDIRECT(NZ$5),MATCH(NX44,INDIRECT(NZ$4),0)))&lt;&gt;"",INDEX(INDIRECT(NZ$5),MATCH(NX44,INDIRECT(NZ$4),0)),INDEX(INDIRECT(NZ$6),MATCH(NX44,INDIRECT(NZ$4),0))),"")</f>
        <v/>
      </c>
      <c r="OA44" s="97" t="str">
        <f t="shared" ca="1" si="198"/>
        <v/>
      </c>
      <c r="OB44" s="97" t="str" cm="1">
        <f t="array" aca="1" ref="OB44" ca="1">IFERROR(INDIRECT(NZ44),IF(NOT(ISERROR(FIND(Stammdaten!$CC$3,NX44,1))),$A$2,""))</f>
        <v/>
      </c>
      <c r="OC44" s="97" t="str">
        <f ca="1">IF(OB44="","",IF(AND(NY44=Stammdaten!$BX$20,OA44="0",OB44=1),SUBSTITUTE(TEXT(OB44,OA44)&amp;" "&amp;LEFT(NY44,LEN(NY44)-1),".",","),SUBSTITUTE(TEXT(OB44,OA44)&amp;" "&amp;NY44,".",",")))</f>
        <v/>
      </c>
      <c r="OD44" s="97" t="str">
        <f t="shared" ca="1" si="87"/>
        <v/>
      </c>
      <c r="OE44" s="97" t="str" cm="1">
        <f t="array" aca="1" ref="OE44" ca="1">IFERROR(LEFT(INDIRECT(OD44),1)&amp;"]","")</f>
        <v/>
      </c>
      <c r="OF44" s="97" t="str">
        <f t="shared" ca="1" si="88"/>
        <v/>
      </c>
      <c r="OG44" s="97" t="str">
        <f ca="1">IFERROR(LEFT(NX44,FIND(Stammdaten!$CA$4,NX44,1)-2),IFERROR(LEFT(NX44,FIND(Stammdaten!$CC$3,NX44,1)-2),NX44))</f>
        <v>Parkour</v>
      </c>
      <c r="OH44" s="97" t="str">
        <f ca="1">IF(NOT(ISERROR(FIND(Stammdaten!$CA$4,NX44,1))),Stammdaten!$CA$4,IF(OI44&lt;&gt;Stammdaten!$CC$3,OF44,""))</f>
        <v>nicht durchgeführt</v>
      </c>
      <c r="OI44" s="91" t="str">
        <f ca="1">IF(OB44=$A$2,Stammdaten!$CC$3,OC44)</f>
        <v/>
      </c>
      <c r="OJ44" s="97" t="str">
        <f t="shared" ca="1" si="89"/>
        <v/>
      </c>
      <c r="OK44" s="97" t="str">
        <f t="shared" ca="1" si="90"/>
        <v/>
      </c>
      <c r="OL44" s="97">
        <f t="shared" ca="1" si="199"/>
        <v>0</v>
      </c>
      <c r="OM44" s="108">
        <f t="shared" ca="1" si="91"/>
        <v>0</v>
      </c>
      <c r="ON44" s="108">
        <f t="shared" ca="1" si="92"/>
        <v>0</v>
      </c>
      <c r="OO44" s="108" t="str">
        <f t="shared" ca="1" si="200"/>
        <v/>
      </c>
      <c r="OP44" s="97" t="str">
        <f ca="1">IF(OO44="",Stammdaten!$BZ$1,IF(AND(OM44=0,ON44&gt;=OO$25),$A$3,ROUND(SUM(OL44/OO44)/OP$25,0)*OP$25))</f>
        <v>Zu wenige Werte</v>
      </c>
      <c r="OQ44" s="108">
        <f t="shared" ca="1" si="201"/>
        <v>6</v>
      </c>
      <c r="OR44" s="97" t="str">
        <f t="shared" ca="1" si="202"/>
        <v/>
      </c>
      <c r="OS44" s="97" t="str">
        <f t="shared" ca="1" si="203"/>
        <v/>
      </c>
      <c r="OT44" s="97" t="str">
        <f t="shared" ca="1" si="204"/>
        <v/>
      </c>
      <c r="OU44" s="97" t="str">
        <f t="shared" ca="1" si="205"/>
        <v>g</v>
      </c>
      <c r="OV44" s="97" t="str">
        <f t="shared" ca="1" si="206"/>
        <v/>
      </c>
      <c r="OW44" s="97">
        <f t="shared" ca="1" si="207"/>
        <v>1</v>
      </c>
      <c r="OX44" s="97" t="str">
        <f ca="1">IF(OR(Geschlecht[[#This Row],[Geschlecht (Skala)]]="",NOT(ISNUMBER(OO44))),"",OW44)</f>
        <v/>
      </c>
      <c r="OY44" s="97" t="str">
        <f t="shared" ca="1" si="208"/>
        <v/>
      </c>
      <c r="OZ44" s="97"/>
      <c r="PA44" s="308" t="str">
        <f t="shared" ca="1" si="209"/>
        <v>Zu wenige Werte</v>
      </c>
      <c r="PB44" s="97"/>
      <c r="PC44" s="307"/>
      <c r="PD44" s="96" t="str">
        <f>IFERROR(IFERROR(SUBSTITUTE(TanzenResultat[[#This Row],[Eingabe]],".",",")*1,SUBSTITUTE(TanzenResultat[[#This Row],[Eingabe]],",",".")*1),"")</f>
        <v/>
      </c>
      <c r="PE44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4" s="96"/>
      <c r="PG44" s="91" t="str" cm="1">
        <f t="array" aca="1" ref="PG44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4" s="96" t="str">
        <f ca="1">LEFT(Geschlecht[[#This Row],[Geschlecht (Skala)]],1)&amp;PM$4</f>
        <v>2</v>
      </c>
      <c r="PI44" s="96" t="str">
        <f t="shared" ca="1" si="93"/>
        <v>Tanzen_2[Resultat]</v>
      </c>
      <c r="PJ44" s="97" t="str" cm="1">
        <f t="array" aca="1" ref="PJ44" ca="1">IF(INDIRECT(PG$1)="","",IF(INDIRECT(PG$2)=0,0,IF(OR(INDIRECT(PG$1)=$A$2,INDIRECT(PG$1)=$A$3),$A$3,IFERROR(INDEX(INDIRECT(PI44),MATCH(INDIRECT(PG$3),INDIRECT(PI44),PI$25)),IFERROR(IF(PI$25=-1,MAX(INDIRECT(PI44)),IF(PI$25=1,MIN(INDIRECT(PI44)))),"")))))</f>
        <v/>
      </c>
      <c r="PL44" s="91" t="str">
        <f t="shared" ca="1" si="94"/>
        <v>Tanzen_2[Note]</v>
      </c>
      <c r="PM44" s="97" t="str" cm="1">
        <f t="array" aca="1" ref="PM44" ca="1">IFERROR(INDEX(INDIRECT(PL44),MATCH(INDIRECT(PG$5),INDIRECT(PI44),0)),IF(INDIRECT(PG$5)=0,1,""))</f>
        <v/>
      </c>
      <c r="PN44" s="97"/>
      <c r="PO44" s="307"/>
      <c r="PP44" s="96" t="str">
        <f>IFERROR(IFERROR(SUBSTITUTE(RopeSkippingResultat[[#This Row],[Eingabe]],".",",")*1,SUBSTITUTE(RopeSkippingResultat[[#This Row],[Eingabe]],",",".")*1),"")</f>
        <v/>
      </c>
      <c r="PQ44" s="96" t="e">
        <f>INT(RopeSkippingResultat[[#This Row],[Resultat]])=RopeSkippingResultat[[#This Row],[Resultat]]</f>
        <v>#VALUE!</v>
      </c>
      <c r="PR44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4" s="96"/>
      <c r="PT44" s="91" t="str" cm="1">
        <f t="array" aca="1" ref="PT44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4" s="96" t="str">
        <f ca="1">LEFT(Geschlecht[[#This Row],[Geschlecht (Skala)]],1)&amp;PZ$4</f>
        <v>2</v>
      </c>
      <c r="PV44" s="96" t="str">
        <f t="shared" ca="1" si="95"/>
        <v>RopeSkipping_2[Resultat]</v>
      </c>
      <c r="PW44" s="97" t="str" cm="1">
        <f t="array" aca="1" ref="PW44" ca="1">IF(INDIRECT(PT$1)="","",IF(INDIRECT(PT$2)=0,0,IF(OR(INDIRECT(PT$1)=$A$2,INDIRECT(PT$1)=$A$3),$A$3,IFERROR(INDEX(INDIRECT(PV44),MATCH(INDIRECT(PT$3),INDIRECT(PV44),PV$25)),IFERROR(IF(PV$25=-1,MAX(INDIRECT(PV44)),IF(PV$25=1,MIN(INDIRECT(PV44)))),"")))))</f>
        <v/>
      </c>
      <c r="PY44" s="91" t="str">
        <f t="shared" ca="1" si="96"/>
        <v>RopeSkipping_2[Note]</v>
      </c>
      <c r="PZ44" s="97" t="str" cm="1">
        <f t="array" aca="1" ref="PZ44" ca="1">IFERROR(INDEX(INDIRECT(PY44),MATCH(INDIRECT(PT$5),INDIRECT(PV44),0)),IF(INDIRECT(PT$5)=0,1,""))</f>
        <v/>
      </c>
      <c r="QA44" s="97"/>
      <c r="QB44" s="307"/>
      <c r="QC44" s="96" t="str">
        <f>IFERROR(IFERROR(SUBSTITUTE(AerobicResultat[[#This Row],[Eingabe]],".",",")*1,SUBSTITUTE(AerobicResultat[[#This Row],[Eingabe]],",",".")*1),"")</f>
        <v/>
      </c>
      <c r="QD44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4" s="96"/>
      <c r="QF44" s="91" t="str" cm="1">
        <f t="array" aca="1" ref="QF44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4" s="96" t="str">
        <f ca="1">LEFT(Geschlecht[[#This Row],[Geschlecht (Skala)]],1)&amp;QL$4</f>
        <v>2</v>
      </c>
      <c r="QH44" s="96" t="str">
        <f t="shared" ca="1" si="97"/>
        <v>Aerobic_2[Resultat]</v>
      </c>
      <c r="QI44" s="97" t="str" cm="1">
        <f t="array" aca="1" ref="QI44" ca="1">IF(INDIRECT(QF$1)="","",IF(INDIRECT(QF$2)=0,0,IF(OR(INDIRECT(QF$1)=$A$2,INDIRECT(QF$1)=$A$3),$A$3,IFERROR(INDEX(INDIRECT(QH44),MATCH(INDIRECT(QF$3),INDIRECT(QH44),QH$25)),IFERROR(IF(QH$25=-1,MAX(INDIRECT(QH44)),IF(QH$25=1,MIN(INDIRECT(QH44)))),"")))))</f>
        <v/>
      </c>
      <c r="QK44" s="91" t="str">
        <f t="shared" ca="1" si="98"/>
        <v>Aerobic_2[Note]</v>
      </c>
      <c r="QL44" s="97" t="str" cm="1">
        <f t="array" aca="1" ref="QL44" ca="1">IFERROR(INDEX(INDIRECT(QK44),MATCH(INDIRECT(QF$5),INDIRECT(QH44),0)),IF(INDIRECT(QF$5)=0,1,""))</f>
        <v/>
      </c>
      <c r="QM44" s="97"/>
      <c r="QN44" s="97" t="str" cm="1">
        <f t="array" aca="1" ref="QN44" ca="1">INDIRECT(QN$5)</f>
        <v/>
      </c>
      <c r="QO44" s="97" t="str" cm="1">
        <f t="array" aca="1" ref="QO44" ca="1">INDIRECT(QO$5)</f>
        <v/>
      </c>
      <c r="QP44" s="97" t="str" cm="1">
        <f t="array" aca="1" ref="QP44" ca="1">INDIRECT(QP$5)</f>
        <v/>
      </c>
      <c r="QQ44" s="97" t="str" cm="1">
        <f t="array" aca="1" ref="QQ44" ca="1">INDIRECT(QQ$5)</f>
        <v/>
      </c>
      <c r="QR44" s="97" t="str" cm="1">
        <f t="array" aca="1" ref="QR44" ca="1">INDIRECT(QR$5)</f>
        <v/>
      </c>
      <c r="QS44" s="97" t="str" cm="1">
        <f t="array" aca="1" ref="QS44" ca="1">INDIRECT(QS$5)</f>
        <v/>
      </c>
      <c r="QT44" s="97" t="str">
        <f t="shared" ca="1" si="99"/>
        <v>Darstellen und Tanzen nicht durchgeführt</v>
      </c>
      <c r="QU44" s="108">
        <f t="shared" ca="1" si="100"/>
        <v>0</v>
      </c>
      <c r="QV44" s="108">
        <f t="shared" ca="1" si="101"/>
        <v>0</v>
      </c>
      <c r="QW44" s="108" t="str">
        <f t="shared" ca="1" si="210"/>
        <v/>
      </c>
      <c r="QX44" s="97" t="str">
        <f t="shared" ca="1" si="211"/>
        <v>Darstellen und Tanzen nicht durchgeführt</v>
      </c>
      <c r="QY44" s="97" t="str">
        <f t="shared" ca="1" si="212"/>
        <v/>
      </c>
      <c r="QZ44" s="97" t="str" cm="1">
        <f t="array" aca="1" ref="QZ44" ca="1">IFERROR(IF(INDIRECT(INDEX(INDIRECT(QZ$5),MATCH(QX44,INDIRECT(QZ$4),0)))&lt;&gt;"",INDEX(INDIRECT(QZ$5),MATCH(QX44,INDIRECT(QZ$4),0)),INDEX(INDIRECT(QZ$6),MATCH(QX44,INDIRECT(QZ$4),0))),"")</f>
        <v/>
      </c>
      <c r="RA44" s="97" t="str">
        <f t="shared" ca="1" si="213"/>
        <v/>
      </c>
      <c r="RB44" s="97" t="str" cm="1">
        <f t="array" aca="1" ref="RB44" ca="1">IFERROR(INDIRECT(QZ44),IF(NOT(ISERROR(FIND(Stammdaten!$CC$3,QX44,1))),$A$2,""))</f>
        <v/>
      </c>
      <c r="RC44" s="97" t="str">
        <f ca="1">IF(RB44="","",IF(AND(QY44=Stammdaten!$BX$20,RA44="0",RB44=1),SUBSTITUTE(TEXT(RB44,RA44)&amp;" "&amp;LEFT(QY44,LEN(QY44)-1),".",","),SUBSTITUTE(TEXT(RB44,RA44)&amp;" "&amp;QY44,".",",")))</f>
        <v/>
      </c>
      <c r="RD44" s="97" t="str">
        <f t="shared" ca="1" si="102"/>
        <v/>
      </c>
      <c r="RE44" s="97" t="str" cm="1">
        <f t="array" aca="1" ref="RE44" ca="1">IFERROR(LEFT(INDIRECT(RD44),1)&amp;"]","")</f>
        <v/>
      </c>
      <c r="RF44" s="97" t="str">
        <f t="shared" ca="1" si="103"/>
        <v/>
      </c>
      <c r="RG44" s="97" t="str">
        <f ca="1">IFERROR(LEFT(QX44,FIND(Stammdaten!$CA$4,QX44,1)-2),IFERROR(LEFT(QX44,FIND(Stammdaten!$CC$3,QX44,1)-2),QX44))</f>
        <v>Darstellen und Tanzen</v>
      </c>
      <c r="RH44" s="97" t="str">
        <f ca="1">IF(NOT(ISERROR(FIND(Stammdaten!$CA$4,QX44,1))),Stammdaten!$CA$4,IF(RI44&lt;&gt;Stammdaten!$CC$3,RF44,""))</f>
        <v>nicht durchgeführt</v>
      </c>
      <c r="RI44" s="91" t="str">
        <f ca="1">IF(RB44=$A$2,Stammdaten!$CC$3,RC44)</f>
        <v/>
      </c>
      <c r="RJ44" s="108">
        <f t="shared" ca="1" si="214"/>
        <v>6</v>
      </c>
      <c r="RK44" s="97"/>
      <c r="RL44" s="308" t="str">
        <f ca="1">IF(QT44=$QT$4,Stammdaten!$BZ$1,IF(QT44=$QT$5,$A$3,QT44))</f>
        <v>Zu wenige Werte</v>
      </c>
      <c r="RM44" s="97"/>
      <c r="RN44" s="307"/>
      <c r="RO44" s="96" t="str">
        <f>IFERROR(IFERROR(SUBSTITUTE(BasketballResultat[[#This Row],[Eingabe]],".",",")*1,SUBSTITUTE(BasketballResultat[[#This Row],[Eingabe]],",",".")*1),"")</f>
        <v/>
      </c>
      <c r="RP44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4" s="96"/>
      <c r="RR44" s="91" t="str" cm="1">
        <f t="array" aca="1" ref="RR44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4" s="96" t="str">
        <f ca="1">LEFT(Geschlecht[[#This Row],[Geschlecht (Skala)]],1)&amp;RX$4</f>
        <v>2</v>
      </c>
      <c r="RT44" s="96" t="str">
        <f t="shared" ca="1" si="104"/>
        <v>Basketball_2[Resultat]</v>
      </c>
      <c r="RU44" s="97" t="str" cm="1">
        <f t="array" aca="1" ref="RU44" ca="1">IF(INDIRECT(RR$1)="","",IF(INDIRECT(RR$2)=0,0,IF(OR(INDIRECT(RR$1)=$A$2,INDIRECT(RR$1)=$A$3),$A$3,IFERROR(INDEX(INDIRECT(RT44),MATCH(INDIRECT(RR$3),INDIRECT(RT44),RT$25)),IFERROR(IF(RT$25=-1,MAX(INDIRECT(RT44)),IF(RT$25=1,MIN(INDIRECT(RT44)))),"")))))</f>
        <v/>
      </c>
      <c r="RW44" s="91" t="str">
        <f t="shared" ca="1" si="105"/>
        <v>Basketball_2[Note]</v>
      </c>
      <c r="RX44" s="97" t="str" cm="1">
        <f t="array" aca="1" ref="RX44" ca="1">IFERROR(INDEX(INDIRECT(RW44),MATCH(INDIRECT(RR$5),INDIRECT(RT44),0)),IF(INDIRECT(RR$5)=0,1,""))</f>
        <v/>
      </c>
      <c r="RY44" s="97"/>
      <c r="RZ44" s="307"/>
      <c r="SA44" s="96" t="str">
        <f>IFERROR(IFERROR(SUBSTITUTE(FussballResultat[[#This Row],[Eingabe]],".",",")*1,SUBSTITUTE(FussballResultat[[#This Row],[Eingabe]],",",".")*1),"")</f>
        <v/>
      </c>
      <c r="SB44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4" s="96"/>
      <c r="SD44" s="316" t="str" cm="1">
        <f t="array" aca="1" ref="SD44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4" s="96" t="str">
        <f ca="1">LEFT(Geschlecht[[#This Row],[Geschlecht (Skala)]],1)&amp;SJ$4</f>
        <v>2</v>
      </c>
      <c r="SF44" s="96" t="str">
        <f t="shared" ca="1" si="106"/>
        <v>Fussball_2[Resultat]</v>
      </c>
      <c r="SG44" s="97" t="str" cm="1">
        <f t="array" aca="1" ref="SG44" ca="1">IF(INDIRECT(SD$1)="","",IF(INDIRECT(SD$2)=0,0,IF(OR(INDIRECT(SD$1)=$A$2,INDIRECT(SD$1)=$A$3),$A$3,IFERROR(INDEX(INDIRECT(SF44),MATCH(INDIRECT(SD$3),INDIRECT(SF44),SF$25)),IFERROR(IF(SF$25=-1,MAX(INDIRECT(SF44)),IF(SF$25=1,MIN(INDIRECT(SF44)))),"")))))</f>
        <v/>
      </c>
      <c r="SI44" s="91" t="str">
        <f t="shared" ca="1" si="107"/>
        <v>Fussball_2[Note]</v>
      </c>
      <c r="SJ44" s="97" t="str" cm="1">
        <f t="array" aca="1" ref="SJ44" ca="1">IFERROR(INDEX(INDIRECT(SI44),MATCH(INDIRECT(SD$5),INDIRECT(SF44),0)),IF(INDIRECT(SD$5)=0,1,""))</f>
        <v/>
      </c>
      <c r="SK44" s="97"/>
      <c r="SL44" s="307"/>
      <c r="SM44" s="96" t="str">
        <f>IFERROR(IFERROR(SUBSTITUTE(HandballResultat[[#This Row],[Eingabe]],".",",")*1,SUBSTITUTE(HandballResultat[[#This Row],[Eingabe]],",",".")*1),"")</f>
        <v/>
      </c>
      <c r="SN44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4" s="96"/>
      <c r="SP44" s="91" t="str" cm="1">
        <f t="array" aca="1" ref="SP44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4" s="96" t="str">
        <f ca="1">LEFT(Geschlecht[[#This Row],[Geschlecht (Skala)]],1)&amp;SV$4</f>
        <v>2</v>
      </c>
      <c r="SR44" s="96" t="str">
        <f t="shared" ca="1" si="108"/>
        <v>Handball_2[Resultat]</v>
      </c>
      <c r="SS44" s="97" t="str" cm="1">
        <f t="array" aca="1" ref="SS44" ca="1">IF(INDIRECT(SP$1)="","",IF(INDIRECT(SP$2)=0,0,IF(OR(INDIRECT(SP$1)=$A$2,INDIRECT(SP$1)=$A$3),$A$3,IFERROR(INDEX(INDIRECT(SR44),MATCH(INDIRECT(SP$3),INDIRECT(SR44),SR$25)),IFERROR(IF(SR$25=-1,MAX(INDIRECT(SR44)),IF(SR$25=1,MIN(INDIRECT(SR44)))),"")))))</f>
        <v/>
      </c>
      <c r="SU44" s="91" t="str">
        <f t="shared" ca="1" si="109"/>
        <v>Handball_2[Note]</v>
      </c>
      <c r="SV44" s="97" t="str" cm="1">
        <f t="array" aca="1" ref="SV44" ca="1">IFERROR(INDEX(INDIRECT(SU44),MATCH(INDIRECT(SP$5),INDIRECT(SR44),0)),IF(INDIRECT(SP$5)=0,1,""))</f>
        <v/>
      </c>
      <c r="SW44" s="97"/>
      <c r="SX44" s="307"/>
      <c r="SY44" s="96" t="str">
        <f>IFERROR(IFERROR(SUBSTITUTE(UnihockeyResultat[[#This Row],[Eingabe]],".",",")*1,SUBSTITUTE(UnihockeyResultat[[#This Row],[Eingabe]],",",".")*1),"")</f>
        <v/>
      </c>
      <c r="SZ44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4" s="96"/>
      <c r="TB44" s="91" t="str" cm="1">
        <f t="array" aca="1" ref="TB44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4" s="96" t="str">
        <f ca="1">LEFT(Geschlecht[[#This Row],[Geschlecht (Skala)]],1)&amp;TH$4</f>
        <v>2</v>
      </c>
      <c r="TD44" s="96" t="str">
        <f t="shared" ca="1" si="110"/>
        <v>Unihockey_2[Resultat]</v>
      </c>
      <c r="TE44" s="97" t="str" cm="1">
        <f t="array" aca="1" ref="TE44" ca="1">IF(INDIRECT(TB$1)="","",IF(INDIRECT(TB$2)=0,0,IF(OR(INDIRECT(TB$1)=$A$2,INDIRECT(TB$1)=$A$3),$A$3,IFERROR(INDEX(INDIRECT(TD44),MATCH(INDIRECT(TB$3),INDIRECT(TD44),TD$25)),IFERROR(IF(TD$25=-1,MAX(INDIRECT(TD44)),IF(TD$25=1,MIN(INDIRECT(TD44)))),"")))))</f>
        <v/>
      </c>
      <c r="TG44" s="91" t="str">
        <f t="shared" ca="1" si="111"/>
        <v>Unihockey_2[Note]</v>
      </c>
      <c r="TH44" s="97" t="str" cm="1">
        <f t="array" aca="1" ref="TH44" ca="1">IFERROR(INDEX(INDIRECT(TG44),MATCH(INDIRECT(TB$5),INDIRECT(TD44),0)),IF(INDIRECT(TB$5)=0,1,""))</f>
        <v/>
      </c>
      <c r="TI44" s="97"/>
      <c r="TJ44" s="307"/>
      <c r="TK44" s="96" t="str">
        <f>IFERROR(IFERROR(SUBSTITUTE(VolleyballResultat[[#This Row],[Eingabe]],".",",")*1,SUBSTITUTE(VolleyballResultat[[#This Row],[Eingabe]],",",".")*1),"")</f>
        <v/>
      </c>
      <c r="TL44" s="96" t="e">
        <f>INT(VolleyballResultat[[#This Row],[Resultat]])=VolleyballResultat[[#This Row],[Resultat]]</f>
        <v>#VALUE!</v>
      </c>
      <c r="TM44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4" s="96"/>
      <c r="TO44" s="91" t="str" cm="1">
        <f t="array" aca="1" ref="TO44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4" s="96" t="str">
        <f ca="1">LEFT(Geschlecht[[#This Row],[Geschlecht (Skala)]],1)&amp;TU$4</f>
        <v>2</v>
      </c>
      <c r="TQ44" s="96" t="str">
        <f t="shared" ca="1" si="112"/>
        <v>Volleyball_2[Resultat]</v>
      </c>
      <c r="TR44" s="97" t="str" cm="1">
        <f t="array" aca="1" ref="TR44" ca="1">IF(INDIRECT(TO$1)="","",IF(INDIRECT(TO$2)=0,0,IF(OR(INDIRECT(TO$1)=$A$2,INDIRECT(TO$1)=$A$3),$A$3,IFERROR(INDEX(INDIRECT(TQ44),MATCH(INDIRECT(TO$3),INDIRECT(TQ44),TQ$25)),IFERROR(IF(TQ$25=-1,MAX(INDIRECT(TQ44)),IF(TQ$25=1,MIN(INDIRECT(TQ44)))),"")))))</f>
        <v/>
      </c>
      <c r="TT44" s="91" t="str">
        <f t="shared" ca="1" si="113"/>
        <v>Volleyball_2[Note]</v>
      </c>
      <c r="TU44" s="97" t="str" cm="1">
        <f t="array" aca="1" ref="TU44" ca="1">IFERROR(INDEX(INDIRECT(TT44),MATCH(INDIRECT(TO$5),INDIRECT(TQ44),0)),IF(INDIRECT(TO$5)=0,1,""))</f>
        <v/>
      </c>
      <c r="TV44" s="97"/>
      <c r="TW44" s="309" t="str" cm="1">
        <f t="array" aca="1" ref="TW44" ca="1">IF(AND(ISNUMBER(INDIRECT(TW$3)),INDIRECT(TW$3)&gt;1),INDIRECT(TW$3),"")</f>
        <v/>
      </c>
      <c r="TX44" s="309" t="str" cm="1">
        <f t="array" aca="1" ref="TX44" ca="1">IF(AND(ISNUMBER(INDIRECT(TX$3)),INDIRECT(TX$3)&gt;1),INDIRECT(TX$3),"")</f>
        <v/>
      </c>
      <c r="TY44" s="309" t="str" cm="1">
        <f t="array" aca="1" ref="TY44" ca="1">IF(AND(ISNUMBER(INDIRECT(TY$3)),INDIRECT(TY$3)&gt;1),INDIRECT(TY$3),"")</f>
        <v/>
      </c>
      <c r="TZ44" s="309" t="str" cm="1">
        <f t="array" aca="1" ref="TZ44" ca="1">IF(AND(ISNUMBER(INDIRECT(TZ$3)),INDIRECT(TZ$3)&gt;1),INDIRECT(TZ$3),"")</f>
        <v/>
      </c>
      <c r="UA44" s="309" t="str" cm="1">
        <f t="array" aca="1" ref="UA44" ca="1">IF(AND(ISNUMBER(INDIRECT(UA$3)),INDIRECT(UA$3)&gt;1),INDIRECT(UA$3),"")</f>
        <v/>
      </c>
      <c r="UB44" s="309" t="str">
        <f t="shared" ca="1" si="114"/>
        <v>x</v>
      </c>
      <c r="UC44" s="309" t="str">
        <f t="shared" ca="1" si="115"/>
        <v>y</v>
      </c>
      <c r="UD44" s="309" t="str">
        <f t="shared" ca="1" si="116"/>
        <v>z</v>
      </c>
      <c r="UE44" s="309" t="str">
        <f t="shared" ca="1" si="215"/>
        <v>a</v>
      </c>
      <c r="UF44" s="309" t="str" cm="1">
        <f t="array" aca="1" ref="UF44" ca="1">IF(UE44="a","",INDEX($TW$23:$UA$23,,MATCH(UE44,$TW44:$UA44,0)))</f>
        <v/>
      </c>
      <c r="UG44" s="309" t="str" cm="1">
        <f t="array" aca="1" ref="UG44" ca="1">IF(OR(UF44="",UF44&gt;=$UA$23),"",INDEX(INDIRECT(ADDRESS(ROW($TW$23),UF44+1)):$UA$23,,MATCH(UE44,INDIRECT(ADDRESS(ROW(),UF44+1)):$UA44,0)))</f>
        <v/>
      </c>
      <c r="UH44" s="309" t="str" cm="1">
        <f t="array" aca="1" ref="UH44" ca="1">IF(OR(UG44="",UG44&gt;=$UA$23),"",INDEX(INDIRECT(ADDRESS(ROW($TW$23),UG44+1)):$UA$23,,MATCH(UE44,INDIRECT(ADDRESS(ROW(),UG44+1)):$UA44,0)))</f>
        <v/>
      </c>
      <c r="UI44" s="309" t="str">
        <f t="shared" ca="1" si="216"/>
        <v>c</v>
      </c>
      <c r="UJ44" s="309" t="str" cm="1">
        <f t="array" aca="1" ref="UJ44" ca="1">IF(OR(UI44="b",UI44="c"),"",INDEX($TW$23:$UA$23,,MATCH(UI44,$TW44:$UA44,0)))</f>
        <v/>
      </c>
      <c r="UK44" s="309" t="str" cm="1">
        <f t="array" aca="1" ref="UK44" ca="1">IF(OR(UJ44="",UJ44&gt;=$UA$23),"",INDEX(INDIRECT(ADDRESS(ROW($TW$23),UJ44+1)):$UA$23,,MATCH(UI44,INDIRECT(ADDRESS(ROW(),UJ44+1)):$UA44,0)))</f>
        <v/>
      </c>
      <c r="UL44" s="309" t="str">
        <f t="shared" ca="1" si="117"/>
        <v/>
      </c>
      <c r="UM44" s="309" t="str">
        <f t="shared" ca="1" si="217"/>
        <v>e</v>
      </c>
      <c r="UN44" s="309" t="str">
        <f t="shared" ca="1" si="118"/>
        <v/>
      </c>
      <c r="UO44" s="309" t="str" cm="1">
        <f t="array" aca="1" ref="UO44" ca="1">IF(OR(UM44="d",UM44="e"),"",INDEX($TW$23:$UA$23,,MATCH(UM44,$TW44:$UA44,0)))</f>
        <v/>
      </c>
      <c r="UP44" s="309" t="str" cm="1">
        <f t="array" aca="1" ref="UP44" ca="1">IF(OR(UO44="",UO44&gt;=$UA$23),"",INDEX(INDIRECT(ADDRESS(ROW($TW$23),UO44+1)):$UA$23,,MATCH(UM44,INDIRECT(ADDRESS(ROW(),UO44+1)):$UA44,0)))</f>
        <v/>
      </c>
      <c r="UQ44" s="309" t="str" cm="1">
        <f t="array" aca="1" ref="UQ44" ca="1">IFERROR(IF(ISNUMBER(UF44),UF44,IF(ISNUMBER(UJ44),UJ44,IF(ISNUMBER(UN44),UN44,INDEX($TW$23:$UA$23,,MATCH(UB44,$TW44:$UA44,0))))),"x1")</f>
        <v>x1</v>
      </c>
      <c r="UR44" s="309" t="str" cm="1">
        <f t="array" aca="1" ref="UR44" ca="1">IFERROR(IF(ISNUMBER(UG44),UG44,IF(ISNUMBER(UK44),UK44,IF(ISNUMBER(UO44),UO44,INDEX($TW$23:$UA$23,,MATCH(UC44,$TW44:$UA44,0))))),IF(UQ44="x1","x2","x1"))</f>
        <v>x2</v>
      </c>
      <c r="US44" s="309" t="str" cm="1">
        <f t="array" aca="1" ref="US44" ca="1">IFERROR(IF(ISNUMBER(UH44),UH44,IF(ISNUMBER(UL44),UL44,IF(ISNUMBER(UP44),UP44,INDEX($TW$23:$UA$23,,MATCH(UD44,$TW44:$UA44,0))))),IF(UR44="x1","x2",IF(UR44="x2","x3","x1")))</f>
        <v>x3</v>
      </c>
      <c r="UT44" s="97" t="str" cm="1">
        <f t="array" aca="1" ref="UT44" ca="1">IF(OR(INDIRECT(UT$3)=$A$2,INDIRECT(UT$3)=$A$3),COLUMN(),"")</f>
        <v/>
      </c>
      <c r="UU44" s="97" t="str" cm="1">
        <f t="array" aca="1" ref="UU44" ca="1">IF(OR(INDIRECT(UU$3)=$A$2,INDIRECT(UU$3)=$A$3),COLUMN(),"")</f>
        <v/>
      </c>
      <c r="UV44" s="97" t="str" cm="1">
        <f t="array" aca="1" ref="UV44" ca="1">IF(OR(INDIRECT(UV$3)=$A$2,INDIRECT(UV$3)=$A$3),COLUMN(),"")</f>
        <v/>
      </c>
      <c r="UW44" s="97" t="str" cm="1">
        <f t="array" aca="1" ref="UW44" ca="1">IF(OR(INDIRECT(UW$3)=$A$2,INDIRECT(UW$3)=$A$3),COLUMN(),"")</f>
        <v/>
      </c>
      <c r="UX44" s="97" t="str" cm="1">
        <f t="array" aca="1" ref="UX44" ca="1">IF(OR(INDIRECT(UX$3)=$A$2,INDIRECT(UX$3)=$A$3),COLUMN(),"")</f>
        <v/>
      </c>
      <c r="UY44" s="97" t="str" cm="1">
        <f t="array" aca="1" ref="UY44" ca="1">IF(AND(ISNUMBER(INDIRECT(UY$3)),INDIRECT(UY$3)=0),COLUMN(),"")</f>
        <v/>
      </c>
      <c r="UZ44" s="97" t="str" cm="1">
        <f t="array" aca="1" ref="UZ44" ca="1">IF(AND(ISNUMBER(INDIRECT(UZ$3)),INDIRECT(UZ$3)=0),COLUMN(),"")</f>
        <v/>
      </c>
      <c r="VA44" s="97" t="str" cm="1">
        <f t="array" aca="1" ref="VA44" ca="1">IF(AND(ISNUMBER(INDIRECT(VA$3)),INDIRECT(VA$3)=0),COLUMN(),"")</f>
        <v/>
      </c>
      <c r="VB44" s="97" t="str" cm="1">
        <f t="array" aca="1" ref="VB44" ca="1">IF(AND(ISNUMBER(INDIRECT(VB$3)),INDIRECT(VB$3)=0),COLUMN(),"")</f>
        <v/>
      </c>
      <c r="VC44" s="97" t="str" cm="1">
        <f t="array" aca="1" ref="VC44" ca="1">IF(AND(ISNUMBER(INDIRECT(VC$3)),INDIRECT(VC$3)=0),COLUMN(),"")</f>
        <v/>
      </c>
      <c r="VD44" s="97" t="str">
        <f t="shared" ca="1" si="218"/>
        <v>x1</v>
      </c>
      <c r="VE44" s="97" t="str">
        <f t="shared" ca="1" si="219"/>
        <v>x2</v>
      </c>
      <c r="VF44" s="97" t="str">
        <f t="shared" ca="1" si="220"/>
        <v>x3</v>
      </c>
      <c r="VG44" s="97" t="str">
        <f ca="1">IFERROR(IF(ISNUMBER(VD44),VD44,SMALL($UY44:$VC44,VALUE(RIGHT(VD44,1)))),Stammdaten!$CB$17)</f>
        <v>Erste Spielsportart nicht durchgeführt</v>
      </c>
      <c r="VH44" s="97" t="str">
        <f ca="1">IFERROR(IF(ISNUMBER(VE44),VE44,SMALL($UY44:$VC44,VALUE(RIGHT(VE44,1)))),Stammdaten!$CB$18)</f>
        <v>Zweite Spielsportart nicht durchgeführt</v>
      </c>
      <c r="VI44" s="97" t="str">
        <f ca="1">IFERROR(IF(ISNUMBER(VF44),VF44,SMALL($UY44:$VC44,VALUE(RIGHT(VF44,1)))),Stammdaten!$CB$19)</f>
        <v>Dritte Spielsportart nicht durchgeführt</v>
      </c>
      <c r="VJ44" s="91" t="str" cm="1">
        <f t="array" aca="1" ref="VJ44" ca="1">IFERROR(INDIRECT(ADDRESS(ROW($TW$5),VG44)),VG44)</f>
        <v>Erste Spielsportart nicht durchgeführt</v>
      </c>
      <c r="VK44" s="97" t="str">
        <f t="shared" ca="1" si="221"/>
        <v/>
      </c>
      <c r="VL44" s="97" t="str" cm="1">
        <f t="array" aca="1" ref="VL44" ca="1">IFERROR(IF(INDIRECT(INDEX(INDIRECT(VL$5),MATCH(VJ44,INDIRECT(VL$4),0)))&lt;&gt;"",INDEX(INDIRECT(VL$5),MATCH(VJ44,INDIRECT(VL$4),0)),INDEX(INDIRECT(VL$6),MATCH(VJ44,INDIRECT(VL$4),0))),"")</f>
        <v/>
      </c>
      <c r="VM44" s="97" t="str">
        <f t="shared" ca="1" si="222"/>
        <v/>
      </c>
      <c r="VN44" s="97" t="str" cm="1">
        <f t="array" aca="1" ref="VN44" ca="1">IFERROR(INDIRECT(VL44),"")</f>
        <v/>
      </c>
      <c r="VO44" s="97" t="str">
        <f ca="1">IF(VN44="","",IF(AND(VK44=Stammdaten!$BX$20,VM44="0",VN44=1),SUBSTITUTE(TEXT(VN44,VM44)&amp;" "&amp;LEFT(VK44,LEN(VK44)-1),".",","),SUBSTITUTE(TEXT(VN44,VM44)&amp;" "&amp;VK44,".",",")))</f>
        <v/>
      </c>
      <c r="VP44" s="97" t="str">
        <f t="shared" ca="1" si="119"/>
        <v/>
      </c>
      <c r="VQ44" s="97" t="str" cm="1">
        <f t="array" aca="1" ref="VQ44" ca="1">IFERROR(LEFT(INDIRECT(VP44),1)&amp;"]","")</f>
        <v/>
      </c>
      <c r="VR44" s="97" t="str">
        <f t="shared" ca="1" si="120"/>
        <v/>
      </c>
      <c r="VS44" s="97" t="str">
        <f ca="1">IFERROR(LEFT(VJ44,FIND(Stammdaten!$CA$4,VJ44,1)-2),IFERROR(LEFT(VJ44,FIND(Stammdaten!$CC$3,VJ44,1)-2),VJ44))</f>
        <v>Erste Spielsportart</v>
      </c>
      <c r="VT44" s="97" t="str">
        <f ca="1">IF(NOT(ISERROR(FIND(Stammdaten!$CA$4,VJ44,1))),Stammdaten!$CA$4,IF(VU44&lt;&gt;Stammdaten!$CC$3,VR44,""))</f>
        <v>nicht durchgeführt</v>
      </c>
      <c r="VU44" s="91" t="str">
        <f ca="1">IF(VN44=$A$2,Stammdaten!$CC$3,VO44)</f>
        <v/>
      </c>
      <c r="VV44" s="91" t="str" cm="1">
        <f t="array" aca="1" ref="VV44" ca="1">IFERROR(INDIRECT(ADDRESS(ROW($TW$5),VH44)),VH44)</f>
        <v>Zweite Spielsportart nicht durchgeführt</v>
      </c>
      <c r="VW44" s="97" t="str">
        <f t="shared" ca="1" si="223"/>
        <v/>
      </c>
      <c r="VX44" s="97" t="str" cm="1">
        <f t="array" aca="1" ref="VX44" ca="1">IFERROR(IF(INDIRECT(INDEX(INDIRECT(VX$5),MATCH(VV44,INDIRECT(VX$4),0)))&lt;&gt;"",INDEX(INDIRECT(VX$5),MATCH(VV44,INDIRECT(VX$4),0)),INDEX(INDIRECT(VX$6),MATCH(VV44,INDIRECT(VX$4),0))),"")</f>
        <v/>
      </c>
      <c r="VY44" s="97" t="str">
        <f t="shared" ca="1" si="224"/>
        <v/>
      </c>
      <c r="VZ44" s="97" t="str" cm="1">
        <f t="array" aca="1" ref="VZ44" ca="1">IFERROR(INDIRECT(VX44),"")</f>
        <v/>
      </c>
      <c r="WA44" s="97" t="str">
        <f ca="1">IF(VZ44="","",IF(AND(VW44=Stammdaten!$BX$20,VY44="0",VZ44=1),SUBSTITUTE(TEXT(VZ44,VY44)&amp;" "&amp;LEFT(VW44,LEN(VW44)-1),".",","),SUBSTITUTE(TEXT(VZ44,VY44)&amp;" "&amp;VW44,".",",")))</f>
        <v/>
      </c>
      <c r="WB44" s="97" t="str">
        <f t="shared" ca="1" si="121"/>
        <v/>
      </c>
      <c r="WC44" s="97" t="str" cm="1">
        <f t="array" aca="1" ref="WC44" ca="1">IFERROR(LEFT(INDIRECT(WB44),1)&amp;"]","")</f>
        <v/>
      </c>
      <c r="WD44" s="97" t="str">
        <f t="shared" ca="1" si="122"/>
        <v/>
      </c>
      <c r="WE44" s="97" t="str">
        <f ca="1">IFERROR(LEFT(VV44,FIND(Stammdaten!$CA$4,VV44,1)-2),IFERROR(LEFT(VV44,FIND(Stammdaten!$CC$3,VV44,1)-2),VV44))</f>
        <v>Zweite Spielsportart</v>
      </c>
      <c r="WF44" s="97" t="str">
        <f ca="1">IF(NOT(ISERROR(FIND(Stammdaten!$CA$4,VV44,1))),Stammdaten!$CA$4,IF(WG44&lt;&gt;Stammdaten!$CC$3,WD44,""))</f>
        <v>nicht durchgeführt</v>
      </c>
      <c r="WG44" s="91" t="str">
        <f ca="1">IF(VZ44=$A$2,Stammdaten!$CC$3,WA44)</f>
        <v/>
      </c>
      <c r="WH44" s="91" t="str" cm="1">
        <f t="array" aca="1" ref="WH44" ca="1">IFERROR(INDIRECT(ADDRESS(ROW($TW$5),VI44)),VI44)</f>
        <v>Dritte Spielsportart nicht durchgeführt</v>
      </c>
      <c r="WI44" s="97" t="str">
        <f t="shared" ca="1" si="225"/>
        <v/>
      </c>
      <c r="WJ44" s="97" t="str" cm="1">
        <f t="array" aca="1" ref="WJ44" ca="1">IFERROR(IF(INDIRECT(INDEX(INDIRECT(WJ$5),MATCH(WH44,INDIRECT(WJ$4),0)))&lt;&gt;"",INDEX(INDIRECT(WJ$5),MATCH(WH44,INDIRECT(WJ$4),0)),INDEX(INDIRECT(WJ$6),MATCH(WH44,INDIRECT(WJ$4),0))),"")</f>
        <v/>
      </c>
      <c r="WK44" s="97" t="str">
        <f t="shared" ca="1" si="226"/>
        <v/>
      </c>
      <c r="WL44" s="97" t="str" cm="1">
        <f t="array" aca="1" ref="WL44" ca="1">IFERROR(INDIRECT(WJ44),"")</f>
        <v/>
      </c>
      <c r="WM44" s="97" t="str">
        <f ca="1">IF(WL44="","",IF(AND(WI44=Stammdaten!$BX$20,WK44="0",WL44=1),SUBSTITUTE(TEXT(WL44,WK44)&amp;" "&amp;LEFT(WI44,LEN(WI44)-1),".",","),SUBSTITUTE(TEXT(WL44,WK44)&amp;" "&amp;WI44,".",",")))</f>
        <v/>
      </c>
      <c r="WN44" s="97" t="str">
        <f t="shared" ca="1" si="123"/>
        <v/>
      </c>
      <c r="WO44" s="97" t="str" cm="1">
        <f t="array" aca="1" ref="WO44" ca="1">IFERROR(LEFT(INDIRECT(WN44),1)&amp;"]","")</f>
        <v/>
      </c>
      <c r="WP44" s="97" t="str">
        <f t="shared" ca="1" si="124"/>
        <v/>
      </c>
      <c r="WQ44" s="97" t="str">
        <f ca="1">IFERROR(LEFT(WH44,FIND(Stammdaten!$CA$4,WH44,1)-2),IFERROR(LEFT(WH44,FIND(Stammdaten!$CC$3,WH44,1)-2),WH44))</f>
        <v>Dritte Spielsportart</v>
      </c>
      <c r="WR44" s="97" t="str">
        <f ca="1">IF(NOT(ISERROR(FIND(Stammdaten!$CA$4,WH44,1))),Stammdaten!$CA$4,IF(WS44&lt;&gt;Stammdaten!$CC$3,WP44,""))</f>
        <v>nicht durchgeführt</v>
      </c>
      <c r="WS44" s="91" t="str">
        <f ca="1">IF(WL44=$A$2,Stammdaten!$CC$3,WM44)</f>
        <v/>
      </c>
      <c r="WT44" s="97" t="str" cm="1">
        <f t="array" aca="1" ref="WT44" ca="1">INDIRECT(WT$5)</f>
        <v/>
      </c>
      <c r="WU44" s="97" t="str" cm="1">
        <f t="array" aca="1" ref="WU44" ca="1">INDIRECT(WU$5)</f>
        <v/>
      </c>
      <c r="WV44" s="97" t="str" cm="1">
        <f t="array" aca="1" ref="WV44" ca="1">INDIRECT(WV$5)</f>
        <v/>
      </c>
      <c r="WW44" s="97" t="str" cm="1">
        <f t="array" aca="1" ref="WW44" ca="1">INDIRECT(WW$5)</f>
        <v/>
      </c>
      <c r="WX44" s="97" t="str" cm="1">
        <f t="array" aca="1" ref="WX44" ca="1">INDIRECT(WX$5)</f>
        <v/>
      </c>
      <c r="WY44" s="97" cm="1">
        <f t="array" aca="1" ref="WY44" ca="1">IF(INDIRECT(WY$5)&lt;&gt;"",INDIRECT(WY$5),0)</f>
        <v>0</v>
      </c>
      <c r="WZ44" s="97" cm="1">
        <f t="array" aca="1" ref="WZ44" ca="1">IF(INDIRECT(WZ$5)&lt;&gt;"",INDIRECT(WZ$5),0)</f>
        <v>0</v>
      </c>
      <c r="XA44" s="97" cm="1">
        <f t="array" aca="1" ref="XA44" ca="1">IF(INDIRECT(XA$5)&lt;&gt;"",INDIRECT(XA$5),0)</f>
        <v>0</v>
      </c>
      <c r="XB44" s="97" cm="1">
        <f t="array" aca="1" ref="XB44" ca="1">IF(INDIRECT(XB$5)&lt;&gt;"",INDIRECT(XB$5),0)</f>
        <v>0</v>
      </c>
      <c r="XC44" s="97" cm="1">
        <f t="array" aca="1" ref="XC44" ca="1">IF(INDIRECT(XC$5)&lt;&gt;"",INDIRECT(XC$5),0)</f>
        <v>0</v>
      </c>
      <c r="XD44" s="97">
        <f t="shared" ca="1" si="125"/>
        <v>0</v>
      </c>
      <c r="XE44" s="97">
        <f t="shared" ca="1" si="125"/>
        <v>0</v>
      </c>
      <c r="XF44" s="97">
        <f t="shared" ca="1" si="125"/>
        <v>0</v>
      </c>
      <c r="XG44" s="97">
        <f t="shared" ca="1" si="227"/>
        <v>0</v>
      </c>
      <c r="XH44" s="108">
        <f t="shared" ca="1" si="228"/>
        <v>0</v>
      </c>
      <c r="XI44" s="108">
        <f t="shared" ca="1" si="126"/>
        <v>0</v>
      </c>
      <c r="XJ44" s="108" t="str">
        <f t="shared" ca="1" si="229"/>
        <v/>
      </c>
      <c r="XK44" s="97" t="str">
        <f ca="1">IF(XJ44="",Stammdaten!$BZ$1,IF(AND(XH44=0,XI44&gt;=XJ$25),$A$3,ROUND(SUM(XG44/XJ44)/XK$25,0)*XK$25))</f>
        <v>Zu wenige Werte</v>
      </c>
      <c r="XL44" s="108">
        <f t="shared" ca="1" si="230"/>
        <v>6</v>
      </c>
      <c r="XM44" s="97" t="str">
        <f t="shared" ca="1" si="231"/>
        <v/>
      </c>
      <c r="XN44" s="97" t="str">
        <f t="shared" ca="1" si="232"/>
        <v/>
      </c>
      <c r="XO44" s="97" t="str">
        <f t="shared" ca="1" si="233"/>
        <v/>
      </c>
      <c r="XP44" s="97" t="str">
        <f t="shared" ca="1" si="234"/>
        <v/>
      </c>
      <c r="XQ44" s="97" t="str">
        <f t="shared" ca="1" si="235"/>
        <v>g</v>
      </c>
      <c r="XR44" s="97" t="str">
        <f t="shared" ca="1" si="236"/>
        <v/>
      </c>
      <c r="XS44" s="97">
        <f t="shared" ca="1" si="237"/>
        <v>1</v>
      </c>
      <c r="XT44" s="97" t="str">
        <f ca="1">IF(OR(Geschlecht[[#This Row],[Geschlecht (Skala)]]="",NOT(ISNUMBER(XJ44))),"",XS44)</f>
        <v/>
      </c>
      <c r="XU44" s="97" t="str">
        <f t="shared" ca="1" si="238"/>
        <v/>
      </c>
      <c r="XV44" s="97"/>
      <c r="XW44" s="308" t="str">
        <f t="shared" ca="1" si="127"/>
        <v>Zu wenige Werte</v>
      </c>
      <c r="XX44" s="97"/>
      <c r="XY44" s="97" t="str">
        <f t="shared" ca="1" si="128"/>
        <v>Zu wenige Werte</v>
      </c>
      <c r="XZ44" s="97" t="str">
        <f t="shared" ca="1" si="129"/>
        <v>Zu wenige Werte</v>
      </c>
      <c r="YA44" s="97" t="str">
        <f t="shared" ca="1" si="130"/>
        <v>Zu wenige Werte</v>
      </c>
      <c r="YB44" s="97" t="str">
        <f t="shared" ca="1" si="131"/>
        <v>Zu wenige Werte</v>
      </c>
      <c r="YC44" s="97">
        <f t="shared" ca="1" si="239"/>
        <v>0</v>
      </c>
      <c r="YD44" s="108">
        <f t="shared" ca="1" si="240"/>
        <v>0</v>
      </c>
      <c r="YE44" s="108">
        <f t="shared" ca="1" si="241"/>
        <v>0</v>
      </c>
      <c r="YF44" s="108" t="str">
        <f t="shared" ca="1" si="242"/>
        <v/>
      </c>
      <c r="YG44" s="97" t="str">
        <f ca="1">IF(YF44="",Stammdaten!$BZ$1,IF(YE44=YF$25,$A$3,ROUND(SUM(YC44/YF44)/YG$25,0)*YG$25))</f>
        <v>Zu wenige Werte</v>
      </c>
      <c r="YH44" s="97" t="str">
        <f ca="1">IF(NOT(ISNUMBER(XY44)),"",IF(YH$11&lt;&gt;"2+",TEXT(XY44,YH$11)&amp;" / ",IF(RIGHT(XY44*100,2)="00",TEXT(XY44,"0"&amp;Stammdaten!$AZ$3&amp;"0")&amp;" / ",XY44&amp;" / ")))</f>
        <v/>
      </c>
      <c r="YI44" s="97" t="str">
        <f ca="1">IF(NOT(ISNUMBER(XZ44)),"",IF(YI$11&lt;&gt;"2+",TEXT(XZ44,YI$11)&amp;" / ",IF(RIGHT(XZ44*100,2)="00",TEXT(XZ44,"0"&amp;Stammdaten!$AZ$3&amp;"0")&amp;" / ",XZ44&amp;" / ")))</f>
        <v/>
      </c>
      <c r="YJ44" s="97" t="str">
        <f ca="1">IF(NOT(ISNUMBER(YA44)),"",IF(YJ$11&lt;&gt;"2+",TEXT(YA44,YJ$11)&amp;" / ",IF(RIGHT(YA44*100,2)="00",TEXT(YA44,"0"&amp;Stammdaten!$AZ$3&amp;"0")&amp;" / ",YA44&amp;" / ")))</f>
        <v/>
      </c>
      <c r="YK44" s="97" t="str">
        <f ca="1">IF(NOT(ISNUMBER(YB44)),"",IF(YK$11&lt;&gt;"2+",TEXT(YB44,YK$11)&amp;" / ",IF(RIGHT(YB44*100,2)="00",TEXT(YB44,"0"&amp;Stammdaten!$AZ$3&amp;"0")&amp;" / ",YB44&amp;" / ")))</f>
        <v/>
      </c>
      <c r="YL44" s="97" t="str">
        <f t="shared" ca="1" si="243"/>
        <v/>
      </c>
      <c r="YM44" s="97" t="str">
        <f>IF(Geschlecht[[#This Row],[Geschlecht (Skala)]]="","",IF(ISNUMBER(XY44),1,IF(XY44=$A$3,$A$2,"R")))</f>
        <v/>
      </c>
      <c r="YN44" s="97" t="str">
        <f>IF(Geschlecht[[#This Row],[Geschlecht (Skala)]]="","",IF(ISNUMBER(XZ44),1,IF(XZ44=$A$3,$A$2,"R")))</f>
        <v/>
      </c>
      <c r="YO44" s="97" t="str">
        <f>IF(Geschlecht[[#This Row],[Geschlecht (Skala)]]="","",IF(ISNUMBER(YA44),1,IF(YA44=$A$3,$A$2,"R")))</f>
        <v/>
      </c>
      <c r="YP44" s="97" t="str">
        <f>IF(Geschlecht[[#This Row],[Geschlecht (Skala)]]="","",IF(ISNUMBER(YB44),1,IF(YB44=$A$3,$A$2,"R")))</f>
        <v/>
      </c>
      <c r="YQ44" s="97" t="str">
        <f t="shared" si="244"/>
        <v>g</v>
      </c>
      <c r="YR44" s="97" t="str">
        <f t="shared" ca="1" si="245"/>
        <v/>
      </c>
      <c r="YS44" s="97">
        <f t="shared" ca="1" si="246"/>
        <v>1</v>
      </c>
      <c r="YT44" s="97" t="str">
        <f ca="1">IF(OR(Geschlecht[[#This Row],[Geschlecht (Skala)]]="",NOT(ISNUMBER(YG44))),"",YS44)</f>
        <v/>
      </c>
      <c r="YU44" s="97"/>
      <c r="YV44" s="311" t="str">
        <f t="shared" si="247"/>
        <v>D</v>
      </c>
      <c r="YW44" s="302"/>
      <c r="YX44" s="311" t="str">
        <f t="shared" si="248"/>
        <v>D</v>
      </c>
      <c r="YY44" s="302"/>
      <c r="YZ44" s="311" t="str">
        <f t="shared" si="249"/>
        <v>D</v>
      </c>
      <c r="ZA44" s="302"/>
      <c r="ZB44" s="311" t="str">
        <f t="shared" si="250"/>
        <v>D</v>
      </c>
      <c r="ZC44" s="97"/>
      <c r="ZD44" s="97" t="str">
        <f t="shared" ca="1" si="132"/>
        <v/>
      </c>
      <c r="ZE44" s="97"/>
      <c r="ZF44" s="308" t="str">
        <f t="shared" ca="1" si="251"/>
        <v>Zu wenige Werte</v>
      </c>
      <c r="ZH44" s="317" t="s">
        <v>134</v>
      </c>
      <c r="ZJ44" s="91" t="str" cm="1">
        <f t="array" ref="ZJ44">IF(OR(Geschlecht[[#This Row],[Geschlecht (Skala)]]="",ZH44="",ZH44=Stammdaten!$BZ$5),"",REPLACE(INDEX(StdDisziplinen[TabÜberschriftNote],ZH$3),FIND("X",INDEX(StdDisziplinen[TabÜberschriftNote],ZH$3),1),1,Geschlecht[[#This Row],[Geschlecht (Skala)]]))</f>
        <v/>
      </c>
      <c r="ZK44" s="314"/>
      <c r="ZM44" s="315"/>
      <c r="ZN44" s="97" t="str">
        <f>IFERROR(IFERROR(SUBSTITUTE(SchwimmenResultatMin[[#This Row],[Min]],".",",")*1,SUBSTITUTE(SchwimmenResultatMin[[#This Row],[Min]],",",".")*1),"")</f>
        <v/>
      </c>
      <c r="ZO44" s="91" t="e">
        <f>INT(SchwimmenResultatMin[[#This Row],[Resultat]])=SchwimmenResultatMin[[#This Row],[Resultat]]</f>
        <v>#VALUE!</v>
      </c>
      <c r="ZP44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4" s="315"/>
      <c r="ZS44" s="97" t="str">
        <f>IFERROR(IFERROR(SUBSTITUTE(SchwimmenResultatSek[[#This Row],[Sek]],".",",")*1,SUBSTITUTE(SchwimmenResultatSek[[#This Row],[Sek]],",",".")*1),"")</f>
        <v/>
      </c>
      <c r="ZT44" s="108" t="e">
        <f>INT(SchwimmenResultatSek[[#This Row],[Resultat]])=SchwimmenResultatSek[[#This Row],[Resultat]]</f>
        <v>#VALUE!</v>
      </c>
      <c r="ZU44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4" s="97" t="str" cm="1">
        <f t="array" aca="1" ref="ZW44" ca="1">IF(AND(INDIRECT(ZW$2)="",INDIRECT(ZX$2)=""),"",IFERROR((INDIRECT(ZW$2)*$ZW$25)+INDIRECT(ZX$2),""))</f>
        <v/>
      </c>
      <c r="ZX44" s="91" t="str">
        <f ca="1">REPLACE(ZW$4,ZX$6,1,Geschlecht[[#This Row],[Geschlecht (Skala)]])</f>
        <v>Schwimmen_[Resultat]</v>
      </c>
      <c r="ZY44" s="91" t="str">
        <f ca="1">IFERROR(REPLACE($ZX44,FIND(Stammdaten!$V$2,$ZX44,1),LEN(Stammdaten!$V$2),Stammdaten!$BZ$9),"")</f>
        <v>Schwimmen_[Anzeige]</v>
      </c>
      <c r="ZZ44" s="97" t="str" cm="1">
        <f t="array" aca="1" ref="ZZ44" ca="1">IF(INDIRECT(ZW$3)="","",IF(INDIRECT(ZW$3)=0,0,IF(OR(INDIRECT(ZW$1)=$A$2,INDIRECT(ZW$1)=$A$3),$A$3,IFERROR(INDEX(INDIRECT(ZX44),MATCH(INDIRECT(ZW$3),INDIRECT(ZX44),ZY$25)),IFERROR(IF(ZY$25=-1,MAX(INDIRECT(ZX44)),IF(ZY$25=1,MIN(INDIRECT(ZX44)))),"")))))</f>
        <v/>
      </c>
      <c r="AAA44" s="97" t="str" cm="1">
        <f t="array" aca="1" ref="AAA44" ca="1">IF(INDIRECT(ZX$5)=0,0,IF(OR(INDIRECT(ZW$1)=$A$2,INDIRECT(ZW$1)=$A$3),$A$3,IFERROR(INDEX(INDIRECT($ZY44),MATCH(INDIRECT(ZX$5),INDIRECT($ZX44),0)),"")))</f>
        <v/>
      </c>
      <c r="AAC44" s="91" t="str">
        <f ca="1">REPLACE(ZW$6,ZX$6,1,Geschlecht[[#This Row],[Geschlecht (Skala)]])</f>
        <v>Schwimmen_[Note]</v>
      </c>
      <c r="AAD44" s="97" t="str" cm="1">
        <f t="array" aca="1" ref="AAD44" ca="1">IFERROR(INDEX(INDIRECT(AAC44),MATCH(INDIRECT(ZX$5),INDIRECT(ZX44),0)),IF(INDIRECT(ZX$5)=0,1,""))</f>
        <v/>
      </c>
      <c r="AAE44" s="97"/>
      <c r="AAF44" s="96" t="str">
        <f>ZwölfMinLaufHalleResultat[[#This Row],[Resultat]]</f>
        <v/>
      </c>
      <c r="AAG44" s="96"/>
      <c r="AAH44" s="97" t="str">
        <f ca="1">ZwölfMinLaufHalleSkalawert[[#This Row],[Skala-Wert]]</f>
        <v/>
      </c>
      <c r="AAJ44" s="97" t="str">
        <f ca="1">ZwölfMinLaufHalleNote[[#This Row],[Note]]</f>
        <v/>
      </c>
      <c r="AAK44" s="97"/>
      <c r="AAL44" s="96" t="str">
        <f>ZwölfMinLaufimFreienResultat[[#This Row],[Resultat]]</f>
        <v/>
      </c>
      <c r="AAM44" s="96"/>
      <c r="AAN44" s="97" t="str">
        <f ca="1">ZwölfMinLaufimFreienSkalawert[[#This Row],[Skala-Wert]]</f>
        <v/>
      </c>
      <c r="AAP44" s="97" t="str">
        <f ca="1">ZwölfMinLaufimFreienNote[[#This Row],[Note]]</f>
        <v/>
      </c>
      <c r="AAQ44" s="97"/>
      <c r="AAR44" s="307"/>
      <c r="AAS44" s="96" t="str">
        <f>IFERROR(IFERROR(SUBSTITUTE(BeweglichkeitResultat[[#This Row],[Eingabe]],".",",")*1,SUBSTITUTE(BeweglichkeitResultat[[#This Row],[Eingabe]],",",".")*1),"")</f>
        <v/>
      </c>
      <c r="AAT44" s="96" t="e">
        <f>INT(BeweglichkeitResultat[[#This Row],[Resultat]])=BeweglichkeitResultat[[#This Row],[Resultat]]</f>
        <v>#VALUE!</v>
      </c>
      <c r="AAU44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4" s="96"/>
      <c r="AAW44" s="91" t="str" cm="1">
        <f t="array" aca="1" ref="AAW44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4" s="96" t="str">
        <f ca="1">REPLACE(AAW$4,AAX$6,1,Geschlecht[[#This Row],[Geschlecht (Skala)]])</f>
        <v>Beweglichkeit_[Resultat]</v>
      </c>
      <c r="AAY44" s="96" t="str" cm="1">
        <f t="array" aca="1" ref="AAY44" ca="1">IF(OR(INDIRECT(AAW$1)=$A$2,INDIRECT(AAW$1)=$A$3),$A$3,IF(OR(INDIRECT(AAW$2)="",AND(Geschlecht[[#This Row],[Geschlecht (Skala)]]=Stammdaten!$D$7,INDIRECT(AAW$2)&lt;0)),"",IFERROR(INDEX(INDIRECT(AAX44),MATCH(INDIRECT(AAW$3),INDIRECT(AAX44),AAX$25)),IFERROR(IF(AAX$25=-1,MAX(INDIRECT(AAX44)),IF(AAX$25=1,MIN(INDIRECT(AAX44)))),""))))</f>
        <v/>
      </c>
      <c r="AAZ44" s="97" t="str" cm="1">
        <f t="array" aca="1" ref="AAZ44" ca="1">IF(INDIRECT(AAW$1)="","",IF(INDIRECT(AAW$1)=0,0,IF(OR(INDIRECT(AAW$1)=$A$2,INDIRECT(AAW$1)=$A$3),$A$3,IFERROR(INDEX(INDIRECT(AAY44),MATCH(INDIRECT(AAW$3),INDIRECT(AAY44),AAY$27)),IFERROR(IF(AAY$27=-1,MAX(INDIRECT(AAY44)),IF(AAY$27=1,MIN(INDIRECT(AAY44)))),"")))))</f>
        <v/>
      </c>
      <c r="ABA44" s="96" t="str">
        <f ca="1">REPLACE(AAW$6,AAX$6,1,Geschlecht[[#This Row],[Geschlecht (Skala)]])</f>
        <v>Beweglichkeit_[Note]</v>
      </c>
      <c r="ABB44" s="91" t="str" cm="1">
        <f t="array" aca="1" ref="ABB44" ca="1">IFERROR(INDEX(INDIRECT(ABA44),MATCH(INDIRECT(AAW$5),INDIRECT(AAX44),0)),"")</f>
        <v/>
      </c>
      <c r="ABC44" s="97" t="str" cm="1">
        <f t="array" aca="1" ref="ABC44" ca="1">IFERROR(INDEX(INDIRECT(ABB44),MATCH(INDIRECT(AAW$5),INDIRECT(AAY44),0)),"")</f>
        <v/>
      </c>
      <c r="ABD44" s="307"/>
      <c r="ABE44" s="96" t="str">
        <f>IFERROR(IFERROR(SUBSTITUTE(RumpfkraftResultat[[#This Row],[Eingabe]],".",",")*1,SUBSTITUTE(RumpfkraftResultat[[#This Row],[Eingabe]],",",".")*1),"")</f>
        <v/>
      </c>
      <c r="ABF44" s="96" t="e">
        <f>INT(RumpfkraftResultat[[#This Row],[Resultat]])=RumpfkraftResultat[[#This Row],[Resultat]]</f>
        <v>#VALUE!</v>
      </c>
      <c r="ABG44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4" s="96"/>
      <c r="ABI44" s="91" t="str" cm="1">
        <f t="array" aca="1" ref="ABI44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4" s="96" t="str">
        <f ca="1">REPLACE(ABI$4,ABJ$6,1,Geschlecht[[#This Row],[Geschlecht (Skala)]])</f>
        <v>Rumpfkraft_[Resultat]</v>
      </c>
      <c r="ABK44" s="97" t="str" cm="1">
        <f t="array" aca="1" ref="ABK44" ca="1">IF(INDIRECT(ABI$1)="","",IF(OR(INDIRECT(ABI$1)=$A$2,INDIRECT(ABI$1)=$A$3),$A$3,IFERROR(INDEX(INDIRECT(ABJ44),MATCH(INDIRECT(ABI$3),INDIRECT(ABJ44),ABJ$25)),IFERROR(IF(ABJ$25=-1,MAX(INDIRECT(ABJ44)),IF(ABJ$25=1,MIN(INDIRECT(ABJ44)))),""))))</f>
        <v/>
      </c>
      <c r="ABM44" s="91" t="str">
        <f ca="1">REPLACE(ABI$6,ABJ$6,1,Geschlecht[[#This Row],[Geschlecht (Skala)]])</f>
        <v>Rumpfkraft_[Note]</v>
      </c>
      <c r="ABN44" s="97" t="str" cm="1">
        <f t="array" aca="1" ref="ABN44" ca="1">IFERROR(INDEX(INDIRECT(ABM44),MATCH(INDIRECT(ABI$5),INDIRECT(ABJ44),0)),"")</f>
        <v/>
      </c>
      <c r="ABO44" s="97"/>
      <c r="ABP44" s="96" t="str">
        <f>SechzigmLaufResultat[[#This Row],[Resultat]]</f>
        <v/>
      </c>
      <c r="ABQ44" s="96"/>
      <c r="ABR44" s="97" t="str">
        <f ca="1">SechzigmLaufSkalawert[[#This Row],[Skala-Wert]]</f>
        <v/>
      </c>
      <c r="ABT44" s="97" t="str">
        <f ca="1">SechzigmLaufNote[[#This Row],[Note]]</f>
        <v/>
      </c>
      <c r="ABU44" s="97"/>
      <c r="ABV44" s="96" t="str">
        <f>AchtzigmLaufResultat[[#This Row],[Resultat]]</f>
        <v/>
      </c>
      <c r="ABW44" s="96"/>
      <c r="ABX44" s="97" t="str">
        <f ca="1">AchtzigmLaufSkalawert[[#This Row],[Skala-Wert]]</f>
        <v/>
      </c>
      <c r="ABZ44" s="97" t="str">
        <f ca="1">AchtzigmLaufNote[[#This Row],[Note]]</f>
        <v/>
      </c>
      <c r="ACA44" s="97"/>
      <c r="ACB44" s="307"/>
      <c r="ACC44" s="96" t="str">
        <f>IFERROR(IFERROR(SUBSTITUTE(KonditionsparcoursResultat[[#This Row],[Eingabe]],".",",")*1,SUBSTITUTE(KonditionsparcoursResultat[[#This Row],[Eingabe]],",",".")*1),"")</f>
        <v/>
      </c>
      <c r="ACD44" s="96" t="e">
        <f>INT(KonditionsparcoursResultat[[#This Row],[Resultat]])=KonditionsparcoursResultat[[#This Row],[Resultat]]</f>
        <v>#VALUE!</v>
      </c>
      <c r="ACE44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4" s="96"/>
      <c r="ACG44" s="91" t="str" cm="1">
        <f t="array" aca="1" ref="ACG44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4" s="96" t="str">
        <f ca="1">LEFT(Geschlecht[[#This Row],[Geschlecht (Skala)]],1)&amp;ACM$4</f>
        <v>2</v>
      </c>
      <c r="ACI44" s="96" t="str">
        <f t="shared" ca="1" si="133"/>
        <v>Konditionsparcours_2[Resultat]</v>
      </c>
      <c r="ACJ44" s="97" t="str" cm="1">
        <f t="array" aca="1" ref="ACJ44" ca="1">IF(INDIRECT(ACG$1)="","",IF(OR(INDIRECT(ACG$1)=$A$2,INDIRECT(ACG$1)=$A$3),$A$3,IFERROR(INDEX(INDIRECT(ACI44),MATCH(INDIRECT(ACG$3),INDIRECT(ACI44),ACI$25)),IFERROR(IF(ACI$25=-1,MAX(INDIRECT(ACI44)),IF(ACI$25=1,MIN(INDIRECT(ACI44)))),""))))</f>
        <v/>
      </c>
      <c r="ACL44" s="91" t="str">
        <f t="shared" ca="1" si="134"/>
        <v>Konditionsparcours_2[Note]</v>
      </c>
      <c r="ACM44" s="97" t="str" cm="1">
        <f t="array" aca="1" ref="ACM44" ca="1">IFERROR(INDEX(INDIRECT(ACL44),MATCH(INDIRECT(ACG$5),INDIRECT(ACI44),0)),"")</f>
        <v/>
      </c>
      <c r="ACN44" s="102"/>
    </row>
    <row r="45" spans="1:768">
      <c r="A45" s="305">
        <v>18</v>
      </c>
      <c r="B45" s="133"/>
      <c r="C45" s="133"/>
      <c r="E45" s="306"/>
      <c r="G45" s="307"/>
      <c r="H45" s="96" t="str">
        <f>IFERROR(IFERROR(SUBSTITUTE(SechzigmLaufResultat[[#This Row],[Eingabe]],".",",")*1,SUBSTITUTE(SechzigmLaufResultat[[#This Row],[Eingabe]],",",".")*1),"")</f>
        <v/>
      </c>
      <c r="I45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5" s="96"/>
      <c r="K45" s="91" t="str" cm="1">
        <f t="array" aca="1" ref="K45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5" s="96" t="str">
        <f ca="1">LEFT(Geschlecht[[#This Row],[Geschlecht (Skala)]],1)&amp;Q$4</f>
        <v>2</v>
      </c>
      <c r="M45" s="96" t="str">
        <f t="shared" ca="1" si="37"/>
        <v>SechzigmLauf_2[Resultat]</v>
      </c>
      <c r="N45" s="97" t="str" cm="1">
        <f t="array" aca="1" ref="N45" ca="1">IF(INDIRECT(K$1)="","",IF(INDIRECT(K$2)=0,0,IF(OR(INDIRECT(K$1)=$A$2,INDIRECT(K$1)=$A$3),$A$3,IFERROR(INDEX(INDIRECT(M45),MATCH(INDIRECT(K$3),INDIRECT(M45),M$25)),IFERROR(IF(M$25=-1,MAX(INDIRECT(M45)),IF(M$25=1,MIN(INDIRECT(M45)))),"")))))</f>
        <v/>
      </c>
      <c r="P45" s="91" t="str">
        <f t="shared" ca="1" si="38"/>
        <v>SechzigmLauf_2[Note]</v>
      </c>
      <c r="Q45" s="97" t="str" cm="1">
        <f t="array" aca="1" ref="Q45" ca="1">IFERROR(INDEX(INDIRECT(P45),MATCH(INDIRECT(K$5),INDIRECT(M45),0)),IF(INDIRECT(K$5)=0,1,""))</f>
        <v/>
      </c>
      <c r="R45" s="97"/>
      <c r="S45" s="307"/>
      <c r="T45" s="96" t="str">
        <f>IFERROR(IFERROR(SUBSTITUTE(AchtzigmLaufResultat[[#This Row],[Eingabe]],".",",")*1,SUBSTITUTE(AchtzigmLaufResultat[[#This Row],[Eingabe]],",",".")*1),"")</f>
        <v/>
      </c>
      <c r="U45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5" s="96"/>
      <c r="W45" s="91" t="str" cm="1">
        <f t="array" aca="1" ref="W45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5" s="96" t="str">
        <f ca="1">LEFT(Geschlecht[[#This Row],[Geschlecht (Skala)]],1)&amp;AC$4</f>
        <v>2</v>
      </c>
      <c r="Y45" s="96" t="str">
        <f t="shared" ca="1" si="39"/>
        <v>AchtzigmLauf_2[Resultat]</v>
      </c>
      <c r="Z45" s="97" t="str" cm="1">
        <f t="array" aca="1" ref="Z45" ca="1">IF(INDIRECT(W$1)="","",IF(INDIRECT(W$2)=0,0,IF(OR(INDIRECT(W$1)=$A$2,INDIRECT(W$1)=$A$3),$A$3,IFERROR(INDEX(INDIRECT(Y45),MATCH(INDIRECT(W$3),INDIRECT(Y45),Y$25)),IFERROR(IF(Y$25=-1,MAX(INDIRECT(Y45)),IF(Y$25=1,MIN(INDIRECT(Y45)))),"")))))</f>
        <v/>
      </c>
      <c r="AB45" s="91" t="str">
        <f t="shared" ca="1" si="40"/>
        <v>AchtzigmLauf_2[Note]</v>
      </c>
      <c r="AC45" s="97" t="str" cm="1">
        <f t="array" aca="1" ref="AC45" ca="1">IFERROR(INDEX(INDIRECT(AB45),MATCH(INDIRECT(W$5),INDIRECT(Y45),0)),IF(INDIRECT(W$5)=0,1,""))</f>
        <v/>
      </c>
      <c r="AD45" s="97"/>
      <c r="AE45" s="307"/>
      <c r="AF45" s="96" t="str">
        <f>IFERROR(IFERROR(SUBSTITUTE(ZwölfMinLaufHalleResultat[[#This Row],[Eingabe]],".",",")*1,SUBSTITUTE(ZwölfMinLaufHalleResultat[[#This Row],[Eingabe]],",",".")*1),"")</f>
        <v/>
      </c>
      <c r="AG45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5" s="96"/>
      <c r="AI45" s="91" t="str" cm="1">
        <f t="array" aca="1" ref="AI45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5" s="96" t="str">
        <f ca="1">LEFT(Geschlecht[[#This Row],[Geschlecht (Skala)]],1)&amp;AO$4</f>
        <v>2</v>
      </c>
      <c r="AK45" s="96" t="str">
        <f t="shared" ca="1" si="41"/>
        <v>ZwölfMinLaufHalle_2[Resultat]</v>
      </c>
      <c r="AL45" s="97" t="str" cm="1">
        <f t="array" aca="1" ref="AL45" ca="1">IF(INDIRECT(AI$1)="","",IF(INDIRECT(AI$2)=0,0,IF(OR(INDIRECT(AI$1)=$A$2,INDIRECT(AI$1)=$A$3),$A$3,IFERROR(INDEX(INDIRECT(AK45),MATCH(INDIRECT(AI$3),INDIRECT(AK45),AK$25)),IFERROR(IF(AK$25=-1,MAX(INDIRECT(AK45)),IF(AK$25=1,MIN(INDIRECT(AK45)))),"")))))</f>
        <v/>
      </c>
      <c r="AN45" s="91" t="str">
        <f t="shared" ca="1" si="42"/>
        <v>ZwölfMinLaufHalle_2[Note]</v>
      </c>
      <c r="AO45" s="97" t="str" cm="1">
        <f t="array" aca="1" ref="AO45" ca="1">IFERROR(INDEX(INDIRECT(AN45),MATCH(INDIRECT(AI$5),INDIRECT(AK45),0)),IF(INDIRECT(AI$5)=0,1,""))</f>
        <v/>
      </c>
      <c r="AP45" s="97"/>
      <c r="AQ45" s="307"/>
      <c r="AR45" s="96" t="str">
        <f>IFERROR(IFERROR(SUBSTITUTE(ZwölfMinLaufimFreienResultat[[#This Row],[Eingabe]],".",",")*1,SUBSTITUTE(ZwölfMinLaufimFreienResultat[[#This Row],[Eingabe]],",",".")*1),"")</f>
        <v/>
      </c>
      <c r="AS45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5" s="96"/>
      <c r="AU45" s="91" t="str" cm="1">
        <f t="array" aca="1" ref="AU45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5" s="96" t="str">
        <f ca="1">LEFT(Geschlecht[[#This Row],[Geschlecht (Skala)]],1)&amp;BA$4</f>
        <v>2</v>
      </c>
      <c r="AW45" s="96" t="str">
        <f t="shared" ca="1" si="43"/>
        <v>ZwölfMinLaufimFreien_2[Resultat]</v>
      </c>
      <c r="AX45" s="97" t="str" cm="1">
        <f t="array" aca="1" ref="AX45" ca="1">IF(INDIRECT(AU$1)="","",IF(INDIRECT(AU$2)=0,0,IF(OR(INDIRECT(AU$1)=$A$2,INDIRECT(AU$1)=$A$3),$A$3,IFERROR(INDEX(INDIRECT(AW45),MATCH(INDIRECT(AU$3),INDIRECT(AW45),AW$25)),IFERROR(IF(AW$25=-1,MAX(INDIRECT(AW45)),IF(AW$25=1,MIN(INDIRECT(AW45)))),"")))))</f>
        <v/>
      </c>
      <c r="AZ45" s="91" t="str">
        <f t="shared" ca="1" si="44"/>
        <v>ZwölfMinLaufimFreien_2[Note]</v>
      </c>
      <c r="BA45" s="97" t="str" cm="1">
        <f t="array" aca="1" ref="BA45" ca="1">IFERROR(INDEX(INDIRECT(AZ45),MATCH(INDIRECT(AU$5),INDIRECT(AW45),0)),IF(INDIRECT(AU$5)=0,1,""))</f>
        <v/>
      </c>
      <c r="BB45" s="97"/>
      <c r="BC45" s="307"/>
      <c r="BD45" s="96" t="str">
        <f>IFERROR(IFERROR(SUBSTITUTE(HochsprungResultat[[#This Row],[Eingabe]],".",",")*1,SUBSTITUTE(HochsprungResultat[[#This Row],[Eingabe]],",",".")*1),"")</f>
        <v/>
      </c>
      <c r="BE45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5" s="96"/>
      <c r="BG45" s="91" t="str" cm="1">
        <f t="array" aca="1" ref="BG45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5" s="96" t="str">
        <f ca="1">LEFT(Geschlecht[[#This Row],[Geschlecht (Skala)]],1)&amp;BM$4</f>
        <v>2</v>
      </c>
      <c r="BI45" s="96" t="str">
        <f t="shared" ca="1" si="45"/>
        <v>Hochsprung_2[Resultat]</v>
      </c>
      <c r="BJ45" s="97" t="str" cm="1">
        <f t="array" aca="1" ref="BJ45" ca="1">IF(INDIRECT(BG$1)="","",IF(INDIRECT(BG$2)=0,0,IF(OR(INDIRECT(BG$1)=$A$2,INDIRECT(BG$1)=$A$3),$A$3,IFERROR(INDEX(INDIRECT(BI45),MATCH(INDIRECT(BG$3),INDIRECT(BI45),BI$25)),IFERROR(IF(BI$25=-1,MAX(INDIRECT(BI45)),IF(BI$25=1,MIN(INDIRECT(BI45)))),"")))))</f>
        <v/>
      </c>
      <c r="BL45" s="91" t="str">
        <f t="shared" ca="1" si="46"/>
        <v>Hochsprung_2[Note]</v>
      </c>
      <c r="BM45" s="97" t="str" cm="1">
        <f t="array" aca="1" ref="BM45" ca="1">IFERROR(INDEX(INDIRECT(BL45),MATCH(INDIRECT(BG$5),INDIRECT(BI45),0)),IF(INDIRECT(BG$5)=0,1,""))</f>
        <v/>
      </c>
      <c r="BN45" s="97"/>
      <c r="BO45" s="307"/>
      <c r="BP45" s="96" t="str">
        <f>IFERROR(IFERROR(SUBSTITUTE(WeitsprungResultat[[#This Row],[Eingabe]],".",",")*1,SUBSTITUTE(WeitsprungResultat[[#This Row],[Eingabe]],",",".")*1),"")</f>
        <v/>
      </c>
      <c r="BQ45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5" s="96"/>
      <c r="BS45" s="91" t="str" cm="1">
        <f t="array" aca="1" ref="BS45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5" s="96" t="str">
        <f ca="1">LEFT(Geschlecht[[#This Row],[Geschlecht (Skala)]],1)&amp;BY$4</f>
        <v>2</v>
      </c>
      <c r="BU45" s="96" t="str">
        <f t="shared" ca="1" si="47"/>
        <v>Weitsprung_2[Resultat]</v>
      </c>
      <c r="BV45" s="97" t="str" cm="1">
        <f t="array" aca="1" ref="BV45" ca="1">IF(INDIRECT(BS$1)="","",IF(INDIRECT(BS$2)=0,0,IF(OR(INDIRECT(BS$1)=$A$2,INDIRECT(BS$1)=$A$3),$A$3,IFERROR(INDEX(INDIRECT(BU45),MATCH(INDIRECT(BS$3),INDIRECT(BU45),BU$25)),IFERROR(IF(BU$25=-1,MAX(INDIRECT(BU45)),IF(BU$25=1,MIN(INDIRECT(BU45)))),"")))))</f>
        <v/>
      </c>
      <c r="BX45" s="91" t="str">
        <f t="shared" ca="1" si="48"/>
        <v>Weitsprung_2[Note]</v>
      </c>
      <c r="BY45" s="97" t="str" cm="1">
        <f t="array" aca="1" ref="BY45" ca="1">IFERROR(INDEX(INDIRECT(BX45),MATCH(INDIRECT(BS$5),INDIRECT(BU45),0)),IF(INDIRECT(BS$5)=0,1,""))</f>
        <v/>
      </c>
      <c r="BZ45" s="97"/>
      <c r="CA45" s="307"/>
      <c r="CB45" s="96" t="str">
        <f>IFERROR(IFERROR(SUBSTITUTE(BallwurfResultat[[#This Row],[Eingabe]],".",",")*1,SUBSTITUTE(BallwurfResultat[[#This Row],[Eingabe]],",",".")*1),"")</f>
        <v/>
      </c>
      <c r="CC45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5" s="96"/>
      <c r="CE45" s="91" t="str" cm="1">
        <f t="array" aca="1" ref="CE45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5" s="96" t="str">
        <f ca="1">LEFT(Geschlecht[[#This Row],[Geschlecht (Skala)]],1)&amp;CK$4</f>
        <v>2</v>
      </c>
      <c r="CG45" s="96" t="str">
        <f t="shared" ca="1" si="49"/>
        <v>Ballwurf_2[Resultat]</v>
      </c>
      <c r="CH45" s="97" t="str" cm="1">
        <f t="array" aca="1" ref="CH45" ca="1">IF(INDIRECT(CE$1)="","",IF(INDIRECT(CE$2)=0,0,IF(OR(INDIRECT(CE$1)=$A$2,INDIRECT(CE$1)=$A$3),$A$3,IFERROR(INDEX(INDIRECT(CG45),MATCH(INDIRECT(CE$3),INDIRECT(CG45),CG$25)),IFERROR(IF(CG$25=-1,MAX(INDIRECT(CG45)),IF(CG$25=1,MIN(INDIRECT(CG45)))),"")))))</f>
        <v/>
      </c>
      <c r="CJ45" s="91" t="str">
        <f t="shared" ca="1" si="50"/>
        <v>Ballwurf_2[Note]</v>
      </c>
      <c r="CK45" s="97" t="str" cm="1">
        <f t="array" aca="1" ref="CK45" ca="1">IFERROR(INDEX(INDIRECT(CJ45),MATCH(INDIRECT(CE$5),INDIRECT(CG45),0)),IF(INDIRECT(CE$5)=0,1,""))</f>
        <v/>
      </c>
      <c r="CL45" s="97"/>
      <c r="CM45" s="307"/>
      <c r="CN45" s="96" t="str">
        <f>IFERROR(IFERROR(SUBSTITUTE(KugelstossenResultat[[#This Row],[Eingabe]],".",",")*1,SUBSTITUTE(KugelstossenResultat[[#This Row],[Eingabe]],",",".")*1),"")</f>
        <v/>
      </c>
      <c r="CO45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5" s="96"/>
      <c r="CQ45" s="91" t="str" cm="1">
        <f t="array" aca="1" ref="CQ45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5" s="96" t="str">
        <f ca="1">LEFT(Geschlecht[[#This Row],[Geschlecht (Skala)]],1)&amp;CW$4</f>
        <v>2</v>
      </c>
      <c r="CS45" s="96" t="str">
        <f t="shared" ca="1" si="51"/>
        <v>Kugelstossen_2[Resultat]</v>
      </c>
      <c r="CT45" s="97" t="str" cm="1">
        <f t="array" aca="1" ref="CT45" ca="1">IF(INDIRECT(CQ$1)="","",IF(INDIRECT(CQ$2)=0,0,IF(OR(INDIRECT(CQ$1)=$A$2,INDIRECT(CQ$1)=$A$3),$A$3,IFERROR(INDEX(INDIRECT(CS45),MATCH(INDIRECT(CQ$3),INDIRECT(CS45),CS$25)),IFERROR(IF(CS$25=-1,MAX(INDIRECT(CS45)),IF(CS$25=1,MIN(INDIRECT(CS45)))),"")))))</f>
        <v/>
      </c>
      <c r="CV45" s="91" t="str">
        <f t="shared" ca="1" si="52"/>
        <v>Kugelstossen_2[Note]</v>
      </c>
      <c r="CW45" s="97" t="str" cm="1">
        <f t="array" aca="1" ref="CW45" ca="1">IFERROR(INDEX(INDIRECT(CV45),MATCH(INDIRECT(CQ$5),INDIRECT(CS45),0)),IF(INDIRECT(CQ$5)=0,1,""))</f>
        <v/>
      </c>
      <c r="CX45" s="97"/>
      <c r="CY45" s="307"/>
      <c r="CZ45" s="96" t="str">
        <f>IFERROR(IFERROR(SUBSTITUTE(SpeerwurfResultat[[#This Row],[Eingabe]],".",",")*1,SUBSTITUTE(SpeerwurfResultat[[#This Row],[Eingabe]],",",".")*1),"")</f>
        <v/>
      </c>
      <c r="DA45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5" s="96"/>
      <c r="DC45" s="91" t="str" cm="1">
        <f t="array" aca="1" ref="DC45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5" s="96" t="str">
        <f ca="1">LEFT(Geschlecht[[#This Row],[Geschlecht (Skala)]],1)&amp;DI$4</f>
        <v>2</v>
      </c>
      <c r="DE45" s="96" t="str">
        <f t="shared" ca="1" si="53"/>
        <v>Speerwurf_2[Resultat]</v>
      </c>
      <c r="DF45" s="97" t="str" cm="1">
        <f t="array" aca="1" ref="DF45" ca="1">IF(INDIRECT(DC$1)="","",IF(INDIRECT(DC$2)=0,0,IF(OR(INDIRECT(DC$1)=$A$2,INDIRECT(DC$1)=$A$3),$A$3,IFERROR(INDEX(INDIRECT(DE45),MATCH(INDIRECT(DC$3),INDIRECT(DE45),DE$25)),IFERROR(IF(DE$25=-1,MAX(INDIRECT(DE45)),IF(DE$25=1,MIN(INDIRECT(DE45)))),"")))))</f>
        <v/>
      </c>
      <c r="DH45" s="91" t="str">
        <f t="shared" ca="1" si="54"/>
        <v>Speerwurf_2[Note]</v>
      </c>
      <c r="DI45" s="97" t="str" cm="1">
        <f t="array" aca="1" ref="DI45" ca="1">IFERROR(INDEX(INDIRECT(DH45),MATCH(INDIRECT(DC$5),INDIRECT(DE45),0)),IF(INDIRECT(DC$5)=0,1,""))</f>
        <v/>
      </c>
      <c r="DJ45" s="97"/>
      <c r="DK45" s="97" t="str" cm="1">
        <f t="array" aca="1" ref="DK45" ca="1">INDIRECT(DK$5)</f>
        <v/>
      </c>
      <c r="DL45" s="97" t="str" cm="1">
        <f t="array" aca="1" ref="DL45" ca="1">INDIRECT(DL$5)</f>
        <v/>
      </c>
      <c r="DM45" s="97" t="str" cm="1">
        <f t="array" aca="1" ref="DM45" ca="1">INDIRECT(DM$5)</f>
        <v/>
      </c>
      <c r="DN45" s="97" t="str" cm="1">
        <f t="array" aca="1" ref="DN45" ca="1">INDIRECT(DN$5)</f>
        <v/>
      </c>
      <c r="DO45" s="97" t="str">
        <f t="shared" ca="1" si="135"/>
        <v>Sprintdisziplinen nicht durchgeführt</v>
      </c>
      <c r="DP45" s="97" t="str">
        <f t="shared" ca="1" si="136"/>
        <v/>
      </c>
      <c r="DQ45" s="108">
        <f t="shared" ca="1" si="137"/>
        <v>0</v>
      </c>
      <c r="DR45" s="108">
        <f t="shared" ca="1" si="138"/>
        <v>0</v>
      </c>
      <c r="DS45" s="108" t="str">
        <f t="shared" ca="1" si="139"/>
        <v/>
      </c>
      <c r="DT45" s="97" t="str">
        <f t="shared" ca="1" si="140"/>
        <v>Sprintdisziplinen nicht durchgeführt</v>
      </c>
      <c r="DU45" s="97" t="str">
        <f t="shared" ca="1" si="141"/>
        <v/>
      </c>
      <c r="DV45" s="97" t="str" cm="1">
        <f t="array" aca="1" ref="DV45" ca="1">IFERROR(IF(INDIRECT(INDEX(INDIRECT(DV$5),MATCH(DT45,INDIRECT(DV$4),0)))&lt;&gt;"",INDEX(INDIRECT(DV$5),MATCH(DT45,INDIRECT(DV$4),0)),INDEX(INDIRECT(DV$6),MATCH(DT45,INDIRECT(DV$4),0))),"")</f>
        <v/>
      </c>
      <c r="DW45" s="97" t="str">
        <f t="shared" ca="1" si="142"/>
        <v/>
      </c>
      <c r="DX45" s="97" t="str" cm="1">
        <f t="array" aca="1" ref="DX45" ca="1">IFERROR(INDIRECT(DV45),IF(NOT(ISERROR(FIND(Stammdaten!$CC$3,DT45,1))),$A$2,""))</f>
        <v/>
      </c>
      <c r="DY45" s="97" t="str">
        <f ca="1">IF(DX45="","",IF(AND(DU45=Stammdaten!$BX$20,DW45="0",DX45=1),SUBSTITUTE(TEXT(DX45,DW45)&amp;" "&amp;LEFT(DU45,LEN(DU45)-1),".",","),SUBSTITUTE(TEXT(DX45,DW45)&amp;" "&amp;DU45,".",",")))</f>
        <v/>
      </c>
      <c r="DZ45" s="97" t="str">
        <f t="shared" ca="1" si="55"/>
        <v/>
      </c>
      <c r="EA45" s="97" t="str" cm="1">
        <f t="array" aca="1" ref="EA45" ca="1">IFERROR(LEFT(INDIRECT(DZ45),1)&amp;"]","")</f>
        <v/>
      </c>
      <c r="EB45" s="97" t="str">
        <f t="shared" ca="1" si="56"/>
        <v/>
      </c>
      <c r="EC45" s="97" t="str">
        <f ca="1">IFERROR(LEFT(DT45,FIND(Stammdaten!$CA$4,DT45,1)-2),IFERROR(LEFT(DT45,FIND(Stammdaten!$CC$3,DT45,1)-2),DT45))</f>
        <v>Sprintdisziplinen</v>
      </c>
      <c r="ED45" s="97" t="str">
        <f ca="1">IF(NOT(ISERROR(FIND(Stammdaten!$CA$4,DT45,1))),Stammdaten!$CA$4,IF(EE45&lt;&gt;Stammdaten!$CC$3,EB45,""))</f>
        <v>nicht durchgeführt</v>
      </c>
      <c r="EE45" s="91" t="str">
        <f ca="1">IF(DX45=$A$2,Stammdaten!$CC$3,DY45)</f>
        <v/>
      </c>
      <c r="EF45" s="97" t="str" cm="1">
        <f t="array" aca="1" ref="EF45" ca="1">INDIRECT(EF$5)</f>
        <v/>
      </c>
      <c r="EG45" s="97" t="str" cm="1">
        <f t="array" aca="1" ref="EG45" ca="1">INDIRECT(EG$5)</f>
        <v/>
      </c>
      <c r="EH45" s="97" t="str" cm="1">
        <f t="array" aca="1" ref="EH45" ca="1">INDIRECT(EH$5)</f>
        <v/>
      </c>
      <c r="EI45" s="97" t="str" cm="1">
        <f t="array" aca="1" ref="EI45" ca="1">INDIRECT(EI$5)</f>
        <v/>
      </c>
      <c r="EJ45" s="97" t="str">
        <f t="shared" ca="1" si="143"/>
        <v>Ausdauerdisziplinen nicht durchgeführt</v>
      </c>
      <c r="EK45" s="97" t="str">
        <f t="shared" ca="1" si="144"/>
        <v/>
      </c>
      <c r="EL45" s="108">
        <f t="shared" ca="1" si="145"/>
        <v>0</v>
      </c>
      <c r="EM45" s="108">
        <f t="shared" ca="1" si="146"/>
        <v>0</v>
      </c>
      <c r="EN45" s="108" t="str">
        <f t="shared" ca="1" si="147"/>
        <v/>
      </c>
      <c r="EO45" s="97" t="str">
        <f t="shared" ca="1" si="148"/>
        <v>Ausdauerdisziplinen nicht durchgeführt</v>
      </c>
      <c r="EP45" s="97" t="str">
        <f t="shared" ca="1" si="149"/>
        <v/>
      </c>
      <c r="EQ45" s="97" t="str" cm="1">
        <f t="array" aca="1" ref="EQ45" ca="1">IFERROR(IF(INDIRECT(INDEX(INDIRECT(EQ$5),MATCH(EO45,INDIRECT(EQ$4),0)))&lt;&gt;"",INDEX(INDIRECT(EQ$5),MATCH(EO45,INDIRECT(EQ$4),0)),INDEX(INDIRECT(EQ$6),MATCH(EO45,INDIRECT(EQ$4),0))),"")</f>
        <v/>
      </c>
      <c r="ER45" s="97" t="str">
        <f t="shared" ca="1" si="150"/>
        <v/>
      </c>
      <c r="ES45" s="97" t="str" cm="1">
        <f t="array" aca="1" ref="ES45" ca="1">IFERROR(INDIRECT(EQ45),IF(NOT(ISERROR(FIND(Stammdaten!$CC$3,EO45,1))),$A$2,""))</f>
        <v/>
      </c>
      <c r="ET45" s="97" t="str">
        <f ca="1">IF(ES45="","",IF(AND(EP45=Stammdaten!$BX$20,ER45="0",ES45=1),SUBSTITUTE(TEXT(ES45,ER45)&amp;" "&amp;LEFT(EP45,LEN(EP45)-1),".",","),SUBSTITUTE(TEXT(ES45,ER45)&amp;" "&amp;EP45,".",",")))</f>
        <v/>
      </c>
      <c r="EU45" s="97" t="str">
        <f t="shared" ca="1" si="57"/>
        <v/>
      </c>
      <c r="EV45" s="97" t="str" cm="1">
        <f t="array" aca="1" ref="EV45" ca="1">IFERROR(LEFT(INDIRECT(EU45),1)&amp;"]","")</f>
        <v/>
      </c>
      <c r="EW45" s="97" t="str">
        <f t="shared" ca="1" si="58"/>
        <v/>
      </c>
      <c r="EX45" s="97" t="str">
        <f ca="1">IFERROR(LEFT(EO45,FIND(Stammdaten!$CA$4,EO45,1)-2),IFERROR(LEFT(EO45,FIND(Stammdaten!$CC$3,EO45,1)-2),EO45))</f>
        <v>Ausdauerdisziplinen</v>
      </c>
      <c r="EY45" s="97" t="str">
        <f ca="1">IF(NOT(ISERROR(FIND(Stammdaten!$CA$4,EO45,1))),Stammdaten!$CA$4,IF(EZ45&lt;&gt;Stammdaten!$CC$3,EW45,""))</f>
        <v>nicht durchgeführt</v>
      </c>
      <c r="EZ45" s="91" t="str">
        <f ca="1">IF(ES45=$A$2,Stammdaten!$CC$3,ET45)</f>
        <v/>
      </c>
      <c r="FA45" s="97" t="str" cm="1">
        <f t="array" aca="1" ref="FA45" ca="1">INDIRECT(FA$5)</f>
        <v/>
      </c>
      <c r="FB45" s="97" t="str" cm="1">
        <f t="array" aca="1" ref="FB45" ca="1">INDIRECT(FB$5)</f>
        <v/>
      </c>
      <c r="FC45" s="97" t="str" cm="1">
        <f t="array" aca="1" ref="FC45" ca="1">INDIRECT(FC$5)</f>
        <v/>
      </c>
      <c r="FD45" s="97" t="str" cm="1">
        <f t="array" aca="1" ref="FD45" ca="1">INDIRECT(FD$5)</f>
        <v/>
      </c>
      <c r="FE45" s="97" t="str">
        <f t="shared" ca="1" si="151"/>
        <v>Sprungdisziplinen nicht durchgeführt</v>
      </c>
      <c r="FF45" s="97" t="str">
        <f t="shared" ca="1" si="152"/>
        <v/>
      </c>
      <c r="FG45" s="108">
        <f t="shared" ca="1" si="153"/>
        <v>0</v>
      </c>
      <c r="FH45" s="108">
        <f t="shared" ca="1" si="154"/>
        <v>0</v>
      </c>
      <c r="FI45" s="108" t="str">
        <f t="shared" ca="1" si="155"/>
        <v/>
      </c>
      <c r="FJ45" s="97" t="str">
        <f t="shared" ca="1" si="156"/>
        <v>Sprungdisziplinen nicht durchgeführt</v>
      </c>
      <c r="FK45" s="97" t="str">
        <f t="shared" ca="1" si="157"/>
        <v/>
      </c>
      <c r="FL45" s="97" t="str" cm="1">
        <f t="array" aca="1" ref="FL45" ca="1">IFERROR(IF(INDIRECT(INDEX(INDIRECT(FL$5),MATCH(FJ45,INDIRECT(FL$4),0)))&lt;&gt;"",INDEX(INDIRECT(FL$5),MATCH(FJ45,INDIRECT(FL$4),0)),INDEX(INDIRECT(FL$6),MATCH(FJ45,INDIRECT(FL$4),0))),"")</f>
        <v/>
      </c>
      <c r="FM45" s="97" t="str">
        <f t="shared" ca="1" si="158"/>
        <v/>
      </c>
      <c r="FN45" s="97" t="str" cm="1">
        <f t="array" aca="1" ref="FN45" ca="1">IFERROR(INDIRECT(FL45),IF(NOT(ISERROR(FIND(Stammdaten!$CC$3,FJ45,1))),$A$2,""))</f>
        <v/>
      </c>
      <c r="FO45" s="97" t="str">
        <f ca="1">IF(FN45="","",IF(AND(FK45=Stammdaten!$BX$20,FM45="0",FN45=1),SUBSTITUTE(TEXT(FN45,FM45)&amp;" "&amp;LEFT(FK45,LEN(FK45)-1),".",","),SUBSTITUTE(TEXT(FN45,FM45)&amp;" "&amp;FK45,".",",")))</f>
        <v/>
      </c>
      <c r="FP45" s="97" t="str">
        <f t="shared" ca="1" si="59"/>
        <v/>
      </c>
      <c r="FQ45" s="97" t="str" cm="1">
        <f t="array" aca="1" ref="FQ45" ca="1">IFERROR(LEFT(INDIRECT(FP45),1)&amp;"]","")</f>
        <v/>
      </c>
      <c r="FR45" s="97" t="str">
        <f t="shared" ca="1" si="60"/>
        <v/>
      </c>
      <c r="FS45" s="97" t="str">
        <f ca="1">IFERROR(LEFT(FJ45,FIND(Stammdaten!$CA$4,FJ45,1)-2),IFERROR(LEFT(FJ45,FIND(Stammdaten!$CC$3,FJ45,1)-2),FJ45))</f>
        <v>Sprungdisziplinen</v>
      </c>
      <c r="FT45" s="97" t="str">
        <f ca="1">IF(NOT(ISERROR(FIND(Stammdaten!$CA$4,FJ45,1))),Stammdaten!$CA$4,IF(FU45&lt;&gt;Stammdaten!$CC$3,FR45,""))</f>
        <v>nicht durchgeführt</v>
      </c>
      <c r="FU45" s="91" t="str">
        <f ca="1">IF(FN45=$A$2,Stammdaten!$CC$3,FO45)</f>
        <v/>
      </c>
      <c r="FV45" s="97" t="str" cm="1">
        <f t="array" aca="1" ref="FV45" ca="1">INDIRECT(FV$5)</f>
        <v/>
      </c>
      <c r="FW45" s="97" t="str" cm="1">
        <f t="array" aca="1" ref="FW45" ca="1">INDIRECT(FW$5)</f>
        <v/>
      </c>
      <c r="FX45" s="97" t="str" cm="1">
        <f t="array" aca="1" ref="FX45" ca="1">INDIRECT(FX$5)</f>
        <v/>
      </c>
      <c r="FY45" s="97" t="str" cm="1">
        <f t="array" aca="1" ref="FY45" ca="1">INDIRECT(FY$5)</f>
        <v/>
      </c>
      <c r="FZ45" s="97" t="str" cm="1">
        <f t="array" aca="1" ref="FZ45" ca="1">INDIRECT(FZ$5)</f>
        <v/>
      </c>
      <c r="GA45" s="97" t="str" cm="1">
        <f t="array" aca="1" ref="GA45" ca="1">INDIRECT(GA$5)</f>
        <v/>
      </c>
      <c r="GB45" s="97" t="str">
        <f t="shared" ca="1" si="159"/>
        <v>Wurfdisziplinen nicht durchgeführt</v>
      </c>
      <c r="GC45" s="97" t="str">
        <f t="shared" ca="1" si="160"/>
        <v/>
      </c>
      <c r="GD45" s="108">
        <f t="shared" ca="1" si="161"/>
        <v>0</v>
      </c>
      <c r="GE45" s="108">
        <f t="shared" ca="1" si="162"/>
        <v>0</v>
      </c>
      <c r="GF45" s="108" t="str">
        <f t="shared" ca="1" si="163"/>
        <v/>
      </c>
      <c r="GG45" s="97" t="str">
        <f t="shared" ca="1" si="164"/>
        <v>Wurfdisziplinen nicht durchgeführt</v>
      </c>
      <c r="GH45" s="97" t="str">
        <f t="shared" ca="1" si="165"/>
        <v/>
      </c>
      <c r="GI45" s="97" t="str" cm="1">
        <f t="array" aca="1" ref="GI45" ca="1">IFERROR(IF(INDIRECT(INDEX(INDIRECT(GI$5),MATCH(GG45,INDIRECT(GI$4),0)))&lt;&gt;"",INDEX(INDIRECT(GI$5),MATCH(GG45,INDIRECT(GI$4),0)),INDEX(INDIRECT(GI$6),MATCH(GG45,INDIRECT(GI$4),0))),"")</f>
        <v/>
      </c>
      <c r="GJ45" s="97" t="str">
        <f t="shared" ca="1" si="166"/>
        <v/>
      </c>
      <c r="GK45" s="97" t="str" cm="1">
        <f t="array" aca="1" ref="GK45" ca="1">IFERROR(INDIRECT(GI45),IF(NOT(ISERROR(FIND(Stammdaten!$CC$3,GG45,1))),$A$2,""))</f>
        <v/>
      </c>
      <c r="GL45" s="97" t="str">
        <f ca="1">IF(GK45="","",IF(AND(GH45=Stammdaten!$BX$20,GJ45="0",GK45=1),SUBSTITUTE(TEXT(GK45,GJ45)&amp;" "&amp;LEFT(GH45,LEN(GH45)-1),".",","),SUBSTITUTE(TEXT(GK45,GJ45)&amp;" "&amp;GH45,".",",")))</f>
        <v/>
      </c>
      <c r="GM45" s="97" t="str">
        <f t="shared" ca="1" si="61"/>
        <v/>
      </c>
      <c r="GN45" s="97" t="str" cm="1">
        <f t="array" aca="1" ref="GN45" ca="1">IFERROR(LEFT(INDIRECT(GM45),1)&amp;"]","")</f>
        <v/>
      </c>
      <c r="GO45" s="97" t="str">
        <f t="shared" ca="1" si="62"/>
        <v/>
      </c>
      <c r="GP45" s="97" t="str">
        <f ca="1">IFERROR(LEFT(GG45,FIND(Stammdaten!$CA$4,GG45,1)-2),IFERROR(LEFT(GG45,FIND(Stammdaten!$CC$3,GG45,1)-2),GG45))</f>
        <v>Wurfdisziplinen</v>
      </c>
      <c r="GQ45" s="97" t="str">
        <f ca="1">IF(NOT(ISERROR(FIND(Stammdaten!$CA$4,GG45,1))),Stammdaten!$CA$4,IF(GR45&lt;&gt;Stammdaten!$CC$3,GO45,""))</f>
        <v>nicht durchgeführt</v>
      </c>
      <c r="GR45" s="91" t="str">
        <f ca="1">IF(GK45=$A$2,Stammdaten!$CC$3,GL45)</f>
        <v/>
      </c>
      <c r="GS45" s="97" t="str">
        <f t="shared" ca="1" si="63"/>
        <v/>
      </c>
      <c r="GT45" s="97" t="str">
        <f t="shared" ca="1" si="64"/>
        <v/>
      </c>
      <c r="GU45" s="97" t="str">
        <f t="shared" ca="1" si="65"/>
        <v/>
      </c>
      <c r="GV45" s="97" t="str">
        <f t="shared" ca="1" si="66"/>
        <v/>
      </c>
      <c r="GW45" s="97">
        <f t="shared" ca="1" si="167"/>
        <v>0</v>
      </c>
      <c r="GX45" s="108">
        <f t="shared" ca="1" si="168"/>
        <v>0</v>
      </c>
      <c r="GY45" s="108">
        <f t="shared" ca="1" si="169"/>
        <v>0</v>
      </c>
      <c r="GZ45" s="108" t="str">
        <f t="shared" ca="1" si="170"/>
        <v/>
      </c>
      <c r="HA45" s="97" t="str">
        <f ca="1">IF(GZ45="",Stammdaten!$BZ$1,IF(AND(GX45=0,GY45&gt;=GZ$25),$A$3,ROUND(SUM(GW45/GZ45)/HA$25,0)*HA$25))</f>
        <v>Zu wenige Werte</v>
      </c>
      <c r="HB45" s="108">
        <f t="shared" ca="1" si="171"/>
        <v>6</v>
      </c>
      <c r="HC45" s="97" t="str">
        <f t="shared" ca="1" si="172"/>
        <v/>
      </c>
      <c r="HD45" s="97" t="str">
        <f t="shared" ca="1" si="173"/>
        <v/>
      </c>
      <c r="HE45" s="97" t="str">
        <f t="shared" ca="1" si="174"/>
        <v/>
      </c>
      <c r="HF45" s="97" t="str">
        <f t="shared" ca="1" si="175"/>
        <v/>
      </c>
      <c r="HG45" s="97" t="str">
        <f t="shared" ca="1" si="176"/>
        <v/>
      </c>
      <c r="HH45" s="97" t="str">
        <f t="shared" ca="1" si="177"/>
        <v>g</v>
      </c>
      <c r="HI45" s="97" t="str">
        <f t="shared" ca="1" si="178"/>
        <v/>
      </c>
      <c r="HJ45" s="97">
        <f t="shared" ca="1" si="179"/>
        <v>1</v>
      </c>
      <c r="HK45" s="97" t="str">
        <f ca="1">IF(OR(Geschlecht[[#This Row],[Geschlecht (Skala)]]="",NOT(ISNUMBER(GZ45))),"",HJ45)</f>
        <v/>
      </c>
      <c r="HL45" s="97" t="str">
        <f t="shared" ca="1" si="180"/>
        <v/>
      </c>
      <c r="HM45" s="97"/>
      <c r="HN45" s="308" t="str">
        <f t="shared" ca="1" si="68"/>
        <v>Zu wenige Werte</v>
      </c>
      <c r="HO45" s="97"/>
      <c r="HP45" s="307"/>
      <c r="HQ45" s="96" t="str">
        <f>IFERROR(IFERROR(SUBSTITUTE(ReckResultat[[#This Row],[Eingabe]],".",",")*1,SUBSTITUTE(ReckResultat[[#This Row],[Eingabe]],",",".")*1),"")</f>
        <v/>
      </c>
      <c r="HR45" s="96" t="e">
        <f>INT(ReckResultat[[#This Row],[Resultat]])=ReckResultat[[#This Row],[Resultat]]</f>
        <v>#VALUE!</v>
      </c>
      <c r="HS45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5" s="96"/>
      <c r="HX45" s="97"/>
      <c r="HY45" s="307"/>
      <c r="HZ45" s="96" t="str">
        <f>IFERROR(IFERROR(SUBSTITUTE(BodenResultat[[#This Row],[Eingabe]],".",",")*1,SUBSTITUTE(BodenResultat[[#This Row],[Eingabe]],",",".")*1),"")</f>
        <v/>
      </c>
      <c r="IA45" s="96" t="e">
        <f>INT(BodenResultat[[#This Row],[Resultat]])=BodenResultat[[#This Row],[Resultat]]</f>
        <v>#VALUE!</v>
      </c>
      <c r="IB45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5" s="96"/>
      <c r="IG45" s="97"/>
      <c r="IH45" s="307"/>
      <c r="II45" s="96" t="str">
        <f>IFERROR(IFERROR(SUBSTITUTE(StufenbarrenResultat[[#This Row],[Eingabe]],".",",")*1,SUBSTITUTE(StufenbarrenResultat[[#This Row],[Eingabe]],",",".")*1),"")</f>
        <v/>
      </c>
      <c r="IJ45" s="96" t="e">
        <f>INT(StufenbarrenResultat[[#This Row],[Resultat]])=StufenbarrenResultat[[#This Row],[Resultat]]</f>
        <v>#VALUE!</v>
      </c>
      <c r="IK45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5" s="96"/>
      <c r="IP45" s="97"/>
      <c r="IQ45" s="307"/>
      <c r="IR45" s="96" t="str">
        <f>IFERROR(IFERROR(SUBSTITUTE(ParallelbarrenResultat[[#This Row],[Eingabe]],".",",")*1,SUBSTITUTE(ParallelbarrenResultat[[#This Row],[Eingabe]],",",".")*1),"")</f>
        <v/>
      </c>
      <c r="IS45" s="96" t="e">
        <f>INT(ParallelbarrenResultat[[#This Row],[Resultat]])=ParallelbarrenResultat[[#This Row],[Resultat]]</f>
        <v>#VALUE!</v>
      </c>
      <c r="IT45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5" s="96"/>
      <c r="IY45" s="97"/>
      <c r="IZ45" s="307"/>
      <c r="JA45" s="96" t="str">
        <f>IFERROR(IFERROR(SUBSTITUTE(SchaukelringeResultat[[#This Row],[Eingabe]],".",",")*1,SUBSTITUTE(SchaukelringeResultat[[#This Row],[Eingabe]],",",".")*1),"")</f>
        <v/>
      </c>
      <c r="JB45" s="96" t="e">
        <f>INT(SchaukelringeResultat[[#This Row],[Resultat]])=SchaukelringeResultat[[#This Row],[Resultat]]</f>
        <v>#VALUE!</v>
      </c>
      <c r="JC45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5" s="96"/>
      <c r="JH45" s="97"/>
      <c r="JI45" s="307"/>
      <c r="JJ45" s="96" t="str">
        <f>IFERROR(IFERROR(SUBSTITUTE(SprungResultat[[#This Row],[Eingabe]],".",",")*1,SUBSTITUTE(SprungResultat[[#This Row],[Eingabe]],",",".")*1),"")</f>
        <v/>
      </c>
      <c r="JK45" s="96" t="e">
        <f>INT(SprungResultat[[#This Row],[Resultat]])=SprungResultat[[#This Row],[Resultat]]</f>
        <v>#VALUE!</v>
      </c>
      <c r="JL45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5" s="96"/>
      <c r="JQ45" s="97"/>
      <c r="JR45" s="309" t="str" cm="1">
        <f t="array" aca="1" ref="JR45" ca="1">IF(AND(ISNUMBER(INDIRECT(JR$3)),INDIRECT(JR$3)&gt;0),INDIRECT(JR$3),"")</f>
        <v/>
      </c>
      <c r="JS45" s="309" t="str" cm="1">
        <f t="array" aca="1" ref="JS45" ca="1">IF(AND(ISNUMBER(INDIRECT(JS$3)),INDIRECT(JS$3)&gt;0),INDIRECT(JS$3),"")</f>
        <v/>
      </c>
      <c r="JT45" s="309" t="str" cm="1">
        <f t="array" aca="1" ref="JT45" ca="1">IF(AND(ISNUMBER(INDIRECT(JT$3)),INDIRECT(JT$3)&gt;0),INDIRECT(JT$3),"")</f>
        <v/>
      </c>
      <c r="JU45" s="309" t="str" cm="1">
        <f t="array" aca="1" ref="JU45" ca="1">IF(AND(ISNUMBER(INDIRECT(JU$3)),INDIRECT(JU$3)&gt;0),INDIRECT(JU$3),"")</f>
        <v/>
      </c>
      <c r="JV45" s="309" t="str" cm="1">
        <f t="array" aca="1" ref="JV45" ca="1">IF(AND(ISNUMBER(INDIRECT(JV$3)),INDIRECT(JV$3)&gt;0),INDIRECT(JV$3),"")</f>
        <v/>
      </c>
      <c r="JW45" s="309" t="str" cm="1">
        <f t="array" aca="1" ref="JW45" ca="1">IF(AND(ISNUMBER(INDIRECT(JW$3)),INDIRECT(JW$3)&gt;0),INDIRECT(JW$3),"")</f>
        <v/>
      </c>
      <c r="JX45" s="309" t="str">
        <f t="shared" ca="1" si="69"/>
        <v>x</v>
      </c>
      <c r="JY45" s="309" t="str">
        <f t="shared" ca="1" si="70"/>
        <v>y</v>
      </c>
      <c r="JZ45" s="309" t="str">
        <f t="shared" ca="1" si="71"/>
        <v>z</v>
      </c>
      <c r="KA45" s="309" t="str">
        <f t="shared" ca="1" si="181"/>
        <v>a</v>
      </c>
      <c r="KB45" s="309" t="str" cm="1">
        <f t="array" aca="1" ref="KB45" ca="1">IF(KA45="a","",INDEX($JR$23:$JW$23,,MATCH(KA45,$JR45:$JW45,0)))</f>
        <v/>
      </c>
      <c r="KC45" s="309" t="str" cm="1">
        <f t="array" aca="1" ref="KC45" ca="1">IF(OR(KB45="",KB45&gt;=$JW$23),"",INDEX(INDIRECT(ADDRESS(ROW($JR$23),KB45+1)):$JW$23,,MATCH(KA45,INDIRECT(ADDRESS(ROW(),KB45+1)):$JW45,0)))</f>
        <v/>
      </c>
      <c r="KD45" s="309" t="str" cm="1">
        <f t="array" aca="1" ref="KD45" ca="1">IF(OR(KC45="",KC45&gt;=$JW$23),"",INDEX(INDIRECT(ADDRESS(ROW($JR$23),KC45+1)):$JW$23,,MATCH(KA45,INDIRECT(ADDRESS(ROW(),KC45+1)):$JW45,0)))</f>
        <v/>
      </c>
      <c r="KE45" s="309" t="str">
        <f t="shared" ca="1" si="182"/>
        <v>c</v>
      </c>
      <c r="KF45" s="309" t="str" cm="1">
        <f t="array" aca="1" ref="KF45" ca="1">IF(OR(KE45="b",KE45="c"),"",INDEX($JR$23:$JW$23,,MATCH(KE45,$JR45:$JW45,0)))</f>
        <v/>
      </c>
      <c r="KG45" s="309" t="str" cm="1">
        <f t="array" aca="1" ref="KG45" ca="1">IF(OR(KF45="",KF45&gt;=$JW$23),"",INDEX(INDIRECT(ADDRESS(ROW($JR$23),KF45+1)):$JW$23,,MATCH(KE45,INDIRECT(ADDRESS(ROW(),KF45+1)):$JW45,0)))</f>
        <v/>
      </c>
      <c r="KH45" s="309" t="str">
        <f t="shared" ca="1" si="72"/>
        <v/>
      </c>
      <c r="KI45" s="309" t="str">
        <f t="shared" ca="1" si="183"/>
        <v>e</v>
      </c>
      <c r="KJ45" s="309" t="str">
        <f t="shared" ca="1" si="73"/>
        <v/>
      </c>
      <c r="KK45" s="309" t="str" cm="1">
        <f t="array" aca="1" ref="KK45" ca="1">IF(OR(KI45="d",KI45="e"),"",INDEX($JR$23:$JW$23,,MATCH(KI45,$JR45:$JW45,0)))</f>
        <v/>
      </c>
      <c r="KL45" s="309" t="str" cm="1">
        <f t="array" aca="1" ref="KL45" ca="1">IF(OR(KK45="",KK45&gt;=$JW$23),"",INDEX(INDIRECT(ADDRESS(ROW($JR$23),KK45+1)):$JW$23,,MATCH(KI45,INDIRECT(ADDRESS(ROW(),KK45+1)):$JW45,0)))</f>
        <v/>
      </c>
      <c r="KM45" s="309" t="str" cm="1">
        <f t="array" aca="1" ref="KM45" ca="1">IFERROR(IF(ISNUMBER(KB45),KB45,IF(ISNUMBER(KF45),KF45,IF(ISNUMBER(KJ45),KJ45,INDEX($JR$23:$JW$23,,MATCH(JX45,$JR45:$JW45,0))))),"x1")</f>
        <v>x1</v>
      </c>
      <c r="KN45" s="309" t="str" cm="1">
        <f t="array" aca="1" ref="KN45" ca="1">IFERROR(IF(ISNUMBER(KC45),KC45,IF(ISNUMBER(KG45),KG45,IF(ISNUMBER(KK45),KK45,INDEX($JR$23:$JW$23,,MATCH(JY45,$JR45:$JW45,0))))),IF(KM45="x1","x2","x1"))</f>
        <v>x2</v>
      </c>
      <c r="KO45" s="309" t="str" cm="1">
        <f t="array" aca="1" ref="KO45" ca="1">IFERROR(IF(ISNUMBER(KD45),KD45,IF(ISNUMBER(KH45),KH45,IF(ISNUMBER(KL45),KL45,INDEX($JR$23:$JW$23,,MATCH(JZ45,$JR45:$JW45,0))))),IF(KN45="x1","x2",IF(KN45="x2","x3","x1")))</f>
        <v>x3</v>
      </c>
      <c r="KP45" s="97" t="str" cm="1">
        <f t="array" aca="1" ref="KP45" ca="1">IF(OR(INDIRECT(KP$3)=$A$2,INDIRECT(KP$3)=$A$3),COLUMN(),"")</f>
        <v/>
      </c>
      <c r="KQ45" s="97" t="str" cm="1">
        <f t="array" aca="1" ref="KQ45" ca="1">IF(OR(INDIRECT(KQ$3)=$A$2,INDIRECT(KQ$3)=$A$3),COLUMN(),"")</f>
        <v/>
      </c>
      <c r="KR45" s="97" t="str" cm="1">
        <f t="array" aca="1" ref="KR45" ca="1">IF(OR(INDIRECT(KR$3)=$A$2,INDIRECT(KR$3)=$A$3),COLUMN(),"")</f>
        <v/>
      </c>
      <c r="KS45" s="97" t="str" cm="1">
        <f t="array" aca="1" ref="KS45" ca="1">IF(OR(INDIRECT(KS$3)=$A$2,INDIRECT(KS$3)=$A$3),COLUMN(),"")</f>
        <v/>
      </c>
      <c r="KT45" s="97" t="str" cm="1">
        <f t="array" aca="1" ref="KT45" ca="1">IF(OR(INDIRECT(KT$3)=$A$2,INDIRECT(KT$3)=$A$3),COLUMN(),"")</f>
        <v/>
      </c>
      <c r="KU45" s="97" t="str" cm="1">
        <f t="array" aca="1" ref="KU45" ca="1">IF(OR(INDIRECT(KU$3)=$A$2,INDIRECT(KU$3)=$A$3),COLUMN(),"")</f>
        <v/>
      </c>
      <c r="KV45" s="97" t="str" cm="1">
        <f t="array" aca="1" ref="KV45" ca="1">IF(AND(ISNUMBER(INDIRECT(KV$3)),INDIRECT(KV$3)=0),COLUMN(),"")</f>
        <v/>
      </c>
      <c r="KW45" s="97" t="str" cm="1">
        <f t="array" aca="1" ref="KW45" ca="1">IF(AND(ISNUMBER(INDIRECT(KW$3)),INDIRECT(KW$3)=0),COLUMN(),"")</f>
        <v/>
      </c>
      <c r="KX45" s="97" t="str" cm="1">
        <f t="array" aca="1" ref="KX45" ca="1">IF(AND(ISNUMBER(INDIRECT(KX$3)),INDIRECT(KX$3)=0),COLUMN(),"")</f>
        <v/>
      </c>
      <c r="KY45" s="97" t="str" cm="1">
        <f t="array" aca="1" ref="KY45" ca="1">IF(AND(ISNUMBER(INDIRECT(KY$3)),INDIRECT(KY$3)=0),COLUMN(),"")</f>
        <v/>
      </c>
      <c r="KZ45" s="97" t="str" cm="1">
        <f t="array" aca="1" ref="KZ45" ca="1">IF(AND(ISNUMBER(INDIRECT(KZ$3)),INDIRECT(KZ$3)=0),COLUMN(),"")</f>
        <v/>
      </c>
      <c r="LA45" s="97" t="str" cm="1">
        <f t="array" aca="1" ref="LA45" ca="1">IF(AND(ISNUMBER(INDIRECT(LA$3)),INDIRECT(LA$3)=0),COLUMN(),"")</f>
        <v/>
      </c>
      <c r="LB45" s="97" t="str">
        <f t="shared" ca="1" si="184"/>
        <v>x1</v>
      </c>
      <c r="LC45" s="97" t="str">
        <f t="shared" ca="1" si="185"/>
        <v>x2</v>
      </c>
      <c r="LD45" s="97" t="str">
        <f t="shared" ca="1" si="186"/>
        <v>x3</v>
      </c>
      <c r="LE45" s="97" t="str">
        <f ca="1">IFERROR(IF(ISNUMBER(LB45),LB45,SMALL($KV45:$LA45,VALUE(RIGHT(LB45,1)))),Stammdaten!$CA$17)</f>
        <v>Erstes Gerät nicht durchgeführt</v>
      </c>
      <c r="LF45" s="97" t="str">
        <f ca="1">IFERROR(IF(ISNUMBER(LC45),LC45,SMALL($KV45:$LA45,VALUE(RIGHT(LC45,1)))),Stammdaten!$CA$18)</f>
        <v>Zweites Gerät nicht durchgeführt</v>
      </c>
      <c r="LG45" s="97" t="str">
        <f ca="1">IFERROR(IF(ISNUMBER(LD45),LD45,SMALL($KV45:$LA45,VALUE(RIGHT(LD45,1)))),Stammdaten!$CA$19)</f>
        <v>Drittes Gerät nicht durchgeführt</v>
      </c>
      <c r="LH45" s="91" t="str" cm="1">
        <f t="array" aca="1" ref="LH45" ca="1">IFERROR(INDIRECT(ADDRESS(ROW($JR$5),LE45)),LE45)</f>
        <v>Erstes Gerät nicht durchgeführt</v>
      </c>
      <c r="LI45" s="97" t="str">
        <f t="shared" ca="1" si="187"/>
        <v/>
      </c>
      <c r="LJ45" s="97" t="str" cm="1">
        <f t="array" aca="1" ref="LJ45" ca="1">IFERROR(IF(INDIRECT(INDEX(INDIRECT(LJ$5),MATCH(LH45,INDIRECT(LJ$4),0)))&lt;&gt;"",INDEX(INDIRECT(LJ$5),MATCH(LH45,INDIRECT(LJ$4),0)),INDEX(INDIRECT(LJ$6),MATCH(LH45,INDIRECT(LJ$4),0))),"")</f>
        <v/>
      </c>
      <c r="LK45" s="97" t="str">
        <f t="shared" ca="1" si="188"/>
        <v/>
      </c>
      <c r="LL45" s="97" t="str" cm="1">
        <f t="array" aca="1" ref="LL45" ca="1">IFERROR(INDIRECT(LJ45),"")</f>
        <v/>
      </c>
      <c r="LM45" s="97" t="str">
        <f ca="1">IF(LL45="","",IF(AND(LI45=Stammdaten!$BX$20,LK45="0",LL45=1),SUBSTITUTE(TEXT(LL45,LK45)&amp;" "&amp;LEFT(LI45,LEN(LI45)-1),".",","),SUBSTITUTE(TEXT(LL45,LK45)&amp;" "&amp;LI45,".",",")))</f>
        <v/>
      </c>
      <c r="LN45" s="97" t="str">
        <f t="shared" ca="1" si="74"/>
        <v/>
      </c>
      <c r="LO45" s="97" t="str" cm="1">
        <f t="array" aca="1" ref="LO45" ca="1">IFERROR(LEFT(INDIRECT(LN45),1)&amp;"]","")</f>
        <v/>
      </c>
      <c r="LP45" s="97" t="str">
        <f t="shared" ca="1" si="75"/>
        <v/>
      </c>
      <c r="LQ45" s="97" t="str">
        <f ca="1">IFERROR(LEFT(LH45,FIND(Stammdaten!$CA$4,LH45,1)-2),IFERROR(LEFT(LH45,FIND(Stammdaten!$CC$3,LH45,1)-2),LH45))</f>
        <v>Erstes Gerät</v>
      </c>
      <c r="LR45" s="97" t="str">
        <f ca="1">IF(NOT(ISERROR(FIND(Stammdaten!$CA$4,LH45,1))),Stammdaten!$CA$4,IF(LS45&lt;&gt;Stammdaten!$CC$3,LP45,""))</f>
        <v>nicht durchgeführt</v>
      </c>
      <c r="LS45" s="91" t="str">
        <f ca="1">IF(LL45=$A$2,Stammdaten!$CC$3,LM45)</f>
        <v/>
      </c>
      <c r="LT45" s="91" t="str" cm="1">
        <f t="array" aca="1" ref="LT45" ca="1">IFERROR(INDIRECT(ADDRESS(ROW($JR$5),LF45)),LF45)</f>
        <v>Zweites Gerät nicht durchgeführt</v>
      </c>
      <c r="LU45" s="97" t="str">
        <f t="shared" ca="1" si="189"/>
        <v/>
      </c>
      <c r="LV45" s="97" t="str" cm="1">
        <f t="array" aca="1" ref="LV45" ca="1">IFERROR(IF(INDIRECT(INDEX(INDIRECT(LV$5),MATCH(LT45,INDIRECT(LV$4),0)))&lt;&gt;"",INDEX(INDIRECT(LV$5),MATCH(LT45,INDIRECT(LV$4),0)),INDEX(INDIRECT(LV$6),MATCH(LT45,INDIRECT(LV$4),0))),"")</f>
        <v/>
      </c>
      <c r="LW45" s="97" t="str">
        <f t="shared" ca="1" si="190"/>
        <v/>
      </c>
      <c r="LX45" s="97" t="str" cm="1">
        <f t="array" aca="1" ref="LX45" ca="1">IFERROR(INDIRECT(LV45),"")</f>
        <v/>
      </c>
      <c r="LY45" s="97" t="str">
        <f ca="1">IF(LX45="","",IF(AND(LU45=Stammdaten!$BX$20,LW45="0",LX45=1),SUBSTITUTE(TEXT(LX45,LW45)&amp;" "&amp;LEFT(LU45,LEN(LU45)-1),".",","),SUBSTITUTE(TEXT(LX45,LW45)&amp;" "&amp;LU45,".",",")))</f>
        <v/>
      </c>
      <c r="LZ45" s="97" t="str">
        <f t="shared" ca="1" si="76"/>
        <v/>
      </c>
      <c r="MA45" s="97" t="str" cm="1">
        <f t="array" aca="1" ref="MA45" ca="1">IFERROR(LEFT(INDIRECT(LZ45),1)&amp;"]","")</f>
        <v/>
      </c>
      <c r="MB45" s="97" t="str">
        <f t="shared" ca="1" si="77"/>
        <v/>
      </c>
      <c r="MC45" s="97" t="str">
        <f ca="1">IFERROR(LEFT(LT45,FIND(Stammdaten!$CA$4,LT45,1)-2),IFERROR(LEFT(LT45,FIND(Stammdaten!$CC$3,LT45,1)-2),LT45))</f>
        <v>Zweites Gerät</v>
      </c>
      <c r="MD45" s="97" t="str">
        <f ca="1">IF(NOT(ISERROR(FIND(Stammdaten!$CA$4,LT45,1))),Stammdaten!$CA$4,IF(ME45&lt;&gt;Stammdaten!$CC$3,MB45,""))</f>
        <v>nicht durchgeführt</v>
      </c>
      <c r="ME45" s="91" t="str">
        <f ca="1">IF(LX45=$A$2,Stammdaten!$CC$3,LY45)</f>
        <v/>
      </c>
      <c r="MF45" s="91" t="str" cm="1">
        <f t="array" aca="1" ref="MF45" ca="1">IFERROR(INDIRECT(ADDRESS(ROW($JR$5),LG45)),LG45)</f>
        <v>Drittes Gerät nicht durchgeführt</v>
      </c>
      <c r="MG45" s="97" t="str">
        <f t="shared" ca="1" si="191"/>
        <v/>
      </c>
      <c r="MH45" s="97" t="str" cm="1">
        <f t="array" aca="1" ref="MH45" ca="1">IFERROR(IF(INDIRECT(INDEX(INDIRECT(MH$5),MATCH(MF45,INDIRECT(MH$4),0)))&lt;&gt;"",INDEX(INDIRECT(MH$5),MATCH(MF45,INDIRECT(MH$4),0)),INDEX(INDIRECT(MH$6),MATCH(MF45,INDIRECT(MH$4),0))),"")</f>
        <v/>
      </c>
      <c r="MI45" s="97" t="str">
        <f t="shared" ca="1" si="192"/>
        <v/>
      </c>
      <c r="MJ45" s="97" t="str" cm="1">
        <f t="array" aca="1" ref="MJ45" ca="1">IFERROR(INDIRECT(MH45),"")</f>
        <v/>
      </c>
      <c r="MK45" s="97" t="str">
        <f ca="1">IF(MJ45="","",IF(AND(MG45=Stammdaten!$BX$20,MI45="0",MJ45=1),SUBSTITUTE(TEXT(MJ45,MI45)&amp;" "&amp;LEFT(MG45,LEN(MG45)-1),".",","),SUBSTITUTE(TEXT(MJ45,MI45)&amp;" "&amp;MG45,".",",")))</f>
        <v/>
      </c>
      <c r="ML45" s="97" t="str">
        <f t="shared" ca="1" si="78"/>
        <v/>
      </c>
      <c r="MM45" s="97" t="str" cm="1">
        <f t="array" aca="1" ref="MM45" ca="1">IFERROR(LEFT(INDIRECT(ML45),1)&amp;"]","")</f>
        <v/>
      </c>
      <c r="MN45" s="97" t="str">
        <f t="shared" ca="1" si="79"/>
        <v/>
      </c>
      <c r="MO45" s="97" t="str">
        <f ca="1">IFERROR(LEFT(MF45,FIND(Stammdaten!$CA$4,MF45,1)-2),IFERROR(LEFT(MF45,FIND(Stammdaten!$CC$3,MF45,1)-2),MF45))</f>
        <v>Drittes Gerät</v>
      </c>
      <c r="MP45" s="97" t="str">
        <f ca="1">IF(NOT(ISERROR(FIND(Stammdaten!$CA$4,MF45,1))),Stammdaten!$CA$4,IF(MQ45&lt;&gt;Stammdaten!$CC$3,MN45,""))</f>
        <v>nicht durchgeführt</v>
      </c>
      <c r="MQ45" s="91" t="str">
        <f ca="1">IF(MJ45=$A$2,Stammdaten!$CC$3,MK45)</f>
        <v/>
      </c>
      <c r="MR45" s="97">
        <f t="shared" ca="1" si="80"/>
        <v>0</v>
      </c>
      <c r="MS45" s="108">
        <f t="shared" ca="1" si="193"/>
        <v>0</v>
      </c>
      <c r="MT45" s="108">
        <f t="shared" ca="1" si="194"/>
        <v>0</v>
      </c>
      <c r="MU45" s="108">
        <f t="shared" ca="1" si="195"/>
        <v>0</v>
      </c>
      <c r="MV45" s="108" t="str">
        <f t="shared" ca="1" si="196"/>
        <v/>
      </c>
      <c r="MW45" s="97" t="str">
        <f ca="1">IF(MV45="",Stammdaten!$BZ$1,IF(AND(MS45+MT45=0,MU45&gt;=MV$25),$A$3,MR45))</f>
        <v>Zu wenige Werte</v>
      </c>
      <c r="MX45" s="97"/>
      <c r="MY45" s="91" t="str">
        <f t="shared" ca="1" si="81"/>
        <v/>
      </c>
      <c r="MZ45" s="96" t="str">
        <f>LEFT(Geschlecht[[#This Row],[Geschlecht (Skala)]],1)&amp;$MZ$27</f>
        <v>2</v>
      </c>
      <c r="NA45" s="96" t="str">
        <f t="shared" ca="1" si="82"/>
        <v>Geräteturnen_2[Resultat]</v>
      </c>
      <c r="NB45" s="97" t="str" cm="1">
        <f t="array" aca="1" ref="NB45" ca="1">IF(OR($MW45="",$MW45=Stammdaten!$BZ$1),"",IF($MW45=0,0,IF(OR($MW45=$A$2,$MW45=$A$3),$A$3,IFERROR(INDEX(INDIRECT(NA45),MATCH(INDIRECT(MY$3),INDIRECT(NA45),NA$25)),IFERROR(IF(NA$25=-1,MAX(INDIRECT(NA45)),IF(NA$25=1,MIN(INDIRECT(NA45)))),"")))))</f>
        <v/>
      </c>
      <c r="ND45" s="91" t="str">
        <f t="shared" ca="1" si="83"/>
        <v>Geräteturnen_2[Note]</v>
      </c>
      <c r="NE45" s="97" t="str" cm="1">
        <f t="array" aca="1" ref="NE45" ca="1">IFERROR(INDEX(INDIRECT(ND45),MATCH(INDIRECT(MY$5),INDIRECT(NA45),0)),IF(INDIRECT(MY$5)=0,1,""))</f>
        <v/>
      </c>
      <c r="NF45" s="97"/>
      <c r="NG45" s="307"/>
      <c r="NH45" s="96" t="str">
        <f>IFERROR(IFERROR(SUBSTITUTE(ParkourResultat[[#This Row],[Eingabe]],".",",")*1,SUBSTITUTE(ParkourResultat[[#This Row],[Eingabe]],",",".")*1),"")</f>
        <v/>
      </c>
      <c r="NI45" s="96" t="e">
        <f>INT(ParkourResultat[[#This Row],[Resultat]])=ParkourResultat[[#This Row],[Resultat]]</f>
        <v>#VALUE!</v>
      </c>
      <c r="NJ45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5" s="96"/>
      <c r="NL45" s="91" t="str" cm="1">
        <f t="array" aca="1" ref="NL45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5" s="96" t="str">
        <f ca="1">LEFT(Geschlecht[[#This Row],[Geschlecht (Skala)]],1)&amp;NR$4</f>
        <v>2</v>
      </c>
      <c r="NN45" s="96" t="str">
        <f t="shared" ca="1" si="84"/>
        <v>Parkour_2[Resultat]</v>
      </c>
      <c r="NO45" s="97" t="str" cm="1">
        <f t="array" aca="1" ref="NO45" ca="1">IF(INDIRECT(NL$1)="","",IF(INDIRECT(NL$2)=0,0,IF(OR(INDIRECT(NL$1)=$A$2,INDIRECT(NL$1)=$A$3),$A$3,IFERROR(INDEX(INDIRECT(NN45),MATCH(INDIRECT(NL$3),INDIRECT(NN45),NN$25)),IFERROR(IF(NN$25=-1,MAX(INDIRECT(NN45)),IF(NN$25=1,MIN(INDIRECT(NN45)))),"")))))</f>
        <v/>
      </c>
      <c r="NQ45" s="91" t="str">
        <f t="shared" ca="1" si="85"/>
        <v>Parkour_2[Note]</v>
      </c>
      <c r="NR45" s="97" t="str" cm="1">
        <f t="array" aca="1" ref="NR45" ca="1">IFERROR(INDEX(INDIRECT(NQ45),MATCH(INDIRECT(NL$5),INDIRECT(NN45),0)),IF(INDIRECT(NL$5)=0,1,""))</f>
        <v/>
      </c>
      <c r="NS45" s="97"/>
      <c r="NT45" s="97" t="str" cm="1">
        <f t="array" aca="1" ref="NT45" ca="1">INDIRECT(NT$5)</f>
        <v/>
      </c>
      <c r="NU45" s="97" t="str" cm="1">
        <f t="array" aca="1" ref="NU45" ca="1">INDIRECT(NU$5)</f>
        <v/>
      </c>
      <c r="NV45" s="97" t="str" cm="1">
        <f t="array" aca="1" ref="NV45" ca="1">INDIRECT(NV$5)</f>
        <v/>
      </c>
      <c r="NW45" s="97" t="str" cm="1">
        <f t="array" aca="1" ref="NW45" ca="1">INDIRECT(NW$5)</f>
        <v/>
      </c>
      <c r="NX45" s="97" t="str">
        <f t="shared" ca="1" si="86"/>
        <v>Parkour nicht durchgeführt</v>
      </c>
      <c r="NY45" s="97" t="str">
        <f t="shared" ca="1" si="197"/>
        <v/>
      </c>
      <c r="NZ45" s="97" t="str" cm="1">
        <f t="array" aca="1" ref="NZ45" ca="1">IFERROR(IF(INDIRECT(INDEX(INDIRECT(NZ$5),MATCH(NX45,INDIRECT(NZ$4),0)))&lt;&gt;"",INDEX(INDIRECT(NZ$5),MATCH(NX45,INDIRECT(NZ$4),0)),INDEX(INDIRECT(NZ$6),MATCH(NX45,INDIRECT(NZ$4),0))),"")</f>
        <v/>
      </c>
      <c r="OA45" s="97" t="str">
        <f t="shared" ca="1" si="198"/>
        <v/>
      </c>
      <c r="OB45" s="97" t="str" cm="1">
        <f t="array" aca="1" ref="OB45" ca="1">IFERROR(INDIRECT(NZ45),IF(NOT(ISERROR(FIND(Stammdaten!$CC$3,NX45,1))),$A$2,""))</f>
        <v/>
      </c>
      <c r="OC45" s="97" t="str">
        <f ca="1">IF(OB45="","",IF(AND(NY45=Stammdaten!$BX$20,OA45="0",OB45=1),SUBSTITUTE(TEXT(OB45,OA45)&amp;" "&amp;LEFT(NY45,LEN(NY45)-1),".",","),SUBSTITUTE(TEXT(OB45,OA45)&amp;" "&amp;NY45,".",",")))</f>
        <v/>
      </c>
      <c r="OD45" s="97" t="str">
        <f t="shared" ca="1" si="87"/>
        <v/>
      </c>
      <c r="OE45" s="97" t="str" cm="1">
        <f t="array" aca="1" ref="OE45" ca="1">IFERROR(LEFT(INDIRECT(OD45),1)&amp;"]","")</f>
        <v/>
      </c>
      <c r="OF45" s="97" t="str">
        <f t="shared" ca="1" si="88"/>
        <v/>
      </c>
      <c r="OG45" s="97" t="str">
        <f ca="1">IFERROR(LEFT(NX45,FIND(Stammdaten!$CA$4,NX45,1)-2),IFERROR(LEFT(NX45,FIND(Stammdaten!$CC$3,NX45,1)-2),NX45))</f>
        <v>Parkour</v>
      </c>
      <c r="OH45" s="97" t="str">
        <f ca="1">IF(NOT(ISERROR(FIND(Stammdaten!$CA$4,NX45,1))),Stammdaten!$CA$4,IF(OI45&lt;&gt;Stammdaten!$CC$3,OF45,""))</f>
        <v>nicht durchgeführt</v>
      </c>
      <c r="OI45" s="91" t="str">
        <f ca="1">IF(OB45=$A$2,Stammdaten!$CC$3,OC45)</f>
        <v/>
      </c>
      <c r="OJ45" s="97" t="str">
        <f t="shared" ca="1" si="89"/>
        <v/>
      </c>
      <c r="OK45" s="97" t="str">
        <f t="shared" ca="1" si="90"/>
        <v/>
      </c>
      <c r="OL45" s="97">
        <f t="shared" ca="1" si="199"/>
        <v>0</v>
      </c>
      <c r="OM45" s="108">
        <f t="shared" ca="1" si="91"/>
        <v>0</v>
      </c>
      <c r="ON45" s="108">
        <f t="shared" ca="1" si="92"/>
        <v>0</v>
      </c>
      <c r="OO45" s="108" t="str">
        <f t="shared" ca="1" si="200"/>
        <v/>
      </c>
      <c r="OP45" s="97" t="str">
        <f ca="1">IF(OO45="",Stammdaten!$BZ$1,IF(AND(OM45=0,ON45&gt;=OO$25),$A$3,ROUND(SUM(OL45/OO45)/OP$25,0)*OP$25))</f>
        <v>Zu wenige Werte</v>
      </c>
      <c r="OQ45" s="108">
        <f t="shared" ca="1" si="201"/>
        <v>6</v>
      </c>
      <c r="OR45" s="97" t="str">
        <f t="shared" ca="1" si="202"/>
        <v/>
      </c>
      <c r="OS45" s="97" t="str">
        <f t="shared" ca="1" si="203"/>
        <v/>
      </c>
      <c r="OT45" s="97" t="str">
        <f t="shared" ca="1" si="204"/>
        <v/>
      </c>
      <c r="OU45" s="97" t="str">
        <f t="shared" ca="1" si="205"/>
        <v>g</v>
      </c>
      <c r="OV45" s="97" t="str">
        <f t="shared" ca="1" si="206"/>
        <v/>
      </c>
      <c r="OW45" s="97">
        <f t="shared" ca="1" si="207"/>
        <v>1</v>
      </c>
      <c r="OX45" s="97" t="str">
        <f ca="1">IF(OR(Geschlecht[[#This Row],[Geschlecht (Skala)]]="",NOT(ISNUMBER(OO45))),"",OW45)</f>
        <v/>
      </c>
      <c r="OY45" s="97" t="str">
        <f t="shared" ca="1" si="208"/>
        <v/>
      </c>
      <c r="OZ45" s="97"/>
      <c r="PA45" s="308" t="str">
        <f t="shared" ca="1" si="209"/>
        <v>Zu wenige Werte</v>
      </c>
      <c r="PB45" s="97"/>
      <c r="PC45" s="307"/>
      <c r="PD45" s="96" t="str">
        <f>IFERROR(IFERROR(SUBSTITUTE(TanzenResultat[[#This Row],[Eingabe]],".",",")*1,SUBSTITUTE(TanzenResultat[[#This Row],[Eingabe]],",",".")*1),"")</f>
        <v/>
      </c>
      <c r="PE45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5" s="96"/>
      <c r="PG45" s="91" t="str" cm="1">
        <f t="array" aca="1" ref="PG45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5" s="96" t="str">
        <f ca="1">LEFT(Geschlecht[[#This Row],[Geschlecht (Skala)]],1)&amp;PM$4</f>
        <v>2</v>
      </c>
      <c r="PI45" s="96" t="str">
        <f t="shared" ca="1" si="93"/>
        <v>Tanzen_2[Resultat]</v>
      </c>
      <c r="PJ45" s="97" t="str" cm="1">
        <f t="array" aca="1" ref="PJ45" ca="1">IF(INDIRECT(PG$1)="","",IF(INDIRECT(PG$2)=0,0,IF(OR(INDIRECT(PG$1)=$A$2,INDIRECT(PG$1)=$A$3),$A$3,IFERROR(INDEX(INDIRECT(PI45),MATCH(INDIRECT(PG$3),INDIRECT(PI45),PI$25)),IFERROR(IF(PI$25=-1,MAX(INDIRECT(PI45)),IF(PI$25=1,MIN(INDIRECT(PI45)))),"")))))</f>
        <v/>
      </c>
      <c r="PL45" s="91" t="str">
        <f t="shared" ca="1" si="94"/>
        <v>Tanzen_2[Note]</v>
      </c>
      <c r="PM45" s="97" t="str" cm="1">
        <f t="array" aca="1" ref="PM45" ca="1">IFERROR(INDEX(INDIRECT(PL45),MATCH(INDIRECT(PG$5),INDIRECT(PI45),0)),IF(INDIRECT(PG$5)=0,1,""))</f>
        <v/>
      </c>
      <c r="PN45" s="97"/>
      <c r="PO45" s="307"/>
      <c r="PP45" s="96" t="str">
        <f>IFERROR(IFERROR(SUBSTITUTE(RopeSkippingResultat[[#This Row],[Eingabe]],".",",")*1,SUBSTITUTE(RopeSkippingResultat[[#This Row],[Eingabe]],",",".")*1),"")</f>
        <v/>
      </c>
      <c r="PQ45" s="96" t="e">
        <f>INT(RopeSkippingResultat[[#This Row],[Resultat]])=RopeSkippingResultat[[#This Row],[Resultat]]</f>
        <v>#VALUE!</v>
      </c>
      <c r="PR45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5" s="96"/>
      <c r="PT45" s="91" t="str" cm="1">
        <f t="array" aca="1" ref="PT45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5" s="96" t="str">
        <f ca="1">LEFT(Geschlecht[[#This Row],[Geschlecht (Skala)]],1)&amp;PZ$4</f>
        <v>2</v>
      </c>
      <c r="PV45" s="96" t="str">
        <f t="shared" ca="1" si="95"/>
        <v>RopeSkipping_2[Resultat]</v>
      </c>
      <c r="PW45" s="97" t="str" cm="1">
        <f t="array" aca="1" ref="PW45" ca="1">IF(INDIRECT(PT$1)="","",IF(INDIRECT(PT$2)=0,0,IF(OR(INDIRECT(PT$1)=$A$2,INDIRECT(PT$1)=$A$3),$A$3,IFERROR(INDEX(INDIRECT(PV45),MATCH(INDIRECT(PT$3),INDIRECT(PV45),PV$25)),IFERROR(IF(PV$25=-1,MAX(INDIRECT(PV45)),IF(PV$25=1,MIN(INDIRECT(PV45)))),"")))))</f>
        <v/>
      </c>
      <c r="PY45" s="91" t="str">
        <f t="shared" ca="1" si="96"/>
        <v>RopeSkipping_2[Note]</v>
      </c>
      <c r="PZ45" s="97" t="str" cm="1">
        <f t="array" aca="1" ref="PZ45" ca="1">IFERROR(INDEX(INDIRECT(PY45),MATCH(INDIRECT(PT$5),INDIRECT(PV45),0)),IF(INDIRECT(PT$5)=0,1,""))</f>
        <v/>
      </c>
      <c r="QA45" s="97"/>
      <c r="QB45" s="307"/>
      <c r="QC45" s="96" t="str">
        <f>IFERROR(IFERROR(SUBSTITUTE(AerobicResultat[[#This Row],[Eingabe]],".",",")*1,SUBSTITUTE(AerobicResultat[[#This Row],[Eingabe]],",",".")*1),"")</f>
        <v/>
      </c>
      <c r="QD45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5" s="96"/>
      <c r="QF45" s="91" t="str" cm="1">
        <f t="array" aca="1" ref="QF45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5" s="96" t="str">
        <f ca="1">LEFT(Geschlecht[[#This Row],[Geschlecht (Skala)]],1)&amp;QL$4</f>
        <v>2</v>
      </c>
      <c r="QH45" s="96" t="str">
        <f t="shared" ca="1" si="97"/>
        <v>Aerobic_2[Resultat]</v>
      </c>
      <c r="QI45" s="97" t="str" cm="1">
        <f t="array" aca="1" ref="QI45" ca="1">IF(INDIRECT(QF$1)="","",IF(INDIRECT(QF$2)=0,0,IF(OR(INDIRECT(QF$1)=$A$2,INDIRECT(QF$1)=$A$3),$A$3,IFERROR(INDEX(INDIRECT(QH45),MATCH(INDIRECT(QF$3),INDIRECT(QH45),QH$25)),IFERROR(IF(QH$25=-1,MAX(INDIRECT(QH45)),IF(QH$25=1,MIN(INDIRECT(QH45)))),"")))))</f>
        <v/>
      </c>
      <c r="QK45" s="91" t="str">
        <f t="shared" ca="1" si="98"/>
        <v>Aerobic_2[Note]</v>
      </c>
      <c r="QL45" s="97" t="str" cm="1">
        <f t="array" aca="1" ref="QL45" ca="1">IFERROR(INDEX(INDIRECT(QK45),MATCH(INDIRECT(QF$5),INDIRECT(QH45),0)),IF(INDIRECT(QF$5)=0,1,""))</f>
        <v/>
      </c>
      <c r="QM45" s="97"/>
      <c r="QN45" s="97" t="str" cm="1">
        <f t="array" aca="1" ref="QN45" ca="1">INDIRECT(QN$5)</f>
        <v/>
      </c>
      <c r="QO45" s="97" t="str" cm="1">
        <f t="array" aca="1" ref="QO45" ca="1">INDIRECT(QO$5)</f>
        <v/>
      </c>
      <c r="QP45" s="97" t="str" cm="1">
        <f t="array" aca="1" ref="QP45" ca="1">INDIRECT(QP$5)</f>
        <v/>
      </c>
      <c r="QQ45" s="97" t="str" cm="1">
        <f t="array" aca="1" ref="QQ45" ca="1">INDIRECT(QQ$5)</f>
        <v/>
      </c>
      <c r="QR45" s="97" t="str" cm="1">
        <f t="array" aca="1" ref="QR45" ca="1">INDIRECT(QR$5)</f>
        <v/>
      </c>
      <c r="QS45" s="97" t="str" cm="1">
        <f t="array" aca="1" ref="QS45" ca="1">INDIRECT(QS$5)</f>
        <v/>
      </c>
      <c r="QT45" s="97" t="str">
        <f t="shared" ca="1" si="99"/>
        <v>Darstellen und Tanzen nicht durchgeführt</v>
      </c>
      <c r="QU45" s="108">
        <f t="shared" ca="1" si="100"/>
        <v>0</v>
      </c>
      <c r="QV45" s="108">
        <f t="shared" ca="1" si="101"/>
        <v>0</v>
      </c>
      <c r="QW45" s="108" t="str">
        <f t="shared" ca="1" si="210"/>
        <v/>
      </c>
      <c r="QX45" s="97" t="str">
        <f t="shared" ca="1" si="211"/>
        <v>Darstellen und Tanzen nicht durchgeführt</v>
      </c>
      <c r="QY45" s="97" t="str">
        <f t="shared" ca="1" si="212"/>
        <v/>
      </c>
      <c r="QZ45" s="97" t="str" cm="1">
        <f t="array" aca="1" ref="QZ45" ca="1">IFERROR(IF(INDIRECT(INDEX(INDIRECT(QZ$5),MATCH(QX45,INDIRECT(QZ$4),0)))&lt;&gt;"",INDEX(INDIRECT(QZ$5),MATCH(QX45,INDIRECT(QZ$4),0)),INDEX(INDIRECT(QZ$6),MATCH(QX45,INDIRECT(QZ$4),0))),"")</f>
        <v/>
      </c>
      <c r="RA45" s="97" t="str">
        <f t="shared" ca="1" si="213"/>
        <v/>
      </c>
      <c r="RB45" s="97" t="str" cm="1">
        <f t="array" aca="1" ref="RB45" ca="1">IFERROR(INDIRECT(QZ45),IF(NOT(ISERROR(FIND(Stammdaten!$CC$3,QX45,1))),$A$2,""))</f>
        <v/>
      </c>
      <c r="RC45" s="97" t="str">
        <f ca="1">IF(RB45="","",IF(AND(QY45=Stammdaten!$BX$20,RA45="0",RB45=1),SUBSTITUTE(TEXT(RB45,RA45)&amp;" "&amp;LEFT(QY45,LEN(QY45)-1),".",","),SUBSTITUTE(TEXT(RB45,RA45)&amp;" "&amp;QY45,".",",")))</f>
        <v/>
      </c>
      <c r="RD45" s="97" t="str">
        <f t="shared" ca="1" si="102"/>
        <v/>
      </c>
      <c r="RE45" s="97" t="str" cm="1">
        <f t="array" aca="1" ref="RE45" ca="1">IFERROR(LEFT(INDIRECT(RD45),1)&amp;"]","")</f>
        <v/>
      </c>
      <c r="RF45" s="97" t="str">
        <f t="shared" ca="1" si="103"/>
        <v/>
      </c>
      <c r="RG45" s="97" t="str">
        <f ca="1">IFERROR(LEFT(QX45,FIND(Stammdaten!$CA$4,QX45,1)-2),IFERROR(LEFT(QX45,FIND(Stammdaten!$CC$3,QX45,1)-2),QX45))</f>
        <v>Darstellen und Tanzen</v>
      </c>
      <c r="RH45" s="97" t="str">
        <f ca="1">IF(NOT(ISERROR(FIND(Stammdaten!$CA$4,QX45,1))),Stammdaten!$CA$4,IF(RI45&lt;&gt;Stammdaten!$CC$3,RF45,""))</f>
        <v>nicht durchgeführt</v>
      </c>
      <c r="RI45" s="91" t="str">
        <f ca="1">IF(RB45=$A$2,Stammdaten!$CC$3,RC45)</f>
        <v/>
      </c>
      <c r="RJ45" s="108">
        <f t="shared" ca="1" si="214"/>
        <v>6</v>
      </c>
      <c r="RK45" s="97"/>
      <c r="RL45" s="308" t="str">
        <f ca="1">IF(QT45=$QT$4,Stammdaten!$BZ$1,IF(QT45=$QT$5,$A$3,QT45))</f>
        <v>Zu wenige Werte</v>
      </c>
      <c r="RM45" s="97"/>
      <c r="RN45" s="307"/>
      <c r="RO45" s="96" t="str">
        <f>IFERROR(IFERROR(SUBSTITUTE(BasketballResultat[[#This Row],[Eingabe]],".",",")*1,SUBSTITUTE(BasketballResultat[[#This Row],[Eingabe]],",",".")*1),"")</f>
        <v/>
      </c>
      <c r="RP45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5" s="96"/>
      <c r="RR45" s="91" t="str" cm="1">
        <f t="array" aca="1" ref="RR45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5" s="96" t="str">
        <f ca="1">LEFT(Geschlecht[[#This Row],[Geschlecht (Skala)]],1)&amp;RX$4</f>
        <v>2</v>
      </c>
      <c r="RT45" s="96" t="str">
        <f t="shared" ca="1" si="104"/>
        <v>Basketball_2[Resultat]</v>
      </c>
      <c r="RU45" s="97" t="str" cm="1">
        <f t="array" aca="1" ref="RU45" ca="1">IF(INDIRECT(RR$1)="","",IF(INDIRECT(RR$2)=0,0,IF(OR(INDIRECT(RR$1)=$A$2,INDIRECT(RR$1)=$A$3),$A$3,IFERROR(INDEX(INDIRECT(RT45),MATCH(INDIRECT(RR$3),INDIRECT(RT45),RT$25)),IFERROR(IF(RT$25=-1,MAX(INDIRECT(RT45)),IF(RT$25=1,MIN(INDIRECT(RT45)))),"")))))</f>
        <v/>
      </c>
      <c r="RW45" s="91" t="str">
        <f t="shared" ca="1" si="105"/>
        <v>Basketball_2[Note]</v>
      </c>
      <c r="RX45" s="97" t="str" cm="1">
        <f t="array" aca="1" ref="RX45" ca="1">IFERROR(INDEX(INDIRECT(RW45),MATCH(INDIRECT(RR$5),INDIRECT(RT45),0)),IF(INDIRECT(RR$5)=0,1,""))</f>
        <v/>
      </c>
      <c r="RY45" s="97"/>
      <c r="RZ45" s="307"/>
      <c r="SA45" s="96" t="str">
        <f>IFERROR(IFERROR(SUBSTITUTE(FussballResultat[[#This Row],[Eingabe]],".",",")*1,SUBSTITUTE(FussballResultat[[#This Row],[Eingabe]],",",".")*1),"")</f>
        <v/>
      </c>
      <c r="SB45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5" s="96"/>
      <c r="SD45" s="316" t="str" cm="1">
        <f t="array" aca="1" ref="SD45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5" s="96" t="str">
        <f ca="1">LEFT(Geschlecht[[#This Row],[Geschlecht (Skala)]],1)&amp;SJ$4</f>
        <v>2</v>
      </c>
      <c r="SF45" s="96" t="str">
        <f t="shared" ca="1" si="106"/>
        <v>Fussball_2[Resultat]</v>
      </c>
      <c r="SG45" s="97" t="str" cm="1">
        <f t="array" aca="1" ref="SG45" ca="1">IF(INDIRECT(SD$1)="","",IF(INDIRECT(SD$2)=0,0,IF(OR(INDIRECT(SD$1)=$A$2,INDIRECT(SD$1)=$A$3),$A$3,IFERROR(INDEX(INDIRECT(SF45),MATCH(INDIRECT(SD$3),INDIRECT(SF45),SF$25)),IFERROR(IF(SF$25=-1,MAX(INDIRECT(SF45)),IF(SF$25=1,MIN(INDIRECT(SF45)))),"")))))</f>
        <v/>
      </c>
      <c r="SI45" s="91" t="str">
        <f t="shared" ca="1" si="107"/>
        <v>Fussball_2[Note]</v>
      </c>
      <c r="SJ45" s="97" t="str" cm="1">
        <f t="array" aca="1" ref="SJ45" ca="1">IFERROR(INDEX(INDIRECT(SI45),MATCH(INDIRECT(SD$5),INDIRECT(SF45),0)),IF(INDIRECT(SD$5)=0,1,""))</f>
        <v/>
      </c>
      <c r="SK45" s="97"/>
      <c r="SL45" s="307"/>
      <c r="SM45" s="96" t="str">
        <f>IFERROR(IFERROR(SUBSTITUTE(HandballResultat[[#This Row],[Eingabe]],".",",")*1,SUBSTITUTE(HandballResultat[[#This Row],[Eingabe]],",",".")*1),"")</f>
        <v/>
      </c>
      <c r="SN45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5" s="96"/>
      <c r="SP45" s="91" t="str" cm="1">
        <f t="array" aca="1" ref="SP45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5" s="96" t="str">
        <f ca="1">LEFT(Geschlecht[[#This Row],[Geschlecht (Skala)]],1)&amp;SV$4</f>
        <v>2</v>
      </c>
      <c r="SR45" s="96" t="str">
        <f t="shared" ca="1" si="108"/>
        <v>Handball_2[Resultat]</v>
      </c>
      <c r="SS45" s="97" t="str" cm="1">
        <f t="array" aca="1" ref="SS45" ca="1">IF(INDIRECT(SP$1)="","",IF(INDIRECT(SP$2)=0,0,IF(OR(INDIRECT(SP$1)=$A$2,INDIRECT(SP$1)=$A$3),$A$3,IFERROR(INDEX(INDIRECT(SR45),MATCH(INDIRECT(SP$3),INDIRECT(SR45),SR$25)),IFERROR(IF(SR$25=-1,MAX(INDIRECT(SR45)),IF(SR$25=1,MIN(INDIRECT(SR45)))),"")))))</f>
        <v/>
      </c>
      <c r="SU45" s="91" t="str">
        <f t="shared" ca="1" si="109"/>
        <v>Handball_2[Note]</v>
      </c>
      <c r="SV45" s="97" t="str" cm="1">
        <f t="array" aca="1" ref="SV45" ca="1">IFERROR(INDEX(INDIRECT(SU45),MATCH(INDIRECT(SP$5),INDIRECT(SR45),0)),IF(INDIRECT(SP$5)=0,1,""))</f>
        <v/>
      </c>
      <c r="SW45" s="97"/>
      <c r="SX45" s="307"/>
      <c r="SY45" s="96" t="str">
        <f>IFERROR(IFERROR(SUBSTITUTE(UnihockeyResultat[[#This Row],[Eingabe]],".",",")*1,SUBSTITUTE(UnihockeyResultat[[#This Row],[Eingabe]],",",".")*1),"")</f>
        <v/>
      </c>
      <c r="SZ45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5" s="96"/>
      <c r="TB45" s="91" t="str" cm="1">
        <f t="array" aca="1" ref="TB45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5" s="96" t="str">
        <f ca="1">LEFT(Geschlecht[[#This Row],[Geschlecht (Skala)]],1)&amp;TH$4</f>
        <v>2</v>
      </c>
      <c r="TD45" s="96" t="str">
        <f t="shared" ca="1" si="110"/>
        <v>Unihockey_2[Resultat]</v>
      </c>
      <c r="TE45" s="97" t="str" cm="1">
        <f t="array" aca="1" ref="TE45" ca="1">IF(INDIRECT(TB$1)="","",IF(INDIRECT(TB$2)=0,0,IF(OR(INDIRECT(TB$1)=$A$2,INDIRECT(TB$1)=$A$3),$A$3,IFERROR(INDEX(INDIRECT(TD45),MATCH(INDIRECT(TB$3),INDIRECT(TD45),TD$25)),IFERROR(IF(TD$25=-1,MAX(INDIRECT(TD45)),IF(TD$25=1,MIN(INDIRECT(TD45)))),"")))))</f>
        <v/>
      </c>
      <c r="TG45" s="91" t="str">
        <f t="shared" ca="1" si="111"/>
        <v>Unihockey_2[Note]</v>
      </c>
      <c r="TH45" s="97" t="str" cm="1">
        <f t="array" aca="1" ref="TH45" ca="1">IFERROR(INDEX(INDIRECT(TG45),MATCH(INDIRECT(TB$5),INDIRECT(TD45),0)),IF(INDIRECT(TB$5)=0,1,""))</f>
        <v/>
      </c>
      <c r="TI45" s="97"/>
      <c r="TJ45" s="307"/>
      <c r="TK45" s="96" t="str">
        <f>IFERROR(IFERROR(SUBSTITUTE(VolleyballResultat[[#This Row],[Eingabe]],".",",")*1,SUBSTITUTE(VolleyballResultat[[#This Row],[Eingabe]],",",".")*1),"")</f>
        <v/>
      </c>
      <c r="TL45" s="96" t="e">
        <f>INT(VolleyballResultat[[#This Row],[Resultat]])=VolleyballResultat[[#This Row],[Resultat]]</f>
        <v>#VALUE!</v>
      </c>
      <c r="TM45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5" s="96"/>
      <c r="TO45" s="91" t="str" cm="1">
        <f t="array" aca="1" ref="TO45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5" s="96" t="str">
        <f ca="1">LEFT(Geschlecht[[#This Row],[Geschlecht (Skala)]],1)&amp;TU$4</f>
        <v>2</v>
      </c>
      <c r="TQ45" s="96" t="str">
        <f t="shared" ca="1" si="112"/>
        <v>Volleyball_2[Resultat]</v>
      </c>
      <c r="TR45" s="97" t="str" cm="1">
        <f t="array" aca="1" ref="TR45" ca="1">IF(INDIRECT(TO$1)="","",IF(INDIRECT(TO$2)=0,0,IF(OR(INDIRECT(TO$1)=$A$2,INDIRECT(TO$1)=$A$3),$A$3,IFERROR(INDEX(INDIRECT(TQ45),MATCH(INDIRECT(TO$3),INDIRECT(TQ45),TQ$25)),IFERROR(IF(TQ$25=-1,MAX(INDIRECT(TQ45)),IF(TQ$25=1,MIN(INDIRECT(TQ45)))),"")))))</f>
        <v/>
      </c>
      <c r="TT45" s="91" t="str">
        <f t="shared" ca="1" si="113"/>
        <v>Volleyball_2[Note]</v>
      </c>
      <c r="TU45" s="97" t="str" cm="1">
        <f t="array" aca="1" ref="TU45" ca="1">IFERROR(INDEX(INDIRECT(TT45),MATCH(INDIRECT(TO$5),INDIRECT(TQ45),0)),IF(INDIRECT(TO$5)=0,1,""))</f>
        <v/>
      </c>
      <c r="TV45" s="97"/>
      <c r="TW45" s="309" t="str" cm="1">
        <f t="array" aca="1" ref="TW45" ca="1">IF(AND(ISNUMBER(INDIRECT(TW$3)),INDIRECT(TW$3)&gt;1),INDIRECT(TW$3),"")</f>
        <v/>
      </c>
      <c r="TX45" s="309" t="str" cm="1">
        <f t="array" aca="1" ref="TX45" ca="1">IF(AND(ISNUMBER(INDIRECT(TX$3)),INDIRECT(TX$3)&gt;1),INDIRECT(TX$3),"")</f>
        <v/>
      </c>
      <c r="TY45" s="309" t="str" cm="1">
        <f t="array" aca="1" ref="TY45" ca="1">IF(AND(ISNUMBER(INDIRECT(TY$3)),INDIRECT(TY$3)&gt;1),INDIRECT(TY$3),"")</f>
        <v/>
      </c>
      <c r="TZ45" s="309" t="str" cm="1">
        <f t="array" aca="1" ref="TZ45" ca="1">IF(AND(ISNUMBER(INDIRECT(TZ$3)),INDIRECT(TZ$3)&gt;1),INDIRECT(TZ$3),"")</f>
        <v/>
      </c>
      <c r="UA45" s="309" t="str" cm="1">
        <f t="array" aca="1" ref="UA45" ca="1">IF(AND(ISNUMBER(INDIRECT(UA$3)),INDIRECT(UA$3)&gt;1),INDIRECT(UA$3),"")</f>
        <v/>
      </c>
      <c r="UB45" s="309" t="str">
        <f t="shared" ca="1" si="114"/>
        <v>x</v>
      </c>
      <c r="UC45" s="309" t="str">
        <f t="shared" ca="1" si="115"/>
        <v>y</v>
      </c>
      <c r="UD45" s="309" t="str">
        <f t="shared" ca="1" si="116"/>
        <v>z</v>
      </c>
      <c r="UE45" s="309" t="str">
        <f t="shared" ca="1" si="215"/>
        <v>a</v>
      </c>
      <c r="UF45" s="309" t="str" cm="1">
        <f t="array" aca="1" ref="UF45" ca="1">IF(UE45="a","",INDEX($TW$23:$UA$23,,MATCH(UE45,$TW45:$UA45,0)))</f>
        <v/>
      </c>
      <c r="UG45" s="309" t="str" cm="1">
        <f t="array" aca="1" ref="UG45" ca="1">IF(OR(UF45="",UF45&gt;=$UA$23),"",INDEX(INDIRECT(ADDRESS(ROW($TW$23),UF45+1)):$UA$23,,MATCH(UE45,INDIRECT(ADDRESS(ROW(),UF45+1)):$UA45,0)))</f>
        <v/>
      </c>
      <c r="UH45" s="309" t="str" cm="1">
        <f t="array" aca="1" ref="UH45" ca="1">IF(OR(UG45="",UG45&gt;=$UA$23),"",INDEX(INDIRECT(ADDRESS(ROW($TW$23),UG45+1)):$UA$23,,MATCH(UE45,INDIRECT(ADDRESS(ROW(),UG45+1)):$UA45,0)))</f>
        <v/>
      </c>
      <c r="UI45" s="309" t="str">
        <f t="shared" ca="1" si="216"/>
        <v>c</v>
      </c>
      <c r="UJ45" s="309" t="str" cm="1">
        <f t="array" aca="1" ref="UJ45" ca="1">IF(OR(UI45="b",UI45="c"),"",INDEX($TW$23:$UA$23,,MATCH(UI45,$TW45:$UA45,0)))</f>
        <v/>
      </c>
      <c r="UK45" s="309" t="str" cm="1">
        <f t="array" aca="1" ref="UK45" ca="1">IF(OR(UJ45="",UJ45&gt;=$UA$23),"",INDEX(INDIRECT(ADDRESS(ROW($TW$23),UJ45+1)):$UA$23,,MATCH(UI45,INDIRECT(ADDRESS(ROW(),UJ45+1)):$UA45,0)))</f>
        <v/>
      </c>
      <c r="UL45" s="309" t="str">
        <f t="shared" ca="1" si="117"/>
        <v/>
      </c>
      <c r="UM45" s="309" t="str">
        <f t="shared" ca="1" si="217"/>
        <v>e</v>
      </c>
      <c r="UN45" s="309" t="str">
        <f t="shared" ca="1" si="118"/>
        <v/>
      </c>
      <c r="UO45" s="309" t="str" cm="1">
        <f t="array" aca="1" ref="UO45" ca="1">IF(OR(UM45="d",UM45="e"),"",INDEX($TW$23:$UA$23,,MATCH(UM45,$TW45:$UA45,0)))</f>
        <v/>
      </c>
      <c r="UP45" s="309" t="str" cm="1">
        <f t="array" aca="1" ref="UP45" ca="1">IF(OR(UO45="",UO45&gt;=$UA$23),"",INDEX(INDIRECT(ADDRESS(ROW($TW$23),UO45+1)):$UA$23,,MATCH(UM45,INDIRECT(ADDRESS(ROW(),UO45+1)):$UA45,0)))</f>
        <v/>
      </c>
      <c r="UQ45" s="309" t="str" cm="1">
        <f t="array" aca="1" ref="UQ45" ca="1">IFERROR(IF(ISNUMBER(UF45),UF45,IF(ISNUMBER(UJ45),UJ45,IF(ISNUMBER(UN45),UN45,INDEX($TW$23:$UA$23,,MATCH(UB45,$TW45:$UA45,0))))),"x1")</f>
        <v>x1</v>
      </c>
      <c r="UR45" s="309" t="str" cm="1">
        <f t="array" aca="1" ref="UR45" ca="1">IFERROR(IF(ISNUMBER(UG45),UG45,IF(ISNUMBER(UK45),UK45,IF(ISNUMBER(UO45),UO45,INDEX($TW$23:$UA$23,,MATCH(UC45,$TW45:$UA45,0))))),IF(UQ45="x1","x2","x1"))</f>
        <v>x2</v>
      </c>
      <c r="US45" s="309" t="str" cm="1">
        <f t="array" aca="1" ref="US45" ca="1">IFERROR(IF(ISNUMBER(UH45),UH45,IF(ISNUMBER(UL45),UL45,IF(ISNUMBER(UP45),UP45,INDEX($TW$23:$UA$23,,MATCH(UD45,$TW45:$UA45,0))))),IF(UR45="x1","x2",IF(UR45="x2","x3","x1")))</f>
        <v>x3</v>
      </c>
      <c r="UT45" s="97" t="str" cm="1">
        <f t="array" aca="1" ref="UT45" ca="1">IF(OR(INDIRECT(UT$3)=$A$2,INDIRECT(UT$3)=$A$3),COLUMN(),"")</f>
        <v/>
      </c>
      <c r="UU45" s="97" t="str" cm="1">
        <f t="array" aca="1" ref="UU45" ca="1">IF(OR(INDIRECT(UU$3)=$A$2,INDIRECT(UU$3)=$A$3),COLUMN(),"")</f>
        <v/>
      </c>
      <c r="UV45" s="97" t="str" cm="1">
        <f t="array" aca="1" ref="UV45" ca="1">IF(OR(INDIRECT(UV$3)=$A$2,INDIRECT(UV$3)=$A$3),COLUMN(),"")</f>
        <v/>
      </c>
      <c r="UW45" s="97" t="str" cm="1">
        <f t="array" aca="1" ref="UW45" ca="1">IF(OR(INDIRECT(UW$3)=$A$2,INDIRECT(UW$3)=$A$3),COLUMN(),"")</f>
        <v/>
      </c>
      <c r="UX45" s="97" t="str" cm="1">
        <f t="array" aca="1" ref="UX45" ca="1">IF(OR(INDIRECT(UX$3)=$A$2,INDIRECT(UX$3)=$A$3),COLUMN(),"")</f>
        <v/>
      </c>
      <c r="UY45" s="97" t="str" cm="1">
        <f t="array" aca="1" ref="UY45" ca="1">IF(AND(ISNUMBER(INDIRECT(UY$3)),INDIRECT(UY$3)=0),COLUMN(),"")</f>
        <v/>
      </c>
      <c r="UZ45" s="97" t="str" cm="1">
        <f t="array" aca="1" ref="UZ45" ca="1">IF(AND(ISNUMBER(INDIRECT(UZ$3)),INDIRECT(UZ$3)=0),COLUMN(),"")</f>
        <v/>
      </c>
      <c r="VA45" s="97" t="str" cm="1">
        <f t="array" aca="1" ref="VA45" ca="1">IF(AND(ISNUMBER(INDIRECT(VA$3)),INDIRECT(VA$3)=0),COLUMN(),"")</f>
        <v/>
      </c>
      <c r="VB45" s="97" t="str" cm="1">
        <f t="array" aca="1" ref="VB45" ca="1">IF(AND(ISNUMBER(INDIRECT(VB$3)),INDIRECT(VB$3)=0),COLUMN(),"")</f>
        <v/>
      </c>
      <c r="VC45" s="97" t="str" cm="1">
        <f t="array" aca="1" ref="VC45" ca="1">IF(AND(ISNUMBER(INDIRECT(VC$3)),INDIRECT(VC$3)=0),COLUMN(),"")</f>
        <v/>
      </c>
      <c r="VD45" s="97" t="str">
        <f t="shared" ca="1" si="218"/>
        <v>x1</v>
      </c>
      <c r="VE45" s="97" t="str">
        <f t="shared" ca="1" si="219"/>
        <v>x2</v>
      </c>
      <c r="VF45" s="97" t="str">
        <f t="shared" ca="1" si="220"/>
        <v>x3</v>
      </c>
      <c r="VG45" s="97" t="str">
        <f ca="1">IFERROR(IF(ISNUMBER(VD45),VD45,SMALL($UY45:$VC45,VALUE(RIGHT(VD45,1)))),Stammdaten!$CB$17)</f>
        <v>Erste Spielsportart nicht durchgeführt</v>
      </c>
      <c r="VH45" s="97" t="str">
        <f ca="1">IFERROR(IF(ISNUMBER(VE45),VE45,SMALL($UY45:$VC45,VALUE(RIGHT(VE45,1)))),Stammdaten!$CB$18)</f>
        <v>Zweite Spielsportart nicht durchgeführt</v>
      </c>
      <c r="VI45" s="97" t="str">
        <f ca="1">IFERROR(IF(ISNUMBER(VF45),VF45,SMALL($UY45:$VC45,VALUE(RIGHT(VF45,1)))),Stammdaten!$CB$19)</f>
        <v>Dritte Spielsportart nicht durchgeführt</v>
      </c>
      <c r="VJ45" s="91" t="str" cm="1">
        <f t="array" aca="1" ref="VJ45" ca="1">IFERROR(INDIRECT(ADDRESS(ROW($TW$5),VG45)),VG45)</f>
        <v>Erste Spielsportart nicht durchgeführt</v>
      </c>
      <c r="VK45" s="97" t="str">
        <f t="shared" ca="1" si="221"/>
        <v/>
      </c>
      <c r="VL45" s="97" t="str" cm="1">
        <f t="array" aca="1" ref="VL45" ca="1">IFERROR(IF(INDIRECT(INDEX(INDIRECT(VL$5),MATCH(VJ45,INDIRECT(VL$4),0)))&lt;&gt;"",INDEX(INDIRECT(VL$5),MATCH(VJ45,INDIRECT(VL$4),0)),INDEX(INDIRECT(VL$6),MATCH(VJ45,INDIRECT(VL$4),0))),"")</f>
        <v/>
      </c>
      <c r="VM45" s="97" t="str">
        <f t="shared" ca="1" si="222"/>
        <v/>
      </c>
      <c r="VN45" s="97" t="str" cm="1">
        <f t="array" aca="1" ref="VN45" ca="1">IFERROR(INDIRECT(VL45),"")</f>
        <v/>
      </c>
      <c r="VO45" s="97" t="str">
        <f ca="1">IF(VN45="","",IF(AND(VK45=Stammdaten!$BX$20,VM45="0",VN45=1),SUBSTITUTE(TEXT(VN45,VM45)&amp;" "&amp;LEFT(VK45,LEN(VK45)-1),".",","),SUBSTITUTE(TEXT(VN45,VM45)&amp;" "&amp;VK45,".",",")))</f>
        <v/>
      </c>
      <c r="VP45" s="97" t="str">
        <f t="shared" ca="1" si="119"/>
        <v/>
      </c>
      <c r="VQ45" s="97" t="str" cm="1">
        <f t="array" aca="1" ref="VQ45" ca="1">IFERROR(LEFT(INDIRECT(VP45),1)&amp;"]","")</f>
        <v/>
      </c>
      <c r="VR45" s="97" t="str">
        <f t="shared" ca="1" si="120"/>
        <v/>
      </c>
      <c r="VS45" s="97" t="str">
        <f ca="1">IFERROR(LEFT(VJ45,FIND(Stammdaten!$CA$4,VJ45,1)-2),IFERROR(LEFT(VJ45,FIND(Stammdaten!$CC$3,VJ45,1)-2),VJ45))</f>
        <v>Erste Spielsportart</v>
      </c>
      <c r="VT45" s="97" t="str">
        <f ca="1">IF(NOT(ISERROR(FIND(Stammdaten!$CA$4,VJ45,1))),Stammdaten!$CA$4,IF(VU45&lt;&gt;Stammdaten!$CC$3,VR45,""))</f>
        <v>nicht durchgeführt</v>
      </c>
      <c r="VU45" s="91" t="str">
        <f ca="1">IF(VN45=$A$2,Stammdaten!$CC$3,VO45)</f>
        <v/>
      </c>
      <c r="VV45" s="91" t="str" cm="1">
        <f t="array" aca="1" ref="VV45" ca="1">IFERROR(INDIRECT(ADDRESS(ROW($TW$5),VH45)),VH45)</f>
        <v>Zweite Spielsportart nicht durchgeführt</v>
      </c>
      <c r="VW45" s="97" t="str">
        <f t="shared" ca="1" si="223"/>
        <v/>
      </c>
      <c r="VX45" s="97" t="str" cm="1">
        <f t="array" aca="1" ref="VX45" ca="1">IFERROR(IF(INDIRECT(INDEX(INDIRECT(VX$5),MATCH(VV45,INDIRECT(VX$4),0)))&lt;&gt;"",INDEX(INDIRECT(VX$5),MATCH(VV45,INDIRECT(VX$4),0)),INDEX(INDIRECT(VX$6),MATCH(VV45,INDIRECT(VX$4),0))),"")</f>
        <v/>
      </c>
      <c r="VY45" s="97" t="str">
        <f t="shared" ca="1" si="224"/>
        <v/>
      </c>
      <c r="VZ45" s="97" t="str" cm="1">
        <f t="array" aca="1" ref="VZ45" ca="1">IFERROR(INDIRECT(VX45),"")</f>
        <v/>
      </c>
      <c r="WA45" s="97" t="str">
        <f ca="1">IF(VZ45="","",IF(AND(VW45=Stammdaten!$BX$20,VY45="0",VZ45=1),SUBSTITUTE(TEXT(VZ45,VY45)&amp;" "&amp;LEFT(VW45,LEN(VW45)-1),".",","),SUBSTITUTE(TEXT(VZ45,VY45)&amp;" "&amp;VW45,".",",")))</f>
        <v/>
      </c>
      <c r="WB45" s="97" t="str">
        <f t="shared" ca="1" si="121"/>
        <v/>
      </c>
      <c r="WC45" s="97" t="str" cm="1">
        <f t="array" aca="1" ref="WC45" ca="1">IFERROR(LEFT(INDIRECT(WB45),1)&amp;"]","")</f>
        <v/>
      </c>
      <c r="WD45" s="97" t="str">
        <f t="shared" ca="1" si="122"/>
        <v/>
      </c>
      <c r="WE45" s="97" t="str">
        <f ca="1">IFERROR(LEFT(VV45,FIND(Stammdaten!$CA$4,VV45,1)-2),IFERROR(LEFT(VV45,FIND(Stammdaten!$CC$3,VV45,1)-2),VV45))</f>
        <v>Zweite Spielsportart</v>
      </c>
      <c r="WF45" s="97" t="str">
        <f ca="1">IF(NOT(ISERROR(FIND(Stammdaten!$CA$4,VV45,1))),Stammdaten!$CA$4,IF(WG45&lt;&gt;Stammdaten!$CC$3,WD45,""))</f>
        <v>nicht durchgeführt</v>
      </c>
      <c r="WG45" s="91" t="str">
        <f ca="1">IF(VZ45=$A$2,Stammdaten!$CC$3,WA45)</f>
        <v/>
      </c>
      <c r="WH45" s="91" t="str" cm="1">
        <f t="array" aca="1" ref="WH45" ca="1">IFERROR(INDIRECT(ADDRESS(ROW($TW$5),VI45)),VI45)</f>
        <v>Dritte Spielsportart nicht durchgeführt</v>
      </c>
      <c r="WI45" s="97" t="str">
        <f t="shared" ca="1" si="225"/>
        <v/>
      </c>
      <c r="WJ45" s="97" t="str" cm="1">
        <f t="array" aca="1" ref="WJ45" ca="1">IFERROR(IF(INDIRECT(INDEX(INDIRECT(WJ$5),MATCH(WH45,INDIRECT(WJ$4),0)))&lt;&gt;"",INDEX(INDIRECT(WJ$5),MATCH(WH45,INDIRECT(WJ$4),0)),INDEX(INDIRECT(WJ$6),MATCH(WH45,INDIRECT(WJ$4),0))),"")</f>
        <v/>
      </c>
      <c r="WK45" s="97" t="str">
        <f t="shared" ca="1" si="226"/>
        <v/>
      </c>
      <c r="WL45" s="97" t="str" cm="1">
        <f t="array" aca="1" ref="WL45" ca="1">IFERROR(INDIRECT(WJ45),"")</f>
        <v/>
      </c>
      <c r="WM45" s="97" t="str">
        <f ca="1">IF(WL45="","",IF(AND(WI45=Stammdaten!$BX$20,WK45="0",WL45=1),SUBSTITUTE(TEXT(WL45,WK45)&amp;" "&amp;LEFT(WI45,LEN(WI45)-1),".",","),SUBSTITUTE(TEXT(WL45,WK45)&amp;" "&amp;WI45,".",",")))</f>
        <v/>
      </c>
      <c r="WN45" s="97" t="str">
        <f t="shared" ca="1" si="123"/>
        <v/>
      </c>
      <c r="WO45" s="97" t="str" cm="1">
        <f t="array" aca="1" ref="WO45" ca="1">IFERROR(LEFT(INDIRECT(WN45),1)&amp;"]","")</f>
        <v/>
      </c>
      <c r="WP45" s="97" t="str">
        <f t="shared" ca="1" si="124"/>
        <v/>
      </c>
      <c r="WQ45" s="97" t="str">
        <f ca="1">IFERROR(LEFT(WH45,FIND(Stammdaten!$CA$4,WH45,1)-2),IFERROR(LEFT(WH45,FIND(Stammdaten!$CC$3,WH45,1)-2),WH45))</f>
        <v>Dritte Spielsportart</v>
      </c>
      <c r="WR45" s="97" t="str">
        <f ca="1">IF(NOT(ISERROR(FIND(Stammdaten!$CA$4,WH45,1))),Stammdaten!$CA$4,IF(WS45&lt;&gt;Stammdaten!$CC$3,WP45,""))</f>
        <v>nicht durchgeführt</v>
      </c>
      <c r="WS45" s="91" t="str">
        <f ca="1">IF(WL45=$A$2,Stammdaten!$CC$3,WM45)</f>
        <v/>
      </c>
      <c r="WT45" s="97" t="str" cm="1">
        <f t="array" aca="1" ref="WT45" ca="1">INDIRECT(WT$5)</f>
        <v/>
      </c>
      <c r="WU45" s="97" t="str" cm="1">
        <f t="array" aca="1" ref="WU45" ca="1">INDIRECT(WU$5)</f>
        <v/>
      </c>
      <c r="WV45" s="97" t="str" cm="1">
        <f t="array" aca="1" ref="WV45" ca="1">INDIRECT(WV$5)</f>
        <v/>
      </c>
      <c r="WW45" s="97" t="str" cm="1">
        <f t="array" aca="1" ref="WW45" ca="1">INDIRECT(WW$5)</f>
        <v/>
      </c>
      <c r="WX45" s="97" t="str" cm="1">
        <f t="array" aca="1" ref="WX45" ca="1">INDIRECT(WX$5)</f>
        <v/>
      </c>
      <c r="WY45" s="97" cm="1">
        <f t="array" aca="1" ref="WY45" ca="1">IF(INDIRECT(WY$5)&lt;&gt;"",INDIRECT(WY$5),0)</f>
        <v>0</v>
      </c>
      <c r="WZ45" s="97" cm="1">
        <f t="array" aca="1" ref="WZ45" ca="1">IF(INDIRECT(WZ$5)&lt;&gt;"",INDIRECT(WZ$5),0)</f>
        <v>0</v>
      </c>
      <c r="XA45" s="97" cm="1">
        <f t="array" aca="1" ref="XA45" ca="1">IF(INDIRECT(XA$5)&lt;&gt;"",INDIRECT(XA$5),0)</f>
        <v>0</v>
      </c>
      <c r="XB45" s="97" cm="1">
        <f t="array" aca="1" ref="XB45" ca="1">IF(INDIRECT(XB$5)&lt;&gt;"",INDIRECT(XB$5),0)</f>
        <v>0</v>
      </c>
      <c r="XC45" s="97" cm="1">
        <f t="array" aca="1" ref="XC45" ca="1">IF(INDIRECT(XC$5)&lt;&gt;"",INDIRECT(XC$5),0)</f>
        <v>0</v>
      </c>
      <c r="XD45" s="97">
        <f t="shared" ca="1" si="125"/>
        <v>0</v>
      </c>
      <c r="XE45" s="97">
        <f t="shared" ca="1" si="125"/>
        <v>0</v>
      </c>
      <c r="XF45" s="97">
        <f t="shared" ca="1" si="125"/>
        <v>0</v>
      </c>
      <c r="XG45" s="97">
        <f t="shared" ca="1" si="227"/>
        <v>0</v>
      </c>
      <c r="XH45" s="108">
        <f t="shared" ca="1" si="228"/>
        <v>0</v>
      </c>
      <c r="XI45" s="108">
        <f t="shared" ca="1" si="126"/>
        <v>0</v>
      </c>
      <c r="XJ45" s="108" t="str">
        <f t="shared" ca="1" si="229"/>
        <v/>
      </c>
      <c r="XK45" s="97" t="str">
        <f ca="1">IF(XJ45="",Stammdaten!$BZ$1,IF(AND(XH45=0,XI45&gt;=XJ$25),$A$3,ROUND(SUM(XG45/XJ45)/XK$25,0)*XK$25))</f>
        <v>Zu wenige Werte</v>
      </c>
      <c r="XL45" s="108">
        <f t="shared" ca="1" si="230"/>
        <v>6</v>
      </c>
      <c r="XM45" s="97" t="str">
        <f t="shared" ca="1" si="231"/>
        <v/>
      </c>
      <c r="XN45" s="97" t="str">
        <f t="shared" ca="1" si="232"/>
        <v/>
      </c>
      <c r="XO45" s="97" t="str">
        <f t="shared" ca="1" si="233"/>
        <v/>
      </c>
      <c r="XP45" s="97" t="str">
        <f t="shared" ca="1" si="234"/>
        <v/>
      </c>
      <c r="XQ45" s="97" t="str">
        <f t="shared" ca="1" si="235"/>
        <v>g</v>
      </c>
      <c r="XR45" s="97" t="str">
        <f t="shared" ca="1" si="236"/>
        <v/>
      </c>
      <c r="XS45" s="97">
        <f t="shared" ca="1" si="237"/>
        <v>1</v>
      </c>
      <c r="XT45" s="97" t="str">
        <f ca="1">IF(OR(Geschlecht[[#This Row],[Geschlecht (Skala)]]="",NOT(ISNUMBER(XJ45))),"",XS45)</f>
        <v/>
      </c>
      <c r="XU45" s="97" t="str">
        <f t="shared" ca="1" si="238"/>
        <v/>
      </c>
      <c r="XV45" s="97"/>
      <c r="XW45" s="308" t="str">
        <f t="shared" ca="1" si="127"/>
        <v>Zu wenige Werte</v>
      </c>
      <c r="XX45" s="97"/>
      <c r="XY45" s="97" t="str">
        <f t="shared" ca="1" si="128"/>
        <v>Zu wenige Werte</v>
      </c>
      <c r="XZ45" s="97" t="str">
        <f t="shared" ca="1" si="129"/>
        <v>Zu wenige Werte</v>
      </c>
      <c r="YA45" s="97" t="str">
        <f t="shared" ca="1" si="130"/>
        <v>Zu wenige Werte</v>
      </c>
      <c r="YB45" s="97" t="str">
        <f t="shared" ca="1" si="131"/>
        <v>Zu wenige Werte</v>
      </c>
      <c r="YC45" s="97">
        <f t="shared" ca="1" si="239"/>
        <v>0</v>
      </c>
      <c r="YD45" s="108">
        <f t="shared" ca="1" si="240"/>
        <v>0</v>
      </c>
      <c r="YE45" s="108">
        <f t="shared" ca="1" si="241"/>
        <v>0</v>
      </c>
      <c r="YF45" s="108" t="str">
        <f t="shared" ca="1" si="242"/>
        <v/>
      </c>
      <c r="YG45" s="97" t="str">
        <f ca="1">IF(YF45="",Stammdaten!$BZ$1,IF(YE45=YF$25,$A$3,ROUND(SUM(YC45/YF45)/YG$25,0)*YG$25))</f>
        <v>Zu wenige Werte</v>
      </c>
      <c r="YH45" s="97" t="str">
        <f ca="1">IF(NOT(ISNUMBER(XY45)),"",IF(YH$11&lt;&gt;"2+",TEXT(XY45,YH$11)&amp;" / ",IF(RIGHT(XY45*100,2)="00",TEXT(XY45,"0"&amp;Stammdaten!$AZ$3&amp;"0")&amp;" / ",XY45&amp;" / ")))</f>
        <v/>
      </c>
      <c r="YI45" s="97" t="str">
        <f ca="1">IF(NOT(ISNUMBER(XZ45)),"",IF(YI$11&lt;&gt;"2+",TEXT(XZ45,YI$11)&amp;" / ",IF(RIGHT(XZ45*100,2)="00",TEXT(XZ45,"0"&amp;Stammdaten!$AZ$3&amp;"0")&amp;" / ",XZ45&amp;" / ")))</f>
        <v/>
      </c>
      <c r="YJ45" s="97" t="str">
        <f ca="1">IF(NOT(ISNUMBER(YA45)),"",IF(YJ$11&lt;&gt;"2+",TEXT(YA45,YJ$11)&amp;" / ",IF(RIGHT(YA45*100,2)="00",TEXT(YA45,"0"&amp;Stammdaten!$AZ$3&amp;"0")&amp;" / ",YA45&amp;" / ")))</f>
        <v/>
      </c>
      <c r="YK45" s="97" t="str">
        <f ca="1">IF(NOT(ISNUMBER(YB45)),"",IF(YK$11&lt;&gt;"2+",TEXT(YB45,YK$11)&amp;" / ",IF(RIGHT(YB45*100,2)="00",TEXT(YB45,"0"&amp;Stammdaten!$AZ$3&amp;"0")&amp;" / ",YB45&amp;" / ")))</f>
        <v/>
      </c>
      <c r="YL45" s="97" t="str">
        <f t="shared" ca="1" si="243"/>
        <v/>
      </c>
      <c r="YM45" s="97" t="str">
        <f>IF(Geschlecht[[#This Row],[Geschlecht (Skala)]]="","",IF(ISNUMBER(XY45),1,IF(XY45=$A$3,$A$2,"R")))</f>
        <v/>
      </c>
      <c r="YN45" s="97" t="str">
        <f>IF(Geschlecht[[#This Row],[Geschlecht (Skala)]]="","",IF(ISNUMBER(XZ45),1,IF(XZ45=$A$3,$A$2,"R")))</f>
        <v/>
      </c>
      <c r="YO45" s="97" t="str">
        <f>IF(Geschlecht[[#This Row],[Geschlecht (Skala)]]="","",IF(ISNUMBER(YA45),1,IF(YA45=$A$3,$A$2,"R")))</f>
        <v/>
      </c>
      <c r="YP45" s="97" t="str">
        <f>IF(Geschlecht[[#This Row],[Geschlecht (Skala)]]="","",IF(ISNUMBER(YB45),1,IF(YB45=$A$3,$A$2,"R")))</f>
        <v/>
      </c>
      <c r="YQ45" s="97" t="str">
        <f t="shared" si="244"/>
        <v>g</v>
      </c>
      <c r="YR45" s="97" t="str">
        <f t="shared" ca="1" si="245"/>
        <v/>
      </c>
      <c r="YS45" s="97">
        <f t="shared" ca="1" si="246"/>
        <v>1</v>
      </c>
      <c r="YT45" s="97" t="str">
        <f ca="1">IF(OR(Geschlecht[[#This Row],[Geschlecht (Skala)]]="",NOT(ISNUMBER(YG45))),"",YS45)</f>
        <v/>
      </c>
      <c r="YU45" s="97"/>
      <c r="YV45" s="311" t="str">
        <f t="shared" si="247"/>
        <v>D</v>
      </c>
      <c r="YW45" s="302"/>
      <c r="YX45" s="311" t="str">
        <f t="shared" si="248"/>
        <v>D</v>
      </c>
      <c r="YY45" s="302"/>
      <c r="YZ45" s="311" t="str">
        <f t="shared" si="249"/>
        <v>D</v>
      </c>
      <c r="ZA45" s="302"/>
      <c r="ZB45" s="311" t="str">
        <f t="shared" si="250"/>
        <v>D</v>
      </c>
      <c r="ZC45" s="97"/>
      <c r="ZD45" s="97" t="str">
        <f t="shared" ca="1" si="132"/>
        <v/>
      </c>
      <c r="ZE45" s="97"/>
      <c r="ZF45" s="308" t="str">
        <f t="shared" ca="1" si="251"/>
        <v>Zu wenige Werte</v>
      </c>
      <c r="ZH45" s="317" t="s">
        <v>134</v>
      </c>
      <c r="ZJ45" s="91" t="str" cm="1">
        <f t="array" ref="ZJ45">IF(OR(Geschlecht[[#This Row],[Geschlecht (Skala)]]="",ZH45="",ZH45=Stammdaten!$BZ$5),"",REPLACE(INDEX(StdDisziplinen[TabÜberschriftNote],ZH$3),FIND("X",INDEX(StdDisziplinen[TabÜberschriftNote],ZH$3),1),1,Geschlecht[[#This Row],[Geschlecht (Skala)]]))</f>
        <v/>
      </c>
      <c r="ZK45" s="314"/>
      <c r="ZM45" s="315"/>
      <c r="ZN45" s="97" t="str">
        <f>IFERROR(IFERROR(SUBSTITUTE(SchwimmenResultatMin[[#This Row],[Min]],".",",")*1,SUBSTITUTE(SchwimmenResultatMin[[#This Row],[Min]],",",".")*1),"")</f>
        <v/>
      </c>
      <c r="ZO45" s="91" t="e">
        <f>INT(SchwimmenResultatMin[[#This Row],[Resultat]])=SchwimmenResultatMin[[#This Row],[Resultat]]</f>
        <v>#VALUE!</v>
      </c>
      <c r="ZP45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5" s="315"/>
      <c r="ZS45" s="97" t="str">
        <f>IFERROR(IFERROR(SUBSTITUTE(SchwimmenResultatSek[[#This Row],[Sek]],".",",")*1,SUBSTITUTE(SchwimmenResultatSek[[#This Row],[Sek]],",",".")*1),"")</f>
        <v/>
      </c>
      <c r="ZT45" s="108" t="e">
        <f>INT(SchwimmenResultatSek[[#This Row],[Resultat]])=SchwimmenResultatSek[[#This Row],[Resultat]]</f>
        <v>#VALUE!</v>
      </c>
      <c r="ZU45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5" s="97" t="str" cm="1">
        <f t="array" aca="1" ref="ZW45" ca="1">IF(AND(INDIRECT(ZW$2)="",INDIRECT(ZX$2)=""),"",IFERROR((INDIRECT(ZW$2)*$ZW$25)+INDIRECT(ZX$2),""))</f>
        <v/>
      </c>
      <c r="ZX45" s="91" t="str">
        <f ca="1">REPLACE(ZW$4,ZX$6,1,Geschlecht[[#This Row],[Geschlecht (Skala)]])</f>
        <v>Schwimmen_[Resultat]</v>
      </c>
      <c r="ZY45" s="91" t="str">
        <f ca="1">IFERROR(REPLACE($ZX45,FIND(Stammdaten!$V$2,$ZX45,1),LEN(Stammdaten!$V$2),Stammdaten!$BZ$9),"")</f>
        <v>Schwimmen_[Anzeige]</v>
      </c>
      <c r="ZZ45" s="97" t="str" cm="1">
        <f t="array" aca="1" ref="ZZ45" ca="1">IF(INDIRECT(ZW$3)="","",IF(INDIRECT(ZW$3)=0,0,IF(OR(INDIRECT(ZW$1)=$A$2,INDIRECT(ZW$1)=$A$3),$A$3,IFERROR(INDEX(INDIRECT(ZX45),MATCH(INDIRECT(ZW$3),INDIRECT(ZX45),ZY$25)),IFERROR(IF(ZY$25=-1,MAX(INDIRECT(ZX45)),IF(ZY$25=1,MIN(INDIRECT(ZX45)))),"")))))</f>
        <v/>
      </c>
      <c r="AAA45" s="97" t="str" cm="1">
        <f t="array" aca="1" ref="AAA45" ca="1">IF(INDIRECT(ZX$5)=0,0,IF(OR(INDIRECT(ZW$1)=$A$2,INDIRECT(ZW$1)=$A$3),$A$3,IFERROR(INDEX(INDIRECT($ZY45),MATCH(INDIRECT(ZX$5),INDIRECT($ZX45),0)),"")))</f>
        <v/>
      </c>
      <c r="AAC45" s="91" t="str">
        <f ca="1">REPLACE(ZW$6,ZX$6,1,Geschlecht[[#This Row],[Geschlecht (Skala)]])</f>
        <v>Schwimmen_[Note]</v>
      </c>
      <c r="AAD45" s="97" t="str" cm="1">
        <f t="array" aca="1" ref="AAD45" ca="1">IFERROR(INDEX(INDIRECT(AAC45),MATCH(INDIRECT(ZX$5),INDIRECT(ZX45),0)),IF(INDIRECT(ZX$5)=0,1,""))</f>
        <v/>
      </c>
      <c r="AAE45" s="97"/>
      <c r="AAF45" s="96" t="str">
        <f>ZwölfMinLaufHalleResultat[[#This Row],[Resultat]]</f>
        <v/>
      </c>
      <c r="AAG45" s="96"/>
      <c r="AAH45" s="97" t="str">
        <f ca="1">ZwölfMinLaufHalleSkalawert[[#This Row],[Skala-Wert]]</f>
        <v/>
      </c>
      <c r="AAJ45" s="97" t="str">
        <f ca="1">ZwölfMinLaufHalleNote[[#This Row],[Note]]</f>
        <v/>
      </c>
      <c r="AAK45" s="97"/>
      <c r="AAL45" s="96" t="str">
        <f>ZwölfMinLaufimFreienResultat[[#This Row],[Resultat]]</f>
        <v/>
      </c>
      <c r="AAM45" s="96"/>
      <c r="AAN45" s="97" t="str">
        <f ca="1">ZwölfMinLaufimFreienSkalawert[[#This Row],[Skala-Wert]]</f>
        <v/>
      </c>
      <c r="AAP45" s="97" t="str">
        <f ca="1">ZwölfMinLaufimFreienNote[[#This Row],[Note]]</f>
        <v/>
      </c>
      <c r="AAQ45" s="97"/>
      <c r="AAR45" s="307"/>
      <c r="AAS45" s="96" t="str">
        <f>IFERROR(IFERROR(SUBSTITUTE(BeweglichkeitResultat[[#This Row],[Eingabe]],".",",")*1,SUBSTITUTE(BeweglichkeitResultat[[#This Row],[Eingabe]],",",".")*1),"")</f>
        <v/>
      </c>
      <c r="AAT45" s="96" t="e">
        <f>INT(BeweglichkeitResultat[[#This Row],[Resultat]])=BeweglichkeitResultat[[#This Row],[Resultat]]</f>
        <v>#VALUE!</v>
      </c>
      <c r="AAU45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5" s="96"/>
      <c r="AAW45" s="91" t="str" cm="1">
        <f t="array" aca="1" ref="AAW45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5" s="96" t="str">
        <f ca="1">REPLACE(AAW$4,AAX$6,1,Geschlecht[[#This Row],[Geschlecht (Skala)]])</f>
        <v>Beweglichkeit_[Resultat]</v>
      </c>
      <c r="AAY45" s="96" t="str" cm="1">
        <f t="array" aca="1" ref="AAY45" ca="1">IF(OR(INDIRECT(AAW$1)=$A$2,INDIRECT(AAW$1)=$A$3),$A$3,IF(OR(INDIRECT(AAW$2)="",AND(Geschlecht[[#This Row],[Geschlecht (Skala)]]=Stammdaten!$D$7,INDIRECT(AAW$2)&lt;0)),"",IFERROR(INDEX(INDIRECT(AAX45),MATCH(INDIRECT(AAW$3),INDIRECT(AAX45),AAX$25)),IFERROR(IF(AAX$25=-1,MAX(INDIRECT(AAX45)),IF(AAX$25=1,MIN(INDIRECT(AAX45)))),""))))</f>
        <v/>
      </c>
      <c r="AAZ45" s="97" t="str" cm="1">
        <f t="array" aca="1" ref="AAZ45" ca="1">IF(INDIRECT(AAW$1)="","",IF(INDIRECT(AAW$1)=0,0,IF(OR(INDIRECT(AAW$1)=$A$2,INDIRECT(AAW$1)=$A$3),$A$3,IFERROR(INDEX(INDIRECT(AAY45),MATCH(INDIRECT(AAW$3),INDIRECT(AAY45),AAY$27)),IFERROR(IF(AAY$27=-1,MAX(INDIRECT(AAY45)),IF(AAY$27=1,MIN(INDIRECT(AAY45)))),"")))))</f>
        <v/>
      </c>
      <c r="ABA45" s="96" t="str">
        <f ca="1">REPLACE(AAW$6,AAX$6,1,Geschlecht[[#This Row],[Geschlecht (Skala)]])</f>
        <v>Beweglichkeit_[Note]</v>
      </c>
      <c r="ABB45" s="91" t="str" cm="1">
        <f t="array" aca="1" ref="ABB45" ca="1">IFERROR(INDEX(INDIRECT(ABA45),MATCH(INDIRECT(AAW$5),INDIRECT(AAX45),0)),"")</f>
        <v/>
      </c>
      <c r="ABC45" s="97" t="str" cm="1">
        <f t="array" aca="1" ref="ABC45" ca="1">IFERROR(INDEX(INDIRECT(ABB45),MATCH(INDIRECT(AAW$5),INDIRECT(AAY45),0)),"")</f>
        <v/>
      </c>
      <c r="ABD45" s="307"/>
      <c r="ABE45" s="96" t="str">
        <f>IFERROR(IFERROR(SUBSTITUTE(RumpfkraftResultat[[#This Row],[Eingabe]],".",",")*1,SUBSTITUTE(RumpfkraftResultat[[#This Row],[Eingabe]],",",".")*1),"")</f>
        <v/>
      </c>
      <c r="ABF45" s="96" t="e">
        <f>INT(RumpfkraftResultat[[#This Row],[Resultat]])=RumpfkraftResultat[[#This Row],[Resultat]]</f>
        <v>#VALUE!</v>
      </c>
      <c r="ABG45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5" s="96"/>
      <c r="ABI45" s="91" t="str" cm="1">
        <f t="array" aca="1" ref="ABI45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5" s="96" t="str">
        <f ca="1">REPLACE(ABI$4,ABJ$6,1,Geschlecht[[#This Row],[Geschlecht (Skala)]])</f>
        <v>Rumpfkraft_[Resultat]</v>
      </c>
      <c r="ABK45" s="97" t="str" cm="1">
        <f t="array" aca="1" ref="ABK45" ca="1">IF(INDIRECT(ABI$1)="","",IF(OR(INDIRECT(ABI$1)=$A$2,INDIRECT(ABI$1)=$A$3),$A$3,IFERROR(INDEX(INDIRECT(ABJ45),MATCH(INDIRECT(ABI$3),INDIRECT(ABJ45),ABJ$25)),IFERROR(IF(ABJ$25=-1,MAX(INDIRECT(ABJ45)),IF(ABJ$25=1,MIN(INDIRECT(ABJ45)))),""))))</f>
        <v/>
      </c>
      <c r="ABM45" s="91" t="str">
        <f ca="1">REPLACE(ABI$6,ABJ$6,1,Geschlecht[[#This Row],[Geschlecht (Skala)]])</f>
        <v>Rumpfkraft_[Note]</v>
      </c>
      <c r="ABN45" s="97" t="str" cm="1">
        <f t="array" aca="1" ref="ABN45" ca="1">IFERROR(INDEX(INDIRECT(ABM45),MATCH(INDIRECT(ABI$5),INDIRECT(ABJ45),0)),"")</f>
        <v/>
      </c>
      <c r="ABO45" s="97"/>
      <c r="ABP45" s="96" t="str">
        <f>SechzigmLaufResultat[[#This Row],[Resultat]]</f>
        <v/>
      </c>
      <c r="ABQ45" s="96"/>
      <c r="ABR45" s="97" t="str">
        <f ca="1">SechzigmLaufSkalawert[[#This Row],[Skala-Wert]]</f>
        <v/>
      </c>
      <c r="ABT45" s="97" t="str">
        <f ca="1">SechzigmLaufNote[[#This Row],[Note]]</f>
        <v/>
      </c>
      <c r="ABU45" s="97"/>
      <c r="ABV45" s="96" t="str">
        <f>AchtzigmLaufResultat[[#This Row],[Resultat]]</f>
        <v/>
      </c>
      <c r="ABW45" s="96"/>
      <c r="ABX45" s="97" t="str">
        <f ca="1">AchtzigmLaufSkalawert[[#This Row],[Skala-Wert]]</f>
        <v/>
      </c>
      <c r="ABZ45" s="97" t="str">
        <f ca="1">AchtzigmLaufNote[[#This Row],[Note]]</f>
        <v/>
      </c>
      <c r="ACA45" s="97"/>
      <c r="ACB45" s="307"/>
      <c r="ACC45" s="96" t="str">
        <f>IFERROR(IFERROR(SUBSTITUTE(KonditionsparcoursResultat[[#This Row],[Eingabe]],".",",")*1,SUBSTITUTE(KonditionsparcoursResultat[[#This Row],[Eingabe]],",",".")*1),"")</f>
        <v/>
      </c>
      <c r="ACD45" s="96" t="e">
        <f>INT(KonditionsparcoursResultat[[#This Row],[Resultat]])=KonditionsparcoursResultat[[#This Row],[Resultat]]</f>
        <v>#VALUE!</v>
      </c>
      <c r="ACE45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5" s="96"/>
      <c r="ACG45" s="91" t="str" cm="1">
        <f t="array" aca="1" ref="ACG45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5" s="96" t="str">
        <f ca="1">LEFT(Geschlecht[[#This Row],[Geschlecht (Skala)]],1)&amp;ACM$4</f>
        <v>2</v>
      </c>
      <c r="ACI45" s="96" t="str">
        <f t="shared" ca="1" si="133"/>
        <v>Konditionsparcours_2[Resultat]</v>
      </c>
      <c r="ACJ45" s="97" t="str" cm="1">
        <f t="array" aca="1" ref="ACJ45" ca="1">IF(INDIRECT(ACG$1)="","",IF(OR(INDIRECT(ACG$1)=$A$2,INDIRECT(ACG$1)=$A$3),$A$3,IFERROR(INDEX(INDIRECT(ACI45),MATCH(INDIRECT(ACG$3),INDIRECT(ACI45),ACI$25)),IFERROR(IF(ACI$25=-1,MAX(INDIRECT(ACI45)),IF(ACI$25=1,MIN(INDIRECT(ACI45)))),""))))</f>
        <v/>
      </c>
      <c r="ACL45" s="91" t="str">
        <f t="shared" ca="1" si="134"/>
        <v>Konditionsparcours_2[Note]</v>
      </c>
      <c r="ACM45" s="97" t="str" cm="1">
        <f t="array" aca="1" ref="ACM45" ca="1">IFERROR(INDEX(INDIRECT(ACL45),MATCH(INDIRECT(ACG$5),INDIRECT(ACI45),0)),"")</f>
        <v/>
      </c>
      <c r="ACN45" s="102"/>
    </row>
    <row r="46" spans="1:768">
      <c r="A46" s="305">
        <v>19</v>
      </c>
      <c r="B46" s="133"/>
      <c r="C46" s="133"/>
      <c r="E46" s="306"/>
      <c r="G46" s="307"/>
      <c r="H46" s="96" t="str">
        <f>IFERROR(IFERROR(SUBSTITUTE(SechzigmLaufResultat[[#This Row],[Eingabe]],".",",")*1,SUBSTITUTE(SechzigmLaufResultat[[#This Row],[Eingabe]],",",".")*1),"")</f>
        <v/>
      </c>
      <c r="I46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6" s="96"/>
      <c r="K46" s="91" t="str" cm="1">
        <f t="array" aca="1" ref="K46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6" s="96" t="str">
        <f ca="1">LEFT(Geschlecht[[#This Row],[Geschlecht (Skala)]],1)&amp;Q$4</f>
        <v>2</v>
      </c>
      <c r="M46" s="96" t="str">
        <f t="shared" ca="1" si="37"/>
        <v>SechzigmLauf_2[Resultat]</v>
      </c>
      <c r="N46" s="97" t="str" cm="1">
        <f t="array" aca="1" ref="N46" ca="1">IF(INDIRECT(K$1)="","",IF(INDIRECT(K$2)=0,0,IF(OR(INDIRECT(K$1)=$A$2,INDIRECT(K$1)=$A$3),$A$3,IFERROR(INDEX(INDIRECT(M46),MATCH(INDIRECT(K$3),INDIRECT(M46),M$25)),IFERROR(IF(M$25=-1,MAX(INDIRECT(M46)),IF(M$25=1,MIN(INDIRECT(M46)))),"")))))</f>
        <v/>
      </c>
      <c r="P46" s="91" t="str">
        <f t="shared" ca="1" si="38"/>
        <v>SechzigmLauf_2[Note]</v>
      </c>
      <c r="Q46" s="97" t="str" cm="1">
        <f t="array" aca="1" ref="Q46" ca="1">IFERROR(INDEX(INDIRECT(P46),MATCH(INDIRECT(K$5),INDIRECT(M46),0)),IF(INDIRECT(K$5)=0,1,""))</f>
        <v/>
      </c>
      <c r="R46" s="97"/>
      <c r="S46" s="307"/>
      <c r="T46" s="96" t="str">
        <f>IFERROR(IFERROR(SUBSTITUTE(AchtzigmLaufResultat[[#This Row],[Eingabe]],".",",")*1,SUBSTITUTE(AchtzigmLaufResultat[[#This Row],[Eingabe]],",",".")*1),"")</f>
        <v/>
      </c>
      <c r="U46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6" s="96"/>
      <c r="W46" s="91" t="str" cm="1">
        <f t="array" aca="1" ref="W46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6" s="96" t="str">
        <f ca="1">LEFT(Geschlecht[[#This Row],[Geschlecht (Skala)]],1)&amp;AC$4</f>
        <v>2</v>
      </c>
      <c r="Y46" s="96" t="str">
        <f t="shared" ca="1" si="39"/>
        <v>AchtzigmLauf_2[Resultat]</v>
      </c>
      <c r="Z46" s="97" t="str" cm="1">
        <f t="array" aca="1" ref="Z46" ca="1">IF(INDIRECT(W$1)="","",IF(INDIRECT(W$2)=0,0,IF(OR(INDIRECT(W$1)=$A$2,INDIRECT(W$1)=$A$3),$A$3,IFERROR(INDEX(INDIRECT(Y46),MATCH(INDIRECT(W$3),INDIRECT(Y46),Y$25)),IFERROR(IF(Y$25=-1,MAX(INDIRECT(Y46)),IF(Y$25=1,MIN(INDIRECT(Y46)))),"")))))</f>
        <v/>
      </c>
      <c r="AB46" s="91" t="str">
        <f t="shared" ca="1" si="40"/>
        <v>AchtzigmLauf_2[Note]</v>
      </c>
      <c r="AC46" s="97" t="str" cm="1">
        <f t="array" aca="1" ref="AC46" ca="1">IFERROR(INDEX(INDIRECT(AB46),MATCH(INDIRECT(W$5),INDIRECT(Y46),0)),IF(INDIRECT(W$5)=0,1,""))</f>
        <v/>
      </c>
      <c r="AD46" s="97"/>
      <c r="AE46" s="307"/>
      <c r="AF46" s="96" t="str">
        <f>IFERROR(IFERROR(SUBSTITUTE(ZwölfMinLaufHalleResultat[[#This Row],[Eingabe]],".",",")*1,SUBSTITUTE(ZwölfMinLaufHalleResultat[[#This Row],[Eingabe]],",",".")*1),"")</f>
        <v/>
      </c>
      <c r="AG46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6" s="96"/>
      <c r="AI46" s="91" t="str" cm="1">
        <f t="array" aca="1" ref="AI46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6" s="96" t="str">
        <f ca="1">LEFT(Geschlecht[[#This Row],[Geschlecht (Skala)]],1)&amp;AO$4</f>
        <v>2</v>
      </c>
      <c r="AK46" s="96" t="str">
        <f t="shared" ca="1" si="41"/>
        <v>ZwölfMinLaufHalle_2[Resultat]</v>
      </c>
      <c r="AL46" s="97" t="str" cm="1">
        <f t="array" aca="1" ref="AL46" ca="1">IF(INDIRECT(AI$1)="","",IF(INDIRECT(AI$2)=0,0,IF(OR(INDIRECT(AI$1)=$A$2,INDIRECT(AI$1)=$A$3),$A$3,IFERROR(INDEX(INDIRECT(AK46),MATCH(INDIRECT(AI$3),INDIRECT(AK46),AK$25)),IFERROR(IF(AK$25=-1,MAX(INDIRECT(AK46)),IF(AK$25=1,MIN(INDIRECT(AK46)))),"")))))</f>
        <v/>
      </c>
      <c r="AN46" s="91" t="str">
        <f t="shared" ca="1" si="42"/>
        <v>ZwölfMinLaufHalle_2[Note]</v>
      </c>
      <c r="AO46" s="97" t="str" cm="1">
        <f t="array" aca="1" ref="AO46" ca="1">IFERROR(INDEX(INDIRECT(AN46),MATCH(INDIRECT(AI$5),INDIRECT(AK46),0)),IF(INDIRECT(AI$5)=0,1,""))</f>
        <v/>
      </c>
      <c r="AP46" s="97"/>
      <c r="AQ46" s="307"/>
      <c r="AR46" s="96" t="str">
        <f>IFERROR(IFERROR(SUBSTITUTE(ZwölfMinLaufimFreienResultat[[#This Row],[Eingabe]],".",",")*1,SUBSTITUTE(ZwölfMinLaufimFreienResultat[[#This Row],[Eingabe]],",",".")*1),"")</f>
        <v/>
      </c>
      <c r="AS46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6" s="96"/>
      <c r="AU46" s="91" t="str" cm="1">
        <f t="array" aca="1" ref="AU46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6" s="96" t="str">
        <f ca="1">LEFT(Geschlecht[[#This Row],[Geschlecht (Skala)]],1)&amp;BA$4</f>
        <v>2</v>
      </c>
      <c r="AW46" s="96" t="str">
        <f t="shared" ca="1" si="43"/>
        <v>ZwölfMinLaufimFreien_2[Resultat]</v>
      </c>
      <c r="AX46" s="97" t="str" cm="1">
        <f t="array" aca="1" ref="AX46" ca="1">IF(INDIRECT(AU$1)="","",IF(INDIRECT(AU$2)=0,0,IF(OR(INDIRECT(AU$1)=$A$2,INDIRECT(AU$1)=$A$3),$A$3,IFERROR(INDEX(INDIRECT(AW46),MATCH(INDIRECT(AU$3),INDIRECT(AW46),AW$25)),IFERROR(IF(AW$25=-1,MAX(INDIRECT(AW46)),IF(AW$25=1,MIN(INDIRECT(AW46)))),"")))))</f>
        <v/>
      </c>
      <c r="AZ46" s="91" t="str">
        <f t="shared" ca="1" si="44"/>
        <v>ZwölfMinLaufimFreien_2[Note]</v>
      </c>
      <c r="BA46" s="97" t="str" cm="1">
        <f t="array" aca="1" ref="BA46" ca="1">IFERROR(INDEX(INDIRECT(AZ46),MATCH(INDIRECT(AU$5),INDIRECT(AW46),0)),IF(INDIRECT(AU$5)=0,1,""))</f>
        <v/>
      </c>
      <c r="BB46" s="97"/>
      <c r="BC46" s="307"/>
      <c r="BD46" s="96" t="str">
        <f>IFERROR(IFERROR(SUBSTITUTE(HochsprungResultat[[#This Row],[Eingabe]],".",",")*1,SUBSTITUTE(HochsprungResultat[[#This Row],[Eingabe]],",",".")*1),"")</f>
        <v/>
      </c>
      <c r="BE46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6" s="96"/>
      <c r="BG46" s="91" t="str" cm="1">
        <f t="array" aca="1" ref="BG46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6" s="96" t="str">
        <f ca="1">LEFT(Geschlecht[[#This Row],[Geschlecht (Skala)]],1)&amp;BM$4</f>
        <v>2</v>
      </c>
      <c r="BI46" s="96" t="str">
        <f t="shared" ca="1" si="45"/>
        <v>Hochsprung_2[Resultat]</v>
      </c>
      <c r="BJ46" s="97" t="str" cm="1">
        <f t="array" aca="1" ref="BJ46" ca="1">IF(INDIRECT(BG$1)="","",IF(INDIRECT(BG$2)=0,0,IF(OR(INDIRECT(BG$1)=$A$2,INDIRECT(BG$1)=$A$3),$A$3,IFERROR(INDEX(INDIRECT(BI46),MATCH(INDIRECT(BG$3),INDIRECT(BI46),BI$25)),IFERROR(IF(BI$25=-1,MAX(INDIRECT(BI46)),IF(BI$25=1,MIN(INDIRECT(BI46)))),"")))))</f>
        <v/>
      </c>
      <c r="BL46" s="91" t="str">
        <f t="shared" ca="1" si="46"/>
        <v>Hochsprung_2[Note]</v>
      </c>
      <c r="BM46" s="97" t="str" cm="1">
        <f t="array" aca="1" ref="BM46" ca="1">IFERROR(INDEX(INDIRECT(BL46),MATCH(INDIRECT(BG$5),INDIRECT(BI46),0)),IF(INDIRECT(BG$5)=0,1,""))</f>
        <v/>
      </c>
      <c r="BN46" s="97"/>
      <c r="BO46" s="307"/>
      <c r="BP46" s="96" t="str">
        <f>IFERROR(IFERROR(SUBSTITUTE(WeitsprungResultat[[#This Row],[Eingabe]],".",",")*1,SUBSTITUTE(WeitsprungResultat[[#This Row],[Eingabe]],",",".")*1),"")</f>
        <v/>
      </c>
      <c r="BQ46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6" s="96"/>
      <c r="BS46" s="91" t="str" cm="1">
        <f t="array" aca="1" ref="BS46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6" s="96" t="str">
        <f ca="1">LEFT(Geschlecht[[#This Row],[Geschlecht (Skala)]],1)&amp;BY$4</f>
        <v>2</v>
      </c>
      <c r="BU46" s="96" t="str">
        <f t="shared" ca="1" si="47"/>
        <v>Weitsprung_2[Resultat]</v>
      </c>
      <c r="BV46" s="97" t="str" cm="1">
        <f t="array" aca="1" ref="BV46" ca="1">IF(INDIRECT(BS$1)="","",IF(INDIRECT(BS$2)=0,0,IF(OR(INDIRECT(BS$1)=$A$2,INDIRECT(BS$1)=$A$3),$A$3,IFERROR(INDEX(INDIRECT(BU46),MATCH(INDIRECT(BS$3),INDIRECT(BU46),BU$25)),IFERROR(IF(BU$25=-1,MAX(INDIRECT(BU46)),IF(BU$25=1,MIN(INDIRECT(BU46)))),"")))))</f>
        <v/>
      </c>
      <c r="BX46" s="91" t="str">
        <f t="shared" ca="1" si="48"/>
        <v>Weitsprung_2[Note]</v>
      </c>
      <c r="BY46" s="97" t="str" cm="1">
        <f t="array" aca="1" ref="BY46" ca="1">IFERROR(INDEX(INDIRECT(BX46),MATCH(INDIRECT(BS$5),INDIRECT(BU46),0)),IF(INDIRECT(BS$5)=0,1,""))</f>
        <v/>
      </c>
      <c r="BZ46" s="97"/>
      <c r="CA46" s="307"/>
      <c r="CB46" s="96" t="str">
        <f>IFERROR(IFERROR(SUBSTITUTE(BallwurfResultat[[#This Row],[Eingabe]],".",",")*1,SUBSTITUTE(BallwurfResultat[[#This Row],[Eingabe]],",",".")*1),"")</f>
        <v/>
      </c>
      <c r="CC46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6" s="96"/>
      <c r="CE46" s="91" t="str" cm="1">
        <f t="array" aca="1" ref="CE46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6" s="96" t="str">
        <f ca="1">LEFT(Geschlecht[[#This Row],[Geschlecht (Skala)]],1)&amp;CK$4</f>
        <v>2</v>
      </c>
      <c r="CG46" s="96" t="str">
        <f t="shared" ca="1" si="49"/>
        <v>Ballwurf_2[Resultat]</v>
      </c>
      <c r="CH46" s="97" t="str" cm="1">
        <f t="array" aca="1" ref="CH46" ca="1">IF(INDIRECT(CE$1)="","",IF(INDIRECT(CE$2)=0,0,IF(OR(INDIRECT(CE$1)=$A$2,INDIRECT(CE$1)=$A$3),$A$3,IFERROR(INDEX(INDIRECT(CG46),MATCH(INDIRECT(CE$3),INDIRECT(CG46),CG$25)),IFERROR(IF(CG$25=-1,MAX(INDIRECT(CG46)),IF(CG$25=1,MIN(INDIRECT(CG46)))),"")))))</f>
        <v/>
      </c>
      <c r="CJ46" s="91" t="str">
        <f t="shared" ca="1" si="50"/>
        <v>Ballwurf_2[Note]</v>
      </c>
      <c r="CK46" s="97" t="str" cm="1">
        <f t="array" aca="1" ref="CK46" ca="1">IFERROR(INDEX(INDIRECT(CJ46),MATCH(INDIRECT(CE$5),INDIRECT(CG46),0)),IF(INDIRECT(CE$5)=0,1,""))</f>
        <v/>
      </c>
      <c r="CL46" s="97"/>
      <c r="CM46" s="307"/>
      <c r="CN46" s="96" t="str">
        <f>IFERROR(IFERROR(SUBSTITUTE(KugelstossenResultat[[#This Row],[Eingabe]],".",",")*1,SUBSTITUTE(KugelstossenResultat[[#This Row],[Eingabe]],",",".")*1),"")</f>
        <v/>
      </c>
      <c r="CO46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6" s="96"/>
      <c r="CQ46" s="91" t="str" cm="1">
        <f t="array" aca="1" ref="CQ46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6" s="96" t="str">
        <f ca="1">LEFT(Geschlecht[[#This Row],[Geschlecht (Skala)]],1)&amp;CW$4</f>
        <v>2</v>
      </c>
      <c r="CS46" s="96" t="str">
        <f t="shared" ca="1" si="51"/>
        <v>Kugelstossen_2[Resultat]</v>
      </c>
      <c r="CT46" s="97" t="str" cm="1">
        <f t="array" aca="1" ref="CT46" ca="1">IF(INDIRECT(CQ$1)="","",IF(INDIRECT(CQ$2)=0,0,IF(OR(INDIRECT(CQ$1)=$A$2,INDIRECT(CQ$1)=$A$3),$A$3,IFERROR(INDEX(INDIRECT(CS46),MATCH(INDIRECT(CQ$3),INDIRECT(CS46),CS$25)),IFERROR(IF(CS$25=-1,MAX(INDIRECT(CS46)),IF(CS$25=1,MIN(INDIRECT(CS46)))),"")))))</f>
        <v/>
      </c>
      <c r="CV46" s="91" t="str">
        <f t="shared" ca="1" si="52"/>
        <v>Kugelstossen_2[Note]</v>
      </c>
      <c r="CW46" s="97" t="str" cm="1">
        <f t="array" aca="1" ref="CW46" ca="1">IFERROR(INDEX(INDIRECT(CV46),MATCH(INDIRECT(CQ$5),INDIRECT(CS46),0)),IF(INDIRECT(CQ$5)=0,1,""))</f>
        <v/>
      </c>
      <c r="CX46" s="97"/>
      <c r="CY46" s="307"/>
      <c r="CZ46" s="96" t="str">
        <f>IFERROR(IFERROR(SUBSTITUTE(SpeerwurfResultat[[#This Row],[Eingabe]],".",",")*1,SUBSTITUTE(SpeerwurfResultat[[#This Row],[Eingabe]],",",".")*1),"")</f>
        <v/>
      </c>
      <c r="DA46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6" s="96"/>
      <c r="DC46" s="91" t="str" cm="1">
        <f t="array" aca="1" ref="DC46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6" s="96" t="str">
        <f ca="1">LEFT(Geschlecht[[#This Row],[Geschlecht (Skala)]],1)&amp;DI$4</f>
        <v>2</v>
      </c>
      <c r="DE46" s="96" t="str">
        <f t="shared" ca="1" si="53"/>
        <v>Speerwurf_2[Resultat]</v>
      </c>
      <c r="DF46" s="97" t="str" cm="1">
        <f t="array" aca="1" ref="DF46" ca="1">IF(INDIRECT(DC$1)="","",IF(INDIRECT(DC$2)=0,0,IF(OR(INDIRECT(DC$1)=$A$2,INDIRECT(DC$1)=$A$3),$A$3,IFERROR(INDEX(INDIRECT(DE46),MATCH(INDIRECT(DC$3),INDIRECT(DE46),DE$25)),IFERROR(IF(DE$25=-1,MAX(INDIRECT(DE46)),IF(DE$25=1,MIN(INDIRECT(DE46)))),"")))))</f>
        <v/>
      </c>
      <c r="DH46" s="91" t="str">
        <f t="shared" ca="1" si="54"/>
        <v>Speerwurf_2[Note]</v>
      </c>
      <c r="DI46" s="97" t="str" cm="1">
        <f t="array" aca="1" ref="DI46" ca="1">IFERROR(INDEX(INDIRECT(DH46),MATCH(INDIRECT(DC$5),INDIRECT(DE46),0)),IF(INDIRECT(DC$5)=0,1,""))</f>
        <v/>
      </c>
      <c r="DJ46" s="97"/>
      <c r="DK46" s="97" t="str" cm="1">
        <f t="array" aca="1" ref="DK46" ca="1">INDIRECT(DK$5)</f>
        <v/>
      </c>
      <c r="DL46" s="97" t="str" cm="1">
        <f t="array" aca="1" ref="DL46" ca="1">INDIRECT(DL$5)</f>
        <v/>
      </c>
      <c r="DM46" s="97" t="str" cm="1">
        <f t="array" aca="1" ref="DM46" ca="1">INDIRECT(DM$5)</f>
        <v/>
      </c>
      <c r="DN46" s="97" t="str" cm="1">
        <f t="array" aca="1" ref="DN46" ca="1">INDIRECT(DN$5)</f>
        <v/>
      </c>
      <c r="DO46" s="97" t="str">
        <f t="shared" ca="1" si="135"/>
        <v>Sprintdisziplinen nicht durchgeführt</v>
      </c>
      <c r="DP46" s="97" t="str">
        <f t="shared" ca="1" si="136"/>
        <v/>
      </c>
      <c r="DQ46" s="108">
        <f t="shared" ca="1" si="137"/>
        <v>0</v>
      </c>
      <c r="DR46" s="108">
        <f t="shared" ca="1" si="138"/>
        <v>0</v>
      </c>
      <c r="DS46" s="108" t="str">
        <f t="shared" ca="1" si="139"/>
        <v/>
      </c>
      <c r="DT46" s="97" t="str">
        <f t="shared" ca="1" si="140"/>
        <v>Sprintdisziplinen nicht durchgeführt</v>
      </c>
      <c r="DU46" s="97" t="str">
        <f t="shared" ca="1" si="141"/>
        <v/>
      </c>
      <c r="DV46" s="97" t="str" cm="1">
        <f t="array" aca="1" ref="DV46" ca="1">IFERROR(IF(INDIRECT(INDEX(INDIRECT(DV$5),MATCH(DT46,INDIRECT(DV$4),0)))&lt;&gt;"",INDEX(INDIRECT(DV$5),MATCH(DT46,INDIRECT(DV$4),0)),INDEX(INDIRECT(DV$6),MATCH(DT46,INDIRECT(DV$4),0))),"")</f>
        <v/>
      </c>
      <c r="DW46" s="97" t="str">
        <f t="shared" ca="1" si="142"/>
        <v/>
      </c>
      <c r="DX46" s="97" t="str" cm="1">
        <f t="array" aca="1" ref="DX46" ca="1">IFERROR(INDIRECT(DV46),IF(NOT(ISERROR(FIND(Stammdaten!$CC$3,DT46,1))),$A$2,""))</f>
        <v/>
      </c>
      <c r="DY46" s="97" t="str">
        <f ca="1">IF(DX46="","",IF(AND(DU46=Stammdaten!$BX$20,DW46="0",DX46=1),SUBSTITUTE(TEXT(DX46,DW46)&amp;" "&amp;LEFT(DU46,LEN(DU46)-1),".",","),SUBSTITUTE(TEXT(DX46,DW46)&amp;" "&amp;DU46,".",",")))</f>
        <v/>
      </c>
      <c r="DZ46" s="97" t="str">
        <f t="shared" ca="1" si="55"/>
        <v/>
      </c>
      <c r="EA46" s="97" t="str" cm="1">
        <f t="array" aca="1" ref="EA46" ca="1">IFERROR(LEFT(INDIRECT(DZ46),1)&amp;"]","")</f>
        <v/>
      </c>
      <c r="EB46" s="97" t="str">
        <f t="shared" ca="1" si="56"/>
        <v/>
      </c>
      <c r="EC46" s="97" t="str">
        <f ca="1">IFERROR(LEFT(DT46,FIND(Stammdaten!$CA$4,DT46,1)-2),IFERROR(LEFT(DT46,FIND(Stammdaten!$CC$3,DT46,1)-2),DT46))</f>
        <v>Sprintdisziplinen</v>
      </c>
      <c r="ED46" s="97" t="str">
        <f ca="1">IF(NOT(ISERROR(FIND(Stammdaten!$CA$4,DT46,1))),Stammdaten!$CA$4,IF(EE46&lt;&gt;Stammdaten!$CC$3,EB46,""))</f>
        <v>nicht durchgeführt</v>
      </c>
      <c r="EE46" s="91" t="str">
        <f ca="1">IF(DX46=$A$2,Stammdaten!$CC$3,DY46)</f>
        <v/>
      </c>
      <c r="EF46" s="97" t="str" cm="1">
        <f t="array" aca="1" ref="EF46" ca="1">INDIRECT(EF$5)</f>
        <v/>
      </c>
      <c r="EG46" s="97" t="str" cm="1">
        <f t="array" aca="1" ref="EG46" ca="1">INDIRECT(EG$5)</f>
        <v/>
      </c>
      <c r="EH46" s="97" t="str" cm="1">
        <f t="array" aca="1" ref="EH46" ca="1">INDIRECT(EH$5)</f>
        <v/>
      </c>
      <c r="EI46" s="97" t="str" cm="1">
        <f t="array" aca="1" ref="EI46" ca="1">INDIRECT(EI$5)</f>
        <v/>
      </c>
      <c r="EJ46" s="97" t="str">
        <f t="shared" ca="1" si="143"/>
        <v>Ausdauerdisziplinen nicht durchgeführt</v>
      </c>
      <c r="EK46" s="97" t="str">
        <f t="shared" ca="1" si="144"/>
        <v/>
      </c>
      <c r="EL46" s="108">
        <f t="shared" ca="1" si="145"/>
        <v>0</v>
      </c>
      <c r="EM46" s="108">
        <f t="shared" ca="1" si="146"/>
        <v>0</v>
      </c>
      <c r="EN46" s="108" t="str">
        <f t="shared" ca="1" si="147"/>
        <v/>
      </c>
      <c r="EO46" s="97" t="str">
        <f t="shared" ca="1" si="148"/>
        <v>Ausdauerdisziplinen nicht durchgeführt</v>
      </c>
      <c r="EP46" s="97" t="str">
        <f t="shared" ca="1" si="149"/>
        <v/>
      </c>
      <c r="EQ46" s="97" t="str" cm="1">
        <f t="array" aca="1" ref="EQ46" ca="1">IFERROR(IF(INDIRECT(INDEX(INDIRECT(EQ$5),MATCH(EO46,INDIRECT(EQ$4),0)))&lt;&gt;"",INDEX(INDIRECT(EQ$5),MATCH(EO46,INDIRECT(EQ$4),0)),INDEX(INDIRECT(EQ$6),MATCH(EO46,INDIRECT(EQ$4),0))),"")</f>
        <v/>
      </c>
      <c r="ER46" s="97" t="str">
        <f t="shared" ca="1" si="150"/>
        <v/>
      </c>
      <c r="ES46" s="97" t="str" cm="1">
        <f t="array" aca="1" ref="ES46" ca="1">IFERROR(INDIRECT(EQ46),IF(NOT(ISERROR(FIND(Stammdaten!$CC$3,EO46,1))),$A$2,""))</f>
        <v/>
      </c>
      <c r="ET46" s="97" t="str">
        <f ca="1">IF(ES46="","",IF(AND(EP46=Stammdaten!$BX$20,ER46="0",ES46=1),SUBSTITUTE(TEXT(ES46,ER46)&amp;" "&amp;LEFT(EP46,LEN(EP46)-1),".",","),SUBSTITUTE(TEXT(ES46,ER46)&amp;" "&amp;EP46,".",",")))</f>
        <v/>
      </c>
      <c r="EU46" s="97" t="str">
        <f t="shared" ca="1" si="57"/>
        <v/>
      </c>
      <c r="EV46" s="97" t="str" cm="1">
        <f t="array" aca="1" ref="EV46" ca="1">IFERROR(LEFT(INDIRECT(EU46),1)&amp;"]","")</f>
        <v/>
      </c>
      <c r="EW46" s="97" t="str">
        <f t="shared" ca="1" si="58"/>
        <v/>
      </c>
      <c r="EX46" s="97" t="str">
        <f ca="1">IFERROR(LEFT(EO46,FIND(Stammdaten!$CA$4,EO46,1)-2),IFERROR(LEFT(EO46,FIND(Stammdaten!$CC$3,EO46,1)-2),EO46))</f>
        <v>Ausdauerdisziplinen</v>
      </c>
      <c r="EY46" s="97" t="str">
        <f ca="1">IF(NOT(ISERROR(FIND(Stammdaten!$CA$4,EO46,1))),Stammdaten!$CA$4,IF(EZ46&lt;&gt;Stammdaten!$CC$3,EW46,""))</f>
        <v>nicht durchgeführt</v>
      </c>
      <c r="EZ46" s="91" t="str">
        <f ca="1">IF(ES46=$A$2,Stammdaten!$CC$3,ET46)</f>
        <v/>
      </c>
      <c r="FA46" s="97" t="str" cm="1">
        <f t="array" aca="1" ref="FA46" ca="1">INDIRECT(FA$5)</f>
        <v/>
      </c>
      <c r="FB46" s="97" t="str" cm="1">
        <f t="array" aca="1" ref="FB46" ca="1">INDIRECT(FB$5)</f>
        <v/>
      </c>
      <c r="FC46" s="97" t="str" cm="1">
        <f t="array" aca="1" ref="FC46" ca="1">INDIRECT(FC$5)</f>
        <v/>
      </c>
      <c r="FD46" s="97" t="str" cm="1">
        <f t="array" aca="1" ref="FD46" ca="1">INDIRECT(FD$5)</f>
        <v/>
      </c>
      <c r="FE46" s="97" t="str">
        <f t="shared" ca="1" si="151"/>
        <v>Sprungdisziplinen nicht durchgeführt</v>
      </c>
      <c r="FF46" s="97" t="str">
        <f t="shared" ca="1" si="152"/>
        <v/>
      </c>
      <c r="FG46" s="108">
        <f t="shared" ca="1" si="153"/>
        <v>0</v>
      </c>
      <c r="FH46" s="108">
        <f t="shared" ca="1" si="154"/>
        <v>0</v>
      </c>
      <c r="FI46" s="108" t="str">
        <f t="shared" ca="1" si="155"/>
        <v/>
      </c>
      <c r="FJ46" s="97" t="str">
        <f t="shared" ca="1" si="156"/>
        <v>Sprungdisziplinen nicht durchgeführt</v>
      </c>
      <c r="FK46" s="97" t="str">
        <f t="shared" ca="1" si="157"/>
        <v/>
      </c>
      <c r="FL46" s="97" t="str" cm="1">
        <f t="array" aca="1" ref="FL46" ca="1">IFERROR(IF(INDIRECT(INDEX(INDIRECT(FL$5),MATCH(FJ46,INDIRECT(FL$4),0)))&lt;&gt;"",INDEX(INDIRECT(FL$5),MATCH(FJ46,INDIRECT(FL$4),0)),INDEX(INDIRECT(FL$6),MATCH(FJ46,INDIRECT(FL$4),0))),"")</f>
        <v/>
      </c>
      <c r="FM46" s="97" t="str">
        <f t="shared" ca="1" si="158"/>
        <v/>
      </c>
      <c r="FN46" s="97" t="str" cm="1">
        <f t="array" aca="1" ref="FN46" ca="1">IFERROR(INDIRECT(FL46),IF(NOT(ISERROR(FIND(Stammdaten!$CC$3,FJ46,1))),$A$2,""))</f>
        <v/>
      </c>
      <c r="FO46" s="97" t="str">
        <f ca="1">IF(FN46="","",IF(AND(FK46=Stammdaten!$BX$20,FM46="0",FN46=1),SUBSTITUTE(TEXT(FN46,FM46)&amp;" "&amp;LEFT(FK46,LEN(FK46)-1),".",","),SUBSTITUTE(TEXT(FN46,FM46)&amp;" "&amp;FK46,".",",")))</f>
        <v/>
      </c>
      <c r="FP46" s="97" t="str">
        <f t="shared" ca="1" si="59"/>
        <v/>
      </c>
      <c r="FQ46" s="97" t="str" cm="1">
        <f t="array" aca="1" ref="FQ46" ca="1">IFERROR(LEFT(INDIRECT(FP46),1)&amp;"]","")</f>
        <v/>
      </c>
      <c r="FR46" s="97" t="str">
        <f t="shared" ca="1" si="60"/>
        <v/>
      </c>
      <c r="FS46" s="97" t="str">
        <f ca="1">IFERROR(LEFT(FJ46,FIND(Stammdaten!$CA$4,FJ46,1)-2),IFERROR(LEFT(FJ46,FIND(Stammdaten!$CC$3,FJ46,1)-2),FJ46))</f>
        <v>Sprungdisziplinen</v>
      </c>
      <c r="FT46" s="97" t="str">
        <f ca="1">IF(NOT(ISERROR(FIND(Stammdaten!$CA$4,FJ46,1))),Stammdaten!$CA$4,IF(FU46&lt;&gt;Stammdaten!$CC$3,FR46,""))</f>
        <v>nicht durchgeführt</v>
      </c>
      <c r="FU46" s="91" t="str">
        <f ca="1">IF(FN46=$A$2,Stammdaten!$CC$3,FO46)</f>
        <v/>
      </c>
      <c r="FV46" s="97" t="str" cm="1">
        <f t="array" aca="1" ref="FV46" ca="1">INDIRECT(FV$5)</f>
        <v/>
      </c>
      <c r="FW46" s="97" t="str" cm="1">
        <f t="array" aca="1" ref="FW46" ca="1">INDIRECT(FW$5)</f>
        <v/>
      </c>
      <c r="FX46" s="97" t="str" cm="1">
        <f t="array" aca="1" ref="FX46" ca="1">INDIRECT(FX$5)</f>
        <v/>
      </c>
      <c r="FY46" s="97" t="str" cm="1">
        <f t="array" aca="1" ref="FY46" ca="1">INDIRECT(FY$5)</f>
        <v/>
      </c>
      <c r="FZ46" s="97" t="str" cm="1">
        <f t="array" aca="1" ref="FZ46" ca="1">INDIRECT(FZ$5)</f>
        <v/>
      </c>
      <c r="GA46" s="97" t="str" cm="1">
        <f t="array" aca="1" ref="GA46" ca="1">INDIRECT(GA$5)</f>
        <v/>
      </c>
      <c r="GB46" s="97" t="str">
        <f t="shared" ca="1" si="159"/>
        <v>Wurfdisziplinen nicht durchgeführt</v>
      </c>
      <c r="GC46" s="97" t="str">
        <f t="shared" ca="1" si="160"/>
        <v/>
      </c>
      <c r="GD46" s="108">
        <f t="shared" ca="1" si="161"/>
        <v>0</v>
      </c>
      <c r="GE46" s="108">
        <f t="shared" ca="1" si="162"/>
        <v>0</v>
      </c>
      <c r="GF46" s="108" t="str">
        <f t="shared" ca="1" si="163"/>
        <v/>
      </c>
      <c r="GG46" s="97" t="str">
        <f t="shared" ca="1" si="164"/>
        <v>Wurfdisziplinen nicht durchgeführt</v>
      </c>
      <c r="GH46" s="97" t="str">
        <f t="shared" ca="1" si="165"/>
        <v/>
      </c>
      <c r="GI46" s="97" t="str" cm="1">
        <f t="array" aca="1" ref="GI46" ca="1">IFERROR(IF(INDIRECT(INDEX(INDIRECT(GI$5),MATCH(GG46,INDIRECT(GI$4),0)))&lt;&gt;"",INDEX(INDIRECT(GI$5),MATCH(GG46,INDIRECT(GI$4),0)),INDEX(INDIRECT(GI$6),MATCH(GG46,INDIRECT(GI$4),0))),"")</f>
        <v/>
      </c>
      <c r="GJ46" s="97" t="str">
        <f t="shared" ca="1" si="166"/>
        <v/>
      </c>
      <c r="GK46" s="97" t="str" cm="1">
        <f t="array" aca="1" ref="GK46" ca="1">IFERROR(INDIRECT(GI46),IF(NOT(ISERROR(FIND(Stammdaten!$CC$3,GG46,1))),$A$2,""))</f>
        <v/>
      </c>
      <c r="GL46" s="97" t="str">
        <f ca="1">IF(GK46="","",IF(AND(GH46=Stammdaten!$BX$20,GJ46="0",GK46=1),SUBSTITUTE(TEXT(GK46,GJ46)&amp;" "&amp;LEFT(GH46,LEN(GH46)-1),".",","),SUBSTITUTE(TEXT(GK46,GJ46)&amp;" "&amp;GH46,".",",")))</f>
        <v/>
      </c>
      <c r="GM46" s="97" t="str">
        <f t="shared" ca="1" si="61"/>
        <v/>
      </c>
      <c r="GN46" s="97" t="str" cm="1">
        <f t="array" aca="1" ref="GN46" ca="1">IFERROR(LEFT(INDIRECT(GM46),1)&amp;"]","")</f>
        <v/>
      </c>
      <c r="GO46" s="97" t="str">
        <f t="shared" ca="1" si="62"/>
        <v/>
      </c>
      <c r="GP46" s="97" t="str">
        <f ca="1">IFERROR(LEFT(GG46,FIND(Stammdaten!$CA$4,GG46,1)-2),IFERROR(LEFT(GG46,FIND(Stammdaten!$CC$3,GG46,1)-2),GG46))</f>
        <v>Wurfdisziplinen</v>
      </c>
      <c r="GQ46" s="97" t="str">
        <f ca="1">IF(NOT(ISERROR(FIND(Stammdaten!$CA$4,GG46,1))),Stammdaten!$CA$4,IF(GR46&lt;&gt;Stammdaten!$CC$3,GO46,""))</f>
        <v>nicht durchgeführt</v>
      </c>
      <c r="GR46" s="91" t="str">
        <f ca="1">IF(GK46=$A$2,Stammdaten!$CC$3,GL46)</f>
        <v/>
      </c>
      <c r="GS46" s="97" t="str">
        <f t="shared" ca="1" si="63"/>
        <v/>
      </c>
      <c r="GT46" s="97" t="str">
        <f t="shared" ca="1" si="64"/>
        <v/>
      </c>
      <c r="GU46" s="97" t="str">
        <f t="shared" ca="1" si="65"/>
        <v/>
      </c>
      <c r="GV46" s="97" t="str">
        <f t="shared" ca="1" si="66"/>
        <v/>
      </c>
      <c r="GW46" s="97">
        <f t="shared" ca="1" si="167"/>
        <v>0</v>
      </c>
      <c r="GX46" s="108">
        <f t="shared" ca="1" si="168"/>
        <v>0</v>
      </c>
      <c r="GY46" s="108">
        <f t="shared" ca="1" si="169"/>
        <v>0</v>
      </c>
      <c r="GZ46" s="108" t="str">
        <f t="shared" ca="1" si="170"/>
        <v/>
      </c>
      <c r="HA46" s="97" t="str">
        <f ca="1">IF(GZ46="",Stammdaten!$BZ$1,IF(AND(GX46=0,GY46&gt;=GZ$25),$A$3,ROUND(SUM(GW46/GZ46)/HA$25,0)*HA$25))</f>
        <v>Zu wenige Werte</v>
      </c>
      <c r="HB46" s="108">
        <f t="shared" ca="1" si="171"/>
        <v>6</v>
      </c>
      <c r="HC46" s="97" t="str">
        <f t="shared" ca="1" si="172"/>
        <v/>
      </c>
      <c r="HD46" s="97" t="str">
        <f t="shared" ca="1" si="173"/>
        <v/>
      </c>
      <c r="HE46" s="97" t="str">
        <f t="shared" ca="1" si="174"/>
        <v/>
      </c>
      <c r="HF46" s="97" t="str">
        <f t="shared" ca="1" si="175"/>
        <v/>
      </c>
      <c r="HG46" s="97" t="str">
        <f t="shared" ca="1" si="176"/>
        <v/>
      </c>
      <c r="HH46" s="97" t="str">
        <f t="shared" ca="1" si="177"/>
        <v>g</v>
      </c>
      <c r="HI46" s="97" t="str">
        <f t="shared" ca="1" si="178"/>
        <v/>
      </c>
      <c r="HJ46" s="97">
        <f t="shared" ca="1" si="179"/>
        <v>1</v>
      </c>
      <c r="HK46" s="97" t="str">
        <f ca="1">IF(OR(Geschlecht[[#This Row],[Geschlecht (Skala)]]="",NOT(ISNUMBER(GZ46))),"",HJ46)</f>
        <v/>
      </c>
      <c r="HL46" s="97" t="str">
        <f t="shared" ca="1" si="180"/>
        <v/>
      </c>
      <c r="HM46" s="97"/>
      <c r="HN46" s="308" t="str">
        <f t="shared" ca="1" si="68"/>
        <v>Zu wenige Werte</v>
      </c>
      <c r="HO46" s="97"/>
      <c r="HP46" s="307"/>
      <c r="HQ46" s="96" t="str">
        <f>IFERROR(IFERROR(SUBSTITUTE(ReckResultat[[#This Row],[Eingabe]],".",",")*1,SUBSTITUTE(ReckResultat[[#This Row],[Eingabe]],",",".")*1),"")</f>
        <v/>
      </c>
      <c r="HR46" s="96" t="e">
        <f>INT(ReckResultat[[#This Row],[Resultat]])=ReckResultat[[#This Row],[Resultat]]</f>
        <v>#VALUE!</v>
      </c>
      <c r="HS46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6" s="96"/>
      <c r="HX46" s="97"/>
      <c r="HY46" s="307"/>
      <c r="HZ46" s="96" t="str">
        <f>IFERROR(IFERROR(SUBSTITUTE(BodenResultat[[#This Row],[Eingabe]],".",",")*1,SUBSTITUTE(BodenResultat[[#This Row],[Eingabe]],",",".")*1),"")</f>
        <v/>
      </c>
      <c r="IA46" s="96" t="e">
        <f>INT(BodenResultat[[#This Row],[Resultat]])=BodenResultat[[#This Row],[Resultat]]</f>
        <v>#VALUE!</v>
      </c>
      <c r="IB46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6" s="96"/>
      <c r="IG46" s="97"/>
      <c r="IH46" s="307"/>
      <c r="II46" s="96" t="str">
        <f>IFERROR(IFERROR(SUBSTITUTE(StufenbarrenResultat[[#This Row],[Eingabe]],".",",")*1,SUBSTITUTE(StufenbarrenResultat[[#This Row],[Eingabe]],",",".")*1),"")</f>
        <v/>
      </c>
      <c r="IJ46" s="96" t="e">
        <f>INT(StufenbarrenResultat[[#This Row],[Resultat]])=StufenbarrenResultat[[#This Row],[Resultat]]</f>
        <v>#VALUE!</v>
      </c>
      <c r="IK46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6" s="96"/>
      <c r="IP46" s="97"/>
      <c r="IQ46" s="307"/>
      <c r="IR46" s="96" t="str">
        <f>IFERROR(IFERROR(SUBSTITUTE(ParallelbarrenResultat[[#This Row],[Eingabe]],".",",")*1,SUBSTITUTE(ParallelbarrenResultat[[#This Row],[Eingabe]],",",".")*1),"")</f>
        <v/>
      </c>
      <c r="IS46" s="96" t="e">
        <f>INT(ParallelbarrenResultat[[#This Row],[Resultat]])=ParallelbarrenResultat[[#This Row],[Resultat]]</f>
        <v>#VALUE!</v>
      </c>
      <c r="IT46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6" s="96"/>
      <c r="IY46" s="97"/>
      <c r="IZ46" s="307"/>
      <c r="JA46" s="96" t="str">
        <f>IFERROR(IFERROR(SUBSTITUTE(SchaukelringeResultat[[#This Row],[Eingabe]],".",",")*1,SUBSTITUTE(SchaukelringeResultat[[#This Row],[Eingabe]],",",".")*1),"")</f>
        <v/>
      </c>
      <c r="JB46" s="96" t="e">
        <f>INT(SchaukelringeResultat[[#This Row],[Resultat]])=SchaukelringeResultat[[#This Row],[Resultat]]</f>
        <v>#VALUE!</v>
      </c>
      <c r="JC46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6" s="96"/>
      <c r="JH46" s="97"/>
      <c r="JI46" s="307"/>
      <c r="JJ46" s="96" t="str">
        <f>IFERROR(IFERROR(SUBSTITUTE(SprungResultat[[#This Row],[Eingabe]],".",",")*1,SUBSTITUTE(SprungResultat[[#This Row],[Eingabe]],",",".")*1),"")</f>
        <v/>
      </c>
      <c r="JK46" s="96" t="e">
        <f>INT(SprungResultat[[#This Row],[Resultat]])=SprungResultat[[#This Row],[Resultat]]</f>
        <v>#VALUE!</v>
      </c>
      <c r="JL46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6" s="96"/>
      <c r="JQ46" s="97"/>
      <c r="JR46" s="309" t="str" cm="1">
        <f t="array" aca="1" ref="JR46" ca="1">IF(AND(ISNUMBER(INDIRECT(JR$3)),INDIRECT(JR$3)&gt;0),INDIRECT(JR$3),"")</f>
        <v/>
      </c>
      <c r="JS46" s="309" t="str" cm="1">
        <f t="array" aca="1" ref="JS46" ca="1">IF(AND(ISNUMBER(INDIRECT(JS$3)),INDIRECT(JS$3)&gt;0),INDIRECT(JS$3),"")</f>
        <v/>
      </c>
      <c r="JT46" s="309" t="str" cm="1">
        <f t="array" aca="1" ref="JT46" ca="1">IF(AND(ISNUMBER(INDIRECT(JT$3)),INDIRECT(JT$3)&gt;0),INDIRECT(JT$3),"")</f>
        <v/>
      </c>
      <c r="JU46" s="309" t="str" cm="1">
        <f t="array" aca="1" ref="JU46" ca="1">IF(AND(ISNUMBER(INDIRECT(JU$3)),INDIRECT(JU$3)&gt;0),INDIRECT(JU$3),"")</f>
        <v/>
      </c>
      <c r="JV46" s="309" t="str" cm="1">
        <f t="array" aca="1" ref="JV46" ca="1">IF(AND(ISNUMBER(INDIRECT(JV$3)),INDIRECT(JV$3)&gt;0),INDIRECT(JV$3),"")</f>
        <v/>
      </c>
      <c r="JW46" s="309" t="str" cm="1">
        <f t="array" aca="1" ref="JW46" ca="1">IF(AND(ISNUMBER(INDIRECT(JW$3)),INDIRECT(JW$3)&gt;0),INDIRECT(JW$3),"")</f>
        <v/>
      </c>
      <c r="JX46" s="309" t="str">
        <f t="shared" ca="1" si="69"/>
        <v>x</v>
      </c>
      <c r="JY46" s="309" t="str">
        <f t="shared" ca="1" si="70"/>
        <v>y</v>
      </c>
      <c r="JZ46" s="309" t="str">
        <f t="shared" ca="1" si="71"/>
        <v>z</v>
      </c>
      <c r="KA46" s="309" t="str">
        <f t="shared" ca="1" si="181"/>
        <v>a</v>
      </c>
      <c r="KB46" s="309" t="str" cm="1">
        <f t="array" aca="1" ref="KB46" ca="1">IF(KA46="a","",INDEX($JR$23:$JW$23,,MATCH(KA46,$JR46:$JW46,0)))</f>
        <v/>
      </c>
      <c r="KC46" s="309" t="str" cm="1">
        <f t="array" aca="1" ref="KC46" ca="1">IF(OR(KB46="",KB46&gt;=$JW$23),"",INDEX(INDIRECT(ADDRESS(ROW($JR$23),KB46+1)):$JW$23,,MATCH(KA46,INDIRECT(ADDRESS(ROW(),KB46+1)):$JW46,0)))</f>
        <v/>
      </c>
      <c r="KD46" s="309" t="str" cm="1">
        <f t="array" aca="1" ref="KD46" ca="1">IF(OR(KC46="",KC46&gt;=$JW$23),"",INDEX(INDIRECT(ADDRESS(ROW($JR$23),KC46+1)):$JW$23,,MATCH(KA46,INDIRECT(ADDRESS(ROW(),KC46+1)):$JW46,0)))</f>
        <v/>
      </c>
      <c r="KE46" s="309" t="str">
        <f t="shared" ca="1" si="182"/>
        <v>c</v>
      </c>
      <c r="KF46" s="309" t="str" cm="1">
        <f t="array" aca="1" ref="KF46" ca="1">IF(OR(KE46="b",KE46="c"),"",INDEX($JR$23:$JW$23,,MATCH(KE46,$JR46:$JW46,0)))</f>
        <v/>
      </c>
      <c r="KG46" s="309" t="str" cm="1">
        <f t="array" aca="1" ref="KG46" ca="1">IF(OR(KF46="",KF46&gt;=$JW$23),"",INDEX(INDIRECT(ADDRESS(ROW($JR$23),KF46+1)):$JW$23,,MATCH(KE46,INDIRECT(ADDRESS(ROW(),KF46+1)):$JW46,0)))</f>
        <v/>
      </c>
      <c r="KH46" s="309" t="str">
        <f t="shared" ca="1" si="72"/>
        <v/>
      </c>
      <c r="KI46" s="309" t="str">
        <f t="shared" ca="1" si="183"/>
        <v>e</v>
      </c>
      <c r="KJ46" s="309" t="str">
        <f t="shared" ca="1" si="73"/>
        <v/>
      </c>
      <c r="KK46" s="309" t="str" cm="1">
        <f t="array" aca="1" ref="KK46" ca="1">IF(OR(KI46="d",KI46="e"),"",INDEX($JR$23:$JW$23,,MATCH(KI46,$JR46:$JW46,0)))</f>
        <v/>
      </c>
      <c r="KL46" s="309" t="str" cm="1">
        <f t="array" aca="1" ref="KL46" ca="1">IF(OR(KK46="",KK46&gt;=$JW$23),"",INDEX(INDIRECT(ADDRESS(ROW($JR$23),KK46+1)):$JW$23,,MATCH(KI46,INDIRECT(ADDRESS(ROW(),KK46+1)):$JW46,0)))</f>
        <v/>
      </c>
      <c r="KM46" s="309" t="str" cm="1">
        <f t="array" aca="1" ref="KM46" ca="1">IFERROR(IF(ISNUMBER(KB46),KB46,IF(ISNUMBER(KF46),KF46,IF(ISNUMBER(KJ46),KJ46,INDEX($JR$23:$JW$23,,MATCH(JX46,$JR46:$JW46,0))))),"x1")</f>
        <v>x1</v>
      </c>
      <c r="KN46" s="309" t="str" cm="1">
        <f t="array" aca="1" ref="KN46" ca="1">IFERROR(IF(ISNUMBER(KC46),KC46,IF(ISNUMBER(KG46),KG46,IF(ISNUMBER(KK46),KK46,INDEX($JR$23:$JW$23,,MATCH(JY46,$JR46:$JW46,0))))),IF(KM46="x1","x2","x1"))</f>
        <v>x2</v>
      </c>
      <c r="KO46" s="309" t="str" cm="1">
        <f t="array" aca="1" ref="KO46" ca="1">IFERROR(IF(ISNUMBER(KD46),KD46,IF(ISNUMBER(KH46),KH46,IF(ISNUMBER(KL46),KL46,INDEX($JR$23:$JW$23,,MATCH(JZ46,$JR46:$JW46,0))))),IF(KN46="x1","x2",IF(KN46="x2","x3","x1")))</f>
        <v>x3</v>
      </c>
      <c r="KP46" s="97" t="str" cm="1">
        <f t="array" aca="1" ref="KP46" ca="1">IF(OR(INDIRECT(KP$3)=$A$2,INDIRECT(KP$3)=$A$3),COLUMN(),"")</f>
        <v/>
      </c>
      <c r="KQ46" s="97" t="str" cm="1">
        <f t="array" aca="1" ref="KQ46" ca="1">IF(OR(INDIRECT(KQ$3)=$A$2,INDIRECT(KQ$3)=$A$3),COLUMN(),"")</f>
        <v/>
      </c>
      <c r="KR46" s="97" t="str" cm="1">
        <f t="array" aca="1" ref="KR46" ca="1">IF(OR(INDIRECT(KR$3)=$A$2,INDIRECT(KR$3)=$A$3),COLUMN(),"")</f>
        <v/>
      </c>
      <c r="KS46" s="97" t="str" cm="1">
        <f t="array" aca="1" ref="KS46" ca="1">IF(OR(INDIRECT(KS$3)=$A$2,INDIRECT(KS$3)=$A$3),COLUMN(),"")</f>
        <v/>
      </c>
      <c r="KT46" s="97" t="str" cm="1">
        <f t="array" aca="1" ref="KT46" ca="1">IF(OR(INDIRECT(KT$3)=$A$2,INDIRECT(KT$3)=$A$3),COLUMN(),"")</f>
        <v/>
      </c>
      <c r="KU46" s="97" t="str" cm="1">
        <f t="array" aca="1" ref="KU46" ca="1">IF(OR(INDIRECT(KU$3)=$A$2,INDIRECT(KU$3)=$A$3),COLUMN(),"")</f>
        <v/>
      </c>
      <c r="KV46" s="97" t="str" cm="1">
        <f t="array" aca="1" ref="KV46" ca="1">IF(AND(ISNUMBER(INDIRECT(KV$3)),INDIRECT(KV$3)=0),COLUMN(),"")</f>
        <v/>
      </c>
      <c r="KW46" s="97" t="str" cm="1">
        <f t="array" aca="1" ref="KW46" ca="1">IF(AND(ISNUMBER(INDIRECT(KW$3)),INDIRECT(KW$3)=0),COLUMN(),"")</f>
        <v/>
      </c>
      <c r="KX46" s="97" t="str" cm="1">
        <f t="array" aca="1" ref="KX46" ca="1">IF(AND(ISNUMBER(INDIRECT(KX$3)),INDIRECT(KX$3)=0),COLUMN(),"")</f>
        <v/>
      </c>
      <c r="KY46" s="97" t="str" cm="1">
        <f t="array" aca="1" ref="KY46" ca="1">IF(AND(ISNUMBER(INDIRECT(KY$3)),INDIRECT(KY$3)=0),COLUMN(),"")</f>
        <v/>
      </c>
      <c r="KZ46" s="97" t="str" cm="1">
        <f t="array" aca="1" ref="KZ46" ca="1">IF(AND(ISNUMBER(INDIRECT(KZ$3)),INDIRECT(KZ$3)=0),COLUMN(),"")</f>
        <v/>
      </c>
      <c r="LA46" s="97" t="str" cm="1">
        <f t="array" aca="1" ref="LA46" ca="1">IF(AND(ISNUMBER(INDIRECT(LA$3)),INDIRECT(LA$3)=0),COLUMN(),"")</f>
        <v/>
      </c>
      <c r="LB46" s="97" t="str">
        <f t="shared" ca="1" si="184"/>
        <v>x1</v>
      </c>
      <c r="LC46" s="97" t="str">
        <f t="shared" ca="1" si="185"/>
        <v>x2</v>
      </c>
      <c r="LD46" s="97" t="str">
        <f t="shared" ca="1" si="186"/>
        <v>x3</v>
      </c>
      <c r="LE46" s="97" t="str">
        <f ca="1">IFERROR(IF(ISNUMBER(LB46),LB46,SMALL($KV46:$LA46,VALUE(RIGHT(LB46,1)))),Stammdaten!$CA$17)</f>
        <v>Erstes Gerät nicht durchgeführt</v>
      </c>
      <c r="LF46" s="97" t="str">
        <f ca="1">IFERROR(IF(ISNUMBER(LC46),LC46,SMALL($KV46:$LA46,VALUE(RIGHT(LC46,1)))),Stammdaten!$CA$18)</f>
        <v>Zweites Gerät nicht durchgeführt</v>
      </c>
      <c r="LG46" s="97" t="str">
        <f ca="1">IFERROR(IF(ISNUMBER(LD46),LD46,SMALL($KV46:$LA46,VALUE(RIGHT(LD46,1)))),Stammdaten!$CA$19)</f>
        <v>Drittes Gerät nicht durchgeführt</v>
      </c>
      <c r="LH46" s="91" t="str" cm="1">
        <f t="array" aca="1" ref="LH46" ca="1">IFERROR(INDIRECT(ADDRESS(ROW($JR$5),LE46)),LE46)</f>
        <v>Erstes Gerät nicht durchgeführt</v>
      </c>
      <c r="LI46" s="97" t="str">
        <f t="shared" ca="1" si="187"/>
        <v/>
      </c>
      <c r="LJ46" s="97" t="str" cm="1">
        <f t="array" aca="1" ref="LJ46" ca="1">IFERROR(IF(INDIRECT(INDEX(INDIRECT(LJ$5),MATCH(LH46,INDIRECT(LJ$4),0)))&lt;&gt;"",INDEX(INDIRECT(LJ$5),MATCH(LH46,INDIRECT(LJ$4),0)),INDEX(INDIRECT(LJ$6),MATCH(LH46,INDIRECT(LJ$4),0))),"")</f>
        <v/>
      </c>
      <c r="LK46" s="97" t="str">
        <f t="shared" ca="1" si="188"/>
        <v/>
      </c>
      <c r="LL46" s="97" t="str" cm="1">
        <f t="array" aca="1" ref="LL46" ca="1">IFERROR(INDIRECT(LJ46),"")</f>
        <v/>
      </c>
      <c r="LM46" s="97" t="str">
        <f ca="1">IF(LL46="","",IF(AND(LI46=Stammdaten!$BX$20,LK46="0",LL46=1),SUBSTITUTE(TEXT(LL46,LK46)&amp;" "&amp;LEFT(LI46,LEN(LI46)-1),".",","),SUBSTITUTE(TEXT(LL46,LK46)&amp;" "&amp;LI46,".",",")))</f>
        <v/>
      </c>
      <c r="LN46" s="97" t="str">
        <f t="shared" ca="1" si="74"/>
        <v/>
      </c>
      <c r="LO46" s="97" t="str" cm="1">
        <f t="array" aca="1" ref="LO46" ca="1">IFERROR(LEFT(INDIRECT(LN46),1)&amp;"]","")</f>
        <v/>
      </c>
      <c r="LP46" s="97" t="str">
        <f t="shared" ca="1" si="75"/>
        <v/>
      </c>
      <c r="LQ46" s="97" t="str">
        <f ca="1">IFERROR(LEFT(LH46,FIND(Stammdaten!$CA$4,LH46,1)-2),IFERROR(LEFT(LH46,FIND(Stammdaten!$CC$3,LH46,1)-2),LH46))</f>
        <v>Erstes Gerät</v>
      </c>
      <c r="LR46" s="97" t="str">
        <f ca="1">IF(NOT(ISERROR(FIND(Stammdaten!$CA$4,LH46,1))),Stammdaten!$CA$4,IF(LS46&lt;&gt;Stammdaten!$CC$3,LP46,""))</f>
        <v>nicht durchgeführt</v>
      </c>
      <c r="LS46" s="91" t="str">
        <f ca="1">IF(LL46=$A$2,Stammdaten!$CC$3,LM46)</f>
        <v/>
      </c>
      <c r="LT46" s="91" t="str" cm="1">
        <f t="array" aca="1" ref="LT46" ca="1">IFERROR(INDIRECT(ADDRESS(ROW($JR$5),LF46)),LF46)</f>
        <v>Zweites Gerät nicht durchgeführt</v>
      </c>
      <c r="LU46" s="97" t="str">
        <f t="shared" ca="1" si="189"/>
        <v/>
      </c>
      <c r="LV46" s="97" t="str" cm="1">
        <f t="array" aca="1" ref="LV46" ca="1">IFERROR(IF(INDIRECT(INDEX(INDIRECT(LV$5),MATCH(LT46,INDIRECT(LV$4),0)))&lt;&gt;"",INDEX(INDIRECT(LV$5),MATCH(LT46,INDIRECT(LV$4),0)),INDEX(INDIRECT(LV$6),MATCH(LT46,INDIRECT(LV$4),0))),"")</f>
        <v/>
      </c>
      <c r="LW46" s="97" t="str">
        <f t="shared" ca="1" si="190"/>
        <v/>
      </c>
      <c r="LX46" s="97" t="str" cm="1">
        <f t="array" aca="1" ref="LX46" ca="1">IFERROR(INDIRECT(LV46),"")</f>
        <v/>
      </c>
      <c r="LY46" s="97" t="str">
        <f ca="1">IF(LX46="","",IF(AND(LU46=Stammdaten!$BX$20,LW46="0",LX46=1),SUBSTITUTE(TEXT(LX46,LW46)&amp;" "&amp;LEFT(LU46,LEN(LU46)-1),".",","),SUBSTITUTE(TEXT(LX46,LW46)&amp;" "&amp;LU46,".",",")))</f>
        <v/>
      </c>
      <c r="LZ46" s="97" t="str">
        <f t="shared" ca="1" si="76"/>
        <v/>
      </c>
      <c r="MA46" s="97" t="str" cm="1">
        <f t="array" aca="1" ref="MA46" ca="1">IFERROR(LEFT(INDIRECT(LZ46),1)&amp;"]","")</f>
        <v/>
      </c>
      <c r="MB46" s="97" t="str">
        <f t="shared" ca="1" si="77"/>
        <v/>
      </c>
      <c r="MC46" s="97" t="str">
        <f ca="1">IFERROR(LEFT(LT46,FIND(Stammdaten!$CA$4,LT46,1)-2),IFERROR(LEFT(LT46,FIND(Stammdaten!$CC$3,LT46,1)-2),LT46))</f>
        <v>Zweites Gerät</v>
      </c>
      <c r="MD46" s="97" t="str">
        <f ca="1">IF(NOT(ISERROR(FIND(Stammdaten!$CA$4,LT46,1))),Stammdaten!$CA$4,IF(ME46&lt;&gt;Stammdaten!$CC$3,MB46,""))</f>
        <v>nicht durchgeführt</v>
      </c>
      <c r="ME46" s="91" t="str">
        <f ca="1">IF(LX46=$A$2,Stammdaten!$CC$3,LY46)</f>
        <v/>
      </c>
      <c r="MF46" s="91" t="str" cm="1">
        <f t="array" aca="1" ref="MF46" ca="1">IFERROR(INDIRECT(ADDRESS(ROW($JR$5),LG46)),LG46)</f>
        <v>Drittes Gerät nicht durchgeführt</v>
      </c>
      <c r="MG46" s="97" t="str">
        <f t="shared" ca="1" si="191"/>
        <v/>
      </c>
      <c r="MH46" s="97" t="str" cm="1">
        <f t="array" aca="1" ref="MH46" ca="1">IFERROR(IF(INDIRECT(INDEX(INDIRECT(MH$5),MATCH(MF46,INDIRECT(MH$4),0)))&lt;&gt;"",INDEX(INDIRECT(MH$5),MATCH(MF46,INDIRECT(MH$4),0)),INDEX(INDIRECT(MH$6),MATCH(MF46,INDIRECT(MH$4),0))),"")</f>
        <v/>
      </c>
      <c r="MI46" s="97" t="str">
        <f t="shared" ca="1" si="192"/>
        <v/>
      </c>
      <c r="MJ46" s="97" t="str" cm="1">
        <f t="array" aca="1" ref="MJ46" ca="1">IFERROR(INDIRECT(MH46),"")</f>
        <v/>
      </c>
      <c r="MK46" s="97" t="str">
        <f ca="1">IF(MJ46="","",IF(AND(MG46=Stammdaten!$BX$20,MI46="0",MJ46=1),SUBSTITUTE(TEXT(MJ46,MI46)&amp;" "&amp;LEFT(MG46,LEN(MG46)-1),".",","),SUBSTITUTE(TEXT(MJ46,MI46)&amp;" "&amp;MG46,".",",")))</f>
        <v/>
      </c>
      <c r="ML46" s="97" t="str">
        <f t="shared" ca="1" si="78"/>
        <v/>
      </c>
      <c r="MM46" s="97" t="str" cm="1">
        <f t="array" aca="1" ref="MM46" ca="1">IFERROR(LEFT(INDIRECT(ML46),1)&amp;"]","")</f>
        <v/>
      </c>
      <c r="MN46" s="97" t="str">
        <f t="shared" ca="1" si="79"/>
        <v/>
      </c>
      <c r="MO46" s="97" t="str">
        <f ca="1">IFERROR(LEFT(MF46,FIND(Stammdaten!$CA$4,MF46,1)-2),IFERROR(LEFT(MF46,FIND(Stammdaten!$CC$3,MF46,1)-2),MF46))</f>
        <v>Drittes Gerät</v>
      </c>
      <c r="MP46" s="97" t="str">
        <f ca="1">IF(NOT(ISERROR(FIND(Stammdaten!$CA$4,MF46,1))),Stammdaten!$CA$4,IF(MQ46&lt;&gt;Stammdaten!$CC$3,MN46,""))</f>
        <v>nicht durchgeführt</v>
      </c>
      <c r="MQ46" s="91" t="str">
        <f ca="1">IF(MJ46=$A$2,Stammdaten!$CC$3,MK46)</f>
        <v/>
      </c>
      <c r="MR46" s="97">
        <f t="shared" ca="1" si="80"/>
        <v>0</v>
      </c>
      <c r="MS46" s="108">
        <f t="shared" ca="1" si="193"/>
        <v>0</v>
      </c>
      <c r="MT46" s="108">
        <f t="shared" ca="1" si="194"/>
        <v>0</v>
      </c>
      <c r="MU46" s="108">
        <f t="shared" ca="1" si="195"/>
        <v>0</v>
      </c>
      <c r="MV46" s="108" t="str">
        <f t="shared" ca="1" si="196"/>
        <v/>
      </c>
      <c r="MW46" s="97" t="str">
        <f ca="1">IF(MV46="",Stammdaten!$BZ$1,IF(AND(MS46+MT46=0,MU46&gt;=MV$25),$A$3,MR46))</f>
        <v>Zu wenige Werte</v>
      </c>
      <c r="MX46" s="97"/>
      <c r="MY46" s="91" t="str">
        <f t="shared" ca="1" si="81"/>
        <v/>
      </c>
      <c r="MZ46" s="96" t="str">
        <f>LEFT(Geschlecht[[#This Row],[Geschlecht (Skala)]],1)&amp;$MZ$27</f>
        <v>2</v>
      </c>
      <c r="NA46" s="96" t="str">
        <f t="shared" ca="1" si="82"/>
        <v>Geräteturnen_2[Resultat]</v>
      </c>
      <c r="NB46" s="97" t="str" cm="1">
        <f t="array" aca="1" ref="NB46" ca="1">IF(OR($MW46="",$MW46=Stammdaten!$BZ$1),"",IF($MW46=0,0,IF(OR($MW46=$A$2,$MW46=$A$3),$A$3,IFERROR(INDEX(INDIRECT(NA46),MATCH(INDIRECT(MY$3),INDIRECT(NA46),NA$25)),IFERROR(IF(NA$25=-1,MAX(INDIRECT(NA46)),IF(NA$25=1,MIN(INDIRECT(NA46)))),"")))))</f>
        <v/>
      </c>
      <c r="ND46" s="91" t="str">
        <f t="shared" ca="1" si="83"/>
        <v>Geräteturnen_2[Note]</v>
      </c>
      <c r="NE46" s="97" t="str" cm="1">
        <f t="array" aca="1" ref="NE46" ca="1">IFERROR(INDEX(INDIRECT(ND46),MATCH(INDIRECT(MY$5),INDIRECT(NA46),0)),IF(INDIRECT(MY$5)=0,1,""))</f>
        <v/>
      </c>
      <c r="NF46" s="97"/>
      <c r="NG46" s="307"/>
      <c r="NH46" s="96" t="str">
        <f>IFERROR(IFERROR(SUBSTITUTE(ParkourResultat[[#This Row],[Eingabe]],".",",")*1,SUBSTITUTE(ParkourResultat[[#This Row],[Eingabe]],",",".")*1),"")</f>
        <v/>
      </c>
      <c r="NI46" s="96" t="e">
        <f>INT(ParkourResultat[[#This Row],[Resultat]])=ParkourResultat[[#This Row],[Resultat]]</f>
        <v>#VALUE!</v>
      </c>
      <c r="NJ46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6" s="96"/>
      <c r="NL46" s="91" t="str" cm="1">
        <f t="array" aca="1" ref="NL46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6" s="96" t="str">
        <f ca="1">LEFT(Geschlecht[[#This Row],[Geschlecht (Skala)]],1)&amp;NR$4</f>
        <v>2</v>
      </c>
      <c r="NN46" s="96" t="str">
        <f t="shared" ca="1" si="84"/>
        <v>Parkour_2[Resultat]</v>
      </c>
      <c r="NO46" s="97" t="str" cm="1">
        <f t="array" aca="1" ref="NO46" ca="1">IF(INDIRECT(NL$1)="","",IF(INDIRECT(NL$2)=0,0,IF(OR(INDIRECT(NL$1)=$A$2,INDIRECT(NL$1)=$A$3),$A$3,IFERROR(INDEX(INDIRECT(NN46),MATCH(INDIRECT(NL$3),INDIRECT(NN46),NN$25)),IFERROR(IF(NN$25=-1,MAX(INDIRECT(NN46)),IF(NN$25=1,MIN(INDIRECT(NN46)))),"")))))</f>
        <v/>
      </c>
      <c r="NQ46" s="91" t="str">
        <f t="shared" ca="1" si="85"/>
        <v>Parkour_2[Note]</v>
      </c>
      <c r="NR46" s="97" t="str" cm="1">
        <f t="array" aca="1" ref="NR46" ca="1">IFERROR(INDEX(INDIRECT(NQ46),MATCH(INDIRECT(NL$5),INDIRECT(NN46),0)),IF(INDIRECT(NL$5)=0,1,""))</f>
        <v/>
      </c>
      <c r="NS46" s="97"/>
      <c r="NT46" s="97" t="str" cm="1">
        <f t="array" aca="1" ref="NT46" ca="1">INDIRECT(NT$5)</f>
        <v/>
      </c>
      <c r="NU46" s="97" t="str" cm="1">
        <f t="array" aca="1" ref="NU46" ca="1">INDIRECT(NU$5)</f>
        <v/>
      </c>
      <c r="NV46" s="97" t="str" cm="1">
        <f t="array" aca="1" ref="NV46" ca="1">INDIRECT(NV$5)</f>
        <v/>
      </c>
      <c r="NW46" s="97" t="str" cm="1">
        <f t="array" aca="1" ref="NW46" ca="1">INDIRECT(NW$5)</f>
        <v/>
      </c>
      <c r="NX46" s="97" t="str">
        <f t="shared" ca="1" si="86"/>
        <v>Parkour nicht durchgeführt</v>
      </c>
      <c r="NY46" s="97" t="str">
        <f t="shared" ca="1" si="197"/>
        <v/>
      </c>
      <c r="NZ46" s="97" t="str" cm="1">
        <f t="array" aca="1" ref="NZ46" ca="1">IFERROR(IF(INDIRECT(INDEX(INDIRECT(NZ$5),MATCH(NX46,INDIRECT(NZ$4),0)))&lt;&gt;"",INDEX(INDIRECT(NZ$5),MATCH(NX46,INDIRECT(NZ$4),0)),INDEX(INDIRECT(NZ$6),MATCH(NX46,INDIRECT(NZ$4),0))),"")</f>
        <v/>
      </c>
      <c r="OA46" s="97" t="str">
        <f t="shared" ca="1" si="198"/>
        <v/>
      </c>
      <c r="OB46" s="97" t="str" cm="1">
        <f t="array" aca="1" ref="OB46" ca="1">IFERROR(INDIRECT(NZ46),IF(NOT(ISERROR(FIND(Stammdaten!$CC$3,NX46,1))),$A$2,""))</f>
        <v/>
      </c>
      <c r="OC46" s="97" t="str">
        <f ca="1">IF(OB46="","",IF(AND(NY46=Stammdaten!$BX$20,OA46="0",OB46=1),SUBSTITUTE(TEXT(OB46,OA46)&amp;" "&amp;LEFT(NY46,LEN(NY46)-1),".",","),SUBSTITUTE(TEXT(OB46,OA46)&amp;" "&amp;NY46,".",",")))</f>
        <v/>
      </c>
      <c r="OD46" s="97" t="str">
        <f t="shared" ca="1" si="87"/>
        <v/>
      </c>
      <c r="OE46" s="97" t="str" cm="1">
        <f t="array" aca="1" ref="OE46" ca="1">IFERROR(LEFT(INDIRECT(OD46),1)&amp;"]","")</f>
        <v/>
      </c>
      <c r="OF46" s="97" t="str">
        <f t="shared" ca="1" si="88"/>
        <v/>
      </c>
      <c r="OG46" s="97" t="str">
        <f ca="1">IFERROR(LEFT(NX46,FIND(Stammdaten!$CA$4,NX46,1)-2),IFERROR(LEFT(NX46,FIND(Stammdaten!$CC$3,NX46,1)-2),NX46))</f>
        <v>Parkour</v>
      </c>
      <c r="OH46" s="97" t="str">
        <f ca="1">IF(NOT(ISERROR(FIND(Stammdaten!$CA$4,NX46,1))),Stammdaten!$CA$4,IF(OI46&lt;&gt;Stammdaten!$CC$3,OF46,""))</f>
        <v>nicht durchgeführt</v>
      </c>
      <c r="OI46" s="91" t="str">
        <f ca="1">IF(OB46=$A$2,Stammdaten!$CC$3,OC46)</f>
        <v/>
      </c>
      <c r="OJ46" s="97" t="str">
        <f t="shared" ca="1" si="89"/>
        <v/>
      </c>
      <c r="OK46" s="97" t="str">
        <f t="shared" ca="1" si="90"/>
        <v/>
      </c>
      <c r="OL46" s="97">
        <f t="shared" ca="1" si="199"/>
        <v>0</v>
      </c>
      <c r="OM46" s="108">
        <f t="shared" ca="1" si="91"/>
        <v>0</v>
      </c>
      <c r="ON46" s="108">
        <f t="shared" ca="1" si="92"/>
        <v>0</v>
      </c>
      <c r="OO46" s="108" t="str">
        <f t="shared" ca="1" si="200"/>
        <v/>
      </c>
      <c r="OP46" s="97" t="str">
        <f ca="1">IF(OO46="",Stammdaten!$BZ$1,IF(AND(OM46=0,ON46&gt;=OO$25),$A$3,ROUND(SUM(OL46/OO46)/OP$25,0)*OP$25))</f>
        <v>Zu wenige Werte</v>
      </c>
      <c r="OQ46" s="108">
        <f t="shared" ca="1" si="201"/>
        <v>6</v>
      </c>
      <c r="OR46" s="97" t="str">
        <f t="shared" ca="1" si="202"/>
        <v/>
      </c>
      <c r="OS46" s="97" t="str">
        <f t="shared" ca="1" si="203"/>
        <v/>
      </c>
      <c r="OT46" s="97" t="str">
        <f t="shared" ca="1" si="204"/>
        <v/>
      </c>
      <c r="OU46" s="97" t="str">
        <f t="shared" ca="1" si="205"/>
        <v>g</v>
      </c>
      <c r="OV46" s="97" t="str">
        <f t="shared" ca="1" si="206"/>
        <v/>
      </c>
      <c r="OW46" s="97">
        <f t="shared" ca="1" si="207"/>
        <v>1</v>
      </c>
      <c r="OX46" s="97" t="str">
        <f ca="1">IF(OR(Geschlecht[[#This Row],[Geschlecht (Skala)]]="",NOT(ISNUMBER(OO46))),"",OW46)</f>
        <v/>
      </c>
      <c r="OY46" s="97" t="str">
        <f t="shared" ca="1" si="208"/>
        <v/>
      </c>
      <c r="OZ46" s="97"/>
      <c r="PA46" s="308" t="str">
        <f t="shared" ca="1" si="209"/>
        <v>Zu wenige Werte</v>
      </c>
      <c r="PB46" s="97"/>
      <c r="PC46" s="307"/>
      <c r="PD46" s="96" t="str">
        <f>IFERROR(IFERROR(SUBSTITUTE(TanzenResultat[[#This Row],[Eingabe]],".",",")*1,SUBSTITUTE(TanzenResultat[[#This Row],[Eingabe]],",",".")*1),"")</f>
        <v/>
      </c>
      <c r="PE46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6" s="96"/>
      <c r="PG46" s="91" t="str" cm="1">
        <f t="array" aca="1" ref="PG46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6" s="96" t="str">
        <f ca="1">LEFT(Geschlecht[[#This Row],[Geschlecht (Skala)]],1)&amp;PM$4</f>
        <v>2</v>
      </c>
      <c r="PI46" s="96" t="str">
        <f t="shared" ca="1" si="93"/>
        <v>Tanzen_2[Resultat]</v>
      </c>
      <c r="PJ46" s="97" t="str" cm="1">
        <f t="array" aca="1" ref="PJ46" ca="1">IF(INDIRECT(PG$1)="","",IF(INDIRECT(PG$2)=0,0,IF(OR(INDIRECT(PG$1)=$A$2,INDIRECT(PG$1)=$A$3),$A$3,IFERROR(INDEX(INDIRECT(PI46),MATCH(INDIRECT(PG$3),INDIRECT(PI46),PI$25)),IFERROR(IF(PI$25=-1,MAX(INDIRECT(PI46)),IF(PI$25=1,MIN(INDIRECT(PI46)))),"")))))</f>
        <v/>
      </c>
      <c r="PL46" s="91" t="str">
        <f t="shared" ca="1" si="94"/>
        <v>Tanzen_2[Note]</v>
      </c>
      <c r="PM46" s="97" t="str" cm="1">
        <f t="array" aca="1" ref="PM46" ca="1">IFERROR(INDEX(INDIRECT(PL46),MATCH(INDIRECT(PG$5),INDIRECT(PI46),0)),IF(INDIRECT(PG$5)=0,1,""))</f>
        <v/>
      </c>
      <c r="PN46" s="97"/>
      <c r="PO46" s="307"/>
      <c r="PP46" s="96" t="str">
        <f>IFERROR(IFERROR(SUBSTITUTE(RopeSkippingResultat[[#This Row],[Eingabe]],".",",")*1,SUBSTITUTE(RopeSkippingResultat[[#This Row],[Eingabe]],",",".")*1),"")</f>
        <v/>
      </c>
      <c r="PQ46" s="96" t="e">
        <f>INT(RopeSkippingResultat[[#This Row],[Resultat]])=RopeSkippingResultat[[#This Row],[Resultat]]</f>
        <v>#VALUE!</v>
      </c>
      <c r="PR46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6" s="96"/>
      <c r="PT46" s="91" t="str" cm="1">
        <f t="array" aca="1" ref="PT46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6" s="96" t="str">
        <f ca="1">LEFT(Geschlecht[[#This Row],[Geschlecht (Skala)]],1)&amp;PZ$4</f>
        <v>2</v>
      </c>
      <c r="PV46" s="96" t="str">
        <f t="shared" ca="1" si="95"/>
        <v>RopeSkipping_2[Resultat]</v>
      </c>
      <c r="PW46" s="97" t="str" cm="1">
        <f t="array" aca="1" ref="PW46" ca="1">IF(INDIRECT(PT$1)="","",IF(INDIRECT(PT$2)=0,0,IF(OR(INDIRECT(PT$1)=$A$2,INDIRECT(PT$1)=$A$3),$A$3,IFERROR(INDEX(INDIRECT(PV46),MATCH(INDIRECT(PT$3),INDIRECT(PV46),PV$25)),IFERROR(IF(PV$25=-1,MAX(INDIRECT(PV46)),IF(PV$25=1,MIN(INDIRECT(PV46)))),"")))))</f>
        <v/>
      </c>
      <c r="PY46" s="91" t="str">
        <f t="shared" ca="1" si="96"/>
        <v>RopeSkipping_2[Note]</v>
      </c>
      <c r="PZ46" s="97" t="str" cm="1">
        <f t="array" aca="1" ref="PZ46" ca="1">IFERROR(INDEX(INDIRECT(PY46),MATCH(INDIRECT(PT$5),INDIRECT(PV46),0)),IF(INDIRECT(PT$5)=0,1,""))</f>
        <v/>
      </c>
      <c r="QA46" s="97"/>
      <c r="QB46" s="307"/>
      <c r="QC46" s="96" t="str">
        <f>IFERROR(IFERROR(SUBSTITUTE(AerobicResultat[[#This Row],[Eingabe]],".",",")*1,SUBSTITUTE(AerobicResultat[[#This Row],[Eingabe]],",",".")*1),"")</f>
        <v/>
      </c>
      <c r="QD46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6" s="96"/>
      <c r="QF46" s="91" t="str" cm="1">
        <f t="array" aca="1" ref="QF46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6" s="96" t="str">
        <f ca="1">LEFT(Geschlecht[[#This Row],[Geschlecht (Skala)]],1)&amp;QL$4</f>
        <v>2</v>
      </c>
      <c r="QH46" s="96" t="str">
        <f t="shared" ca="1" si="97"/>
        <v>Aerobic_2[Resultat]</v>
      </c>
      <c r="QI46" s="97" t="str" cm="1">
        <f t="array" aca="1" ref="QI46" ca="1">IF(INDIRECT(QF$1)="","",IF(INDIRECT(QF$2)=0,0,IF(OR(INDIRECT(QF$1)=$A$2,INDIRECT(QF$1)=$A$3),$A$3,IFERROR(INDEX(INDIRECT(QH46),MATCH(INDIRECT(QF$3),INDIRECT(QH46),QH$25)),IFERROR(IF(QH$25=-1,MAX(INDIRECT(QH46)),IF(QH$25=1,MIN(INDIRECT(QH46)))),"")))))</f>
        <v/>
      </c>
      <c r="QK46" s="91" t="str">
        <f t="shared" ca="1" si="98"/>
        <v>Aerobic_2[Note]</v>
      </c>
      <c r="QL46" s="97" t="str" cm="1">
        <f t="array" aca="1" ref="QL46" ca="1">IFERROR(INDEX(INDIRECT(QK46),MATCH(INDIRECT(QF$5),INDIRECT(QH46),0)),IF(INDIRECT(QF$5)=0,1,""))</f>
        <v/>
      </c>
      <c r="QM46" s="97"/>
      <c r="QN46" s="97" t="str" cm="1">
        <f t="array" aca="1" ref="QN46" ca="1">INDIRECT(QN$5)</f>
        <v/>
      </c>
      <c r="QO46" s="97" t="str" cm="1">
        <f t="array" aca="1" ref="QO46" ca="1">INDIRECT(QO$5)</f>
        <v/>
      </c>
      <c r="QP46" s="97" t="str" cm="1">
        <f t="array" aca="1" ref="QP46" ca="1">INDIRECT(QP$5)</f>
        <v/>
      </c>
      <c r="QQ46" s="97" t="str" cm="1">
        <f t="array" aca="1" ref="QQ46" ca="1">INDIRECT(QQ$5)</f>
        <v/>
      </c>
      <c r="QR46" s="97" t="str" cm="1">
        <f t="array" aca="1" ref="QR46" ca="1">INDIRECT(QR$5)</f>
        <v/>
      </c>
      <c r="QS46" s="97" t="str" cm="1">
        <f t="array" aca="1" ref="QS46" ca="1">INDIRECT(QS$5)</f>
        <v/>
      </c>
      <c r="QT46" s="97" t="str">
        <f t="shared" ca="1" si="99"/>
        <v>Darstellen und Tanzen nicht durchgeführt</v>
      </c>
      <c r="QU46" s="108">
        <f t="shared" ca="1" si="100"/>
        <v>0</v>
      </c>
      <c r="QV46" s="108">
        <f t="shared" ca="1" si="101"/>
        <v>0</v>
      </c>
      <c r="QW46" s="108" t="str">
        <f t="shared" ca="1" si="210"/>
        <v/>
      </c>
      <c r="QX46" s="97" t="str">
        <f t="shared" ca="1" si="211"/>
        <v>Darstellen und Tanzen nicht durchgeführt</v>
      </c>
      <c r="QY46" s="97" t="str">
        <f t="shared" ca="1" si="212"/>
        <v/>
      </c>
      <c r="QZ46" s="97" t="str" cm="1">
        <f t="array" aca="1" ref="QZ46" ca="1">IFERROR(IF(INDIRECT(INDEX(INDIRECT(QZ$5),MATCH(QX46,INDIRECT(QZ$4),0)))&lt;&gt;"",INDEX(INDIRECT(QZ$5),MATCH(QX46,INDIRECT(QZ$4),0)),INDEX(INDIRECT(QZ$6),MATCH(QX46,INDIRECT(QZ$4),0))),"")</f>
        <v/>
      </c>
      <c r="RA46" s="97" t="str">
        <f t="shared" ca="1" si="213"/>
        <v/>
      </c>
      <c r="RB46" s="97" t="str" cm="1">
        <f t="array" aca="1" ref="RB46" ca="1">IFERROR(INDIRECT(QZ46),IF(NOT(ISERROR(FIND(Stammdaten!$CC$3,QX46,1))),$A$2,""))</f>
        <v/>
      </c>
      <c r="RC46" s="97" t="str">
        <f ca="1">IF(RB46="","",IF(AND(QY46=Stammdaten!$BX$20,RA46="0",RB46=1),SUBSTITUTE(TEXT(RB46,RA46)&amp;" "&amp;LEFT(QY46,LEN(QY46)-1),".",","),SUBSTITUTE(TEXT(RB46,RA46)&amp;" "&amp;QY46,".",",")))</f>
        <v/>
      </c>
      <c r="RD46" s="97" t="str">
        <f t="shared" ca="1" si="102"/>
        <v/>
      </c>
      <c r="RE46" s="97" t="str" cm="1">
        <f t="array" aca="1" ref="RE46" ca="1">IFERROR(LEFT(INDIRECT(RD46),1)&amp;"]","")</f>
        <v/>
      </c>
      <c r="RF46" s="97" t="str">
        <f t="shared" ca="1" si="103"/>
        <v/>
      </c>
      <c r="RG46" s="97" t="str">
        <f ca="1">IFERROR(LEFT(QX46,FIND(Stammdaten!$CA$4,QX46,1)-2),IFERROR(LEFT(QX46,FIND(Stammdaten!$CC$3,QX46,1)-2),QX46))</f>
        <v>Darstellen und Tanzen</v>
      </c>
      <c r="RH46" s="97" t="str">
        <f ca="1">IF(NOT(ISERROR(FIND(Stammdaten!$CA$4,QX46,1))),Stammdaten!$CA$4,IF(RI46&lt;&gt;Stammdaten!$CC$3,RF46,""))</f>
        <v>nicht durchgeführt</v>
      </c>
      <c r="RI46" s="91" t="str">
        <f ca="1">IF(RB46=$A$2,Stammdaten!$CC$3,RC46)</f>
        <v/>
      </c>
      <c r="RJ46" s="108">
        <f t="shared" ca="1" si="214"/>
        <v>6</v>
      </c>
      <c r="RK46" s="97"/>
      <c r="RL46" s="308" t="str">
        <f ca="1">IF(QT46=$QT$4,Stammdaten!$BZ$1,IF(QT46=$QT$5,$A$3,QT46))</f>
        <v>Zu wenige Werte</v>
      </c>
      <c r="RM46" s="97"/>
      <c r="RN46" s="307"/>
      <c r="RO46" s="96" t="str">
        <f>IFERROR(IFERROR(SUBSTITUTE(BasketballResultat[[#This Row],[Eingabe]],".",",")*1,SUBSTITUTE(BasketballResultat[[#This Row],[Eingabe]],",",".")*1),"")</f>
        <v/>
      </c>
      <c r="RP46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6" s="96"/>
      <c r="RR46" s="91" t="str" cm="1">
        <f t="array" aca="1" ref="RR46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6" s="96" t="str">
        <f ca="1">LEFT(Geschlecht[[#This Row],[Geschlecht (Skala)]],1)&amp;RX$4</f>
        <v>2</v>
      </c>
      <c r="RT46" s="96" t="str">
        <f t="shared" ca="1" si="104"/>
        <v>Basketball_2[Resultat]</v>
      </c>
      <c r="RU46" s="97" t="str" cm="1">
        <f t="array" aca="1" ref="RU46" ca="1">IF(INDIRECT(RR$1)="","",IF(INDIRECT(RR$2)=0,0,IF(OR(INDIRECT(RR$1)=$A$2,INDIRECT(RR$1)=$A$3),$A$3,IFERROR(INDEX(INDIRECT(RT46),MATCH(INDIRECT(RR$3),INDIRECT(RT46),RT$25)),IFERROR(IF(RT$25=-1,MAX(INDIRECT(RT46)),IF(RT$25=1,MIN(INDIRECT(RT46)))),"")))))</f>
        <v/>
      </c>
      <c r="RW46" s="91" t="str">
        <f t="shared" ca="1" si="105"/>
        <v>Basketball_2[Note]</v>
      </c>
      <c r="RX46" s="97" t="str" cm="1">
        <f t="array" aca="1" ref="RX46" ca="1">IFERROR(INDEX(INDIRECT(RW46),MATCH(INDIRECT(RR$5),INDIRECT(RT46),0)),IF(INDIRECT(RR$5)=0,1,""))</f>
        <v/>
      </c>
      <c r="RY46" s="97"/>
      <c r="RZ46" s="307"/>
      <c r="SA46" s="96" t="str">
        <f>IFERROR(IFERROR(SUBSTITUTE(FussballResultat[[#This Row],[Eingabe]],".",",")*1,SUBSTITUTE(FussballResultat[[#This Row],[Eingabe]],",",".")*1),"")</f>
        <v/>
      </c>
      <c r="SB46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6" s="96"/>
      <c r="SD46" s="316" t="str" cm="1">
        <f t="array" aca="1" ref="SD46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6" s="96" t="str">
        <f ca="1">LEFT(Geschlecht[[#This Row],[Geschlecht (Skala)]],1)&amp;SJ$4</f>
        <v>2</v>
      </c>
      <c r="SF46" s="96" t="str">
        <f t="shared" ca="1" si="106"/>
        <v>Fussball_2[Resultat]</v>
      </c>
      <c r="SG46" s="97" t="str" cm="1">
        <f t="array" aca="1" ref="SG46" ca="1">IF(INDIRECT(SD$1)="","",IF(INDIRECT(SD$2)=0,0,IF(OR(INDIRECT(SD$1)=$A$2,INDIRECT(SD$1)=$A$3),$A$3,IFERROR(INDEX(INDIRECT(SF46),MATCH(INDIRECT(SD$3),INDIRECT(SF46),SF$25)),IFERROR(IF(SF$25=-1,MAX(INDIRECT(SF46)),IF(SF$25=1,MIN(INDIRECT(SF46)))),"")))))</f>
        <v/>
      </c>
      <c r="SI46" s="91" t="str">
        <f t="shared" ca="1" si="107"/>
        <v>Fussball_2[Note]</v>
      </c>
      <c r="SJ46" s="97" t="str" cm="1">
        <f t="array" aca="1" ref="SJ46" ca="1">IFERROR(INDEX(INDIRECT(SI46),MATCH(INDIRECT(SD$5),INDIRECT(SF46),0)),IF(INDIRECT(SD$5)=0,1,""))</f>
        <v/>
      </c>
      <c r="SK46" s="97"/>
      <c r="SL46" s="307"/>
      <c r="SM46" s="96" t="str">
        <f>IFERROR(IFERROR(SUBSTITUTE(HandballResultat[[#This Row],[Eingabe]],".",",")*1,SUBSTITUTE(HandballResultat[[#This Row],[Eingabe]],",",".")*1),"")</f>
        <v/>
      </c>
      <c r="SN46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6" s="96"/>
      <c r="SP46" s="91" t="str" cm="1">
        <f t="array" aca="1" ref="SP46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6" s="96" t="str">
        <f ca="1">LEFT(Geschlecht[[#This Row],[Geschlecht (Skala)]],1)&amp;SV$4</f>
        <v>2</v>
      </c>
      <c r="SR46" s="96" t="str">
        <f t="shared" ca="1" si="108"/>
        <v>Handball_2[Resultat]</v>
      </c>
      <c r="SS46" s="97" t="str" cm="1">
        <f t="array" aca="1" ref="SS46" ca="1">IF(INDIRECT(SP$1)="","",IF(INDIRECT(SP$2)=0,0,IF(OR(INDIRECT(SP$1)=$A$2,INDIRECT(SP$1)=$A$3),$A$3,IFERROR(INDEX(INDIRECT(SR46),MATCH(INDIRECT(SP$3),INDIRECT(SR46),SR$25)),IFERROR(IF(SR$25=-1,MAX(INDIRECT(SR46)),IF(SR$25=1,MIN(INDIRECT(SR46)))),"")))))</f>
        <v/>
      </c>
      <c r="SU46" s="91" t="str">
        <f t="shared" ca="1" si="109"/>
        <v>Handball_2[Note]</v>
      </c>
      <c r="SV46" s="97" t="str" cm="1">
        <f t="array" aca="1" ref="SV46" ca="1">IFERROR(INDEX(INDIRECT(SU46),MATCH(INDIRECT(SP$5),INDIRECT(SR46),0)),IF(INDIRECT(SP$5)=0,1,""))</f>
        <v/>
      </c>
      <c r="SW46" s="97"/>
      <c r="SX46" s="307"/>
      <c r="SY46" s="96" t="str">
        <f>IFERROR(IFERROR(SUBSTITUTE(UnihockeyResultat[[#This Row],[Eingabe]],".",",")*1,SUBSTITUTE(UnihockeyResultat[[#This Row],[Eingabe]],",",".")*1),"")</f>
        <v/>
      </c>
      <c r="SZ46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6" s="96"/>
      <c r="TB46" s="91" t="str" cm="1">
        <f t="array" aca="1" ref="TB46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6" s="96" t="str">
        <f ca="1">LEFT(Geschlecht[[#This Row],[Geschlecht (Skala)]],1)&amp;TH$4</f>
        <v>2</v>
      </c>
      <c r="TD46" s="96" t="str">
        <f t="shared" ca="1" si="110"/>
        <v>Unihockey_2[Resultat]</v>
      </c>
      <c r="TE46" s="97" t="str" cm="1">
        <f t="array" aca="1" ref="TE46" ca="1">IF(INDIRECT(TB$1)="","",IF(INDIRECT(TB$2)=0,0,IF(OR(INDIRECT(TB$1)=$A$2,INDIRECT(TB$1)=$A$3),$A$3,IFERROR(INDEX(INDIRECT(TD46),MATCH(INDIRECT(TB$3),INDIRECT(TD46),TD$25)),IFERROR(IF(TD$25=-1,MAX(INDIRECT(TD46)),IF(TD$25=1,MIN(INDIRECT(TD46)))),"")))))</f>
        <v/>
      </c>
      <c r="TG46" s="91" t="str">
        <f t="shared" ca="1" si="111"/>
        <v>Unihockey_2[Note]</v>
      </c>
      <c r="TH46" s="97" t="str" cm="1">
        <f t="array" aca="1" ref="TH46" ca="1">IFERROR(INDEX(INDIRECT(TG46),MATCH(INDIRECT(TB$5),INDIRECT(TD46),0)),IF(INDIRECT(TB$5)=0,1,""))</f>
        <v/>
      </c>
      <c r="TI46" s="97"/>
      <c r="TJ46" s="307"/>
      <c r="TK46" s="96" t="str">
        <f>IFERROR(IFERROR(SUBSTITUTE(VolleyballResultat[[#This Row],[Eingabe]],".",",")*1,SUBSTITUTE(VolleyballResultat[[#This Row],[Eingabe]],",",".")*1),"")</f>
        <v/>
      </c>
      <c r="TL46" s="96" t="e">
        <f>INT(VolleyballResultat[[#This Row],[Resultat]])=VolleyballResultat[[#This Row],[Resultat]]</f>
        <v>#VALUE!</v>
      </c>
      <c r="TM46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6" s="96"/>
      <c r="TO46" s="91" t="str" cm="1">
        <f t="array" aca="1" ref="TO46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6" s="96" t="str">
        <f ca="1">LEFT(Geschlecht[[#This Row],[Geschlecht (Skala)]],1)&amp;TU$4</f>
        <v>2</v>
      </c>
      <c r="TQ46" s="96" t="str">
        <f t="shared" ca="1" si="112"/>
        <v>Volleyball_2[Resultat]</v>
      </c>
      <c r="TR46" s="97" t="str" cm="1">
        <f t="array" aca="1" ref="TR46" ca="1">IF(INDIRECT(TO$1)="","",IF(INDIRECT(TO$2)=0,0,IF(OR(INDIRECT(TO$1)=$A$2,INDIRECT(TO$1)=$A$3),$A$3,IFERROR(INDEX(INDIRECT(TQ46),MATCH(INDIRECT(TO$3),INDIRECT(TQ46),TQ$25)),IFERROR(IF(TQ$25=-1,MAX(INDIRECT(TQ46)),IF(TQ$25=1,MIN(INDIRECT(TQ46)))),"")))))</f>
        <v/>
      </c>
      <c r="TT46" s="91" t="str">
        <f t="shared" ca="1" si="113"/>
        <v>Volleyball_2[Note]</v>
      </c>
      <c r="TU46" s="97" t="str" cm="1">
        <f t="array" aca="1" ref="TU46" ca="1">IFERROR(INDEX(INDIRECT(TT46),MATCH(INDIRECT(TO$5),INDIRECT(TQ46),0)),IF(INDIRECT(TO$5)=0,1,""))</f>
        <v/>
      </c>
      <c r="TV46" s="97"/>
      <c r="TW46" s="309" t="str" cm="1">
        <f t="array" aca="1" ref="TW46" ca="1">IF(AND(ISNUMBER(INDIRECT(TW$3)),INDIRECT(TW$3)&gt;1),INDIRECT(TW$3),"")</f>
        <v/>
      </c>
      <c r="TX46" s="309" t="str" cm="1">
        <f t="array" aca="1" ref="TX46" ca="1">IF(AND(ISNUMBER(INDIRECT(TX$3)),INDIRECT(TX$3)&gt;1),INDIRECT(TX$3),"")</f>
        <v/>
      </c>
      <c r="TY46" s="309" t="str" cm="1">
        <f t="array" aca="1" ref="TY46" ca="1">IF(AND(ISNUMBER(INDIRECT(TY$3)),INDIRECT(TY$3)&gt;1),INDIRECT(TY$3),"")</f>
        <v/>
      </c>
      <c r="TZ46" s="309" t="str" cm="1">
        <f t="array" aca="1" ref="TZ46" ca="1">IF(AND(ISNUMBER(INDIRECT(TZ$3)),INDIRECT(TZ$3)&gt;1),INDIRECT(TZ$3),"")</f>
        <v/>
      </c>
      <c r="UA46" s="309" t="str" cm="1">
        <f t="array" aca="1" ref="UA46" ca="1">IF(AND(ISNUMBER(INDIRECT(UA$3)),INDIRECT(UA$3)&gt;1),INDIRECT(UA$3),"")</f>
        <v/>
      </c>
      <c r="UB46" s="309" t="str">
        <f t="shared" ca="1" si="114"/>
        <v>x</v>
      </c>
      <c r="UC46" s="309" t="str">
        <f t="shared" ca="1" si="115"/>
        <v>y</v>
      </c>
      <c r="UD46" s="309" t="str">
        <f t="shared" ca="1" si="116"/>
        <v>z</v>
      </c>
      <c r="UE46" s="309" t="str">
        <f t="shared" ca="1" si="215"/>
        <v>a</v>
      </c>
      <c r="UF46" s="309" t="str" cm="1">
        <f t="array" aca="1" ref="UF46" ca="1">IF(UE46="a","",INDEX($TW$23:$UA$23,,MATCH(UE46,$TW46:$UA46,0)))</f>
        <v/>
      </c>
      <c r="UG46" s="309" t="str" cm="1">
        <f t="array" aca="1" ref="UG46" ca="1">IF(OR(UF46="",UF46&gt;=$UA$23),"",INDEX(INDIRECT(ADDRESS(ROW($TW$23),UF46+1)):$UA$23,,MATCH(UE46,INDIRECT(ADDRESS(ROW(),UF46+1)):$UA46,0)))</f>
        <v/>
      </c>
      <c r="UH46" s="309" t="str" cm="1">
        <f t="array" aca="1" ref="UH46" ca="1">IF(OR(UG46="",UG46&gt;=$UA$23),"",INDEX(INDIRECT(ADDRESS(ROW($TW$23),UG46+1)):$UA$23,,MATCH(UE46,INDIRECT(ADDRESS(ROW(),UG46+1)):$UA46,0)))</f>
        <v/>
      </c>
      <c r="UI46" s="309" t="str">
        <f t="shared" ca="1" si="216"/>
        <v>c</v>
      </c>
      <c r="UJ46" s="309" t="str" cm="1">
        <f t="array" aca="1" ref="UJ46" ca="1">IF(OR(UI46="b",UI46="c"),"",INDEX($TW$23:$UA$23,,MATCH(UI46,$TW46:$UA46,0)))</f>
        <v/>
      </c>
      <c r="UK46" s="309" t="str" cm="1">
        <f t="array" aca="1" ref="UK46" ca="1">IF(OR(UJ46="",UJ46&gt;=$UA$23),"",INDEX(INDIRECT(ADDRESS(ROW($TW$23),UJ46+1)):$UA$23,,MATCH(UI46,INDIRECT(ADDRESS(ROW(),UJ46+1)):$UA46,0)))</f>
        <v/>
      </c>
      <c r="UL46" s="309" t="str">
        <f t="shared" ca="1" si="117"/>
        <v/>
      </c>
      <c r="UM46" s="309" t="str">
        <f t="shared" ca="1" si="217"/>
        <v>e</v>
      </c>
      <c r="UN46" s="309" t="str">
        <f t="shared" ca="1" si="118"/>
        <v/>
      </c>
      <c r="UO46" s="309" t="str" cm="1">
        <f t="array" aca="1" ref="UO46" ca="1">IF(OR(UM46="d",UM46="e"),"",INDEX($TW$23:$UA$23,,MATCH(UM46,$TW46:$UA46,0)))</f>
        <v/>
      </c>
      <c r="UP46" s="309" t="str" cm="1">
        <f t="array" aca="1" ref="UP46" ca="1">IF(OR(UO46="",UO46&gt;=$UA$23),"",INDEX(INDIRECT(ADDRESS(ROW($TW$23),UO46+1)):$UA$23,,MATCH(UM46,INDIRECT(ADDRESS(ROW(),UO46+1)):$UA46,0)))</f>
        <v/>
      </c>
      <c r="UQ46" s="309" t="str" cm="1">
        <f t="array" aca="1" ref="UQ46" ca="1">IFERROR(IF(ISNUMBER(UF46),UF46,IF(ISNUMBER(UJ46),UJ46,IF(ISNUMBER(UN46),UN46,INDEX($TW$23:$UA$23,,MATCH(UB46,$TW46:$UA46,0))))),"x1")</f>
        <v>x1</v>
      </c>
      <c r="UR46" s="309" t="str" cm="1">
        <f t="array" aca="1" ref="UR46" ca="1">IFERROR(IF(ISNUMBER(UG46),UG46,IF(ISNUMBER(UK46),UK46,IF(ISNUMBER(UO46),UO46,INDEX($TW$23:$UA$23,,MATCH(UC46,$TW46:$UA46,0))))),IF(UQ46="x1","x2","x1"))</f>
        <v>x2</v>
      </c>
      <c r="US46" s="309" t="str" cm="1">
        <f t="array" aca="1" ref="US46" ca="1">IFERROR(IF(ISNUMBER(UH46),UH46,IF(ISNUMBER(UL46),UL46,IF(ISNUMBER(UP46),UP46,INDEX($TW$23:$UA$23,,MATCH(UD46,$TW46:$UA46,0))))),IF(UR46="x1","x2",IF(UR46="x2","x3","x1")))</f>
        <v>x3</v>
      </c>
      <c r="UT46" s="97" t="str" cm="1">
        <f t="array" aca="1" ref="UT46" ca="1">IF(OR(INDIRECT(UT$3)=$A$2,INDIRECT(UT$3)=$A$3),COLUMN(),"")</f>
        <v/>
      </c>
      <c r="UU46" s="97" t="str" cm="1">
        <f t="array" aca="1" ref="UU46" ca="1">IF(OR(INDIRECT(UU$3)=$A$2,INDIRECT(UU$3)=$A$3),COLUMN(),"")</f>
        <v/>
      </c>
      <c r="UV46" s="97" t="str" cm="1">
        <f t="array" aca="1" ref="UV46" ca="1">IF(OR(INDIRECT(UV$3)=$A$2,INDIRECT(UV$3)=$A$3),COLUMN(),"")</f>
        <v/>
      </c>
      <c r="UW46" s="97" t="str" cm="1">
        <f t="array" aca="1" ref="UW46" ca="1">IF(OR(INDIRECT(UW$3)=$A$2,INDIRECT(UW$3)=$A$3),COLUMN(),"")</f>
        <v/>
      </c>
      <c r="UX46" s="97" t="str" cm="1">
        <f t="array" aca="1" ref="UX46" ca="1">IF(OR(INDIRECT(UX$3)=$A$2,INDIRECT(UX$3)=$A$3),COLUMN(),"")</f>
        <v/>
      </c>
      <c r="UY46" s="97" t="str" cm="1">
        <f t="array" aca="1" ref="UY46" ca="1">IF(AND(ISNUMBER(INDIRECT(UY$3)),INDIRECT(UY$3)=0),COLUMN(),"")</f>
        <v/>
      </c>
      <c r="UZ46" s="97" t="str" cm="1">
        <f t="array" aca="1" ref="UZ46" ca="1">IF(AND(ISNUMBER(INDIRECT(UZ$3)),INDIRECT(UZ$3)=0),COLUMN(),"")</f>
        <v/>
      </c>
      <c r="VA46" s="97" t="str" cm="1">
        <f t="array" aca="1" ref="VA46" ca="1">IF(AND(ISNUMBER(INDIRECT(VA$3)),INDIRECT(VA$3)=0),COLUMN(),"")</f>
        <v/>
      </c>
      <c r="VB46" s="97" t="str" cm="1">
        <f t="array" aca="1" ref="VB46" ca="1">IF(AND(ISNUMBER(INDIRECT(VB$3)),INDIRECT(VB$3)=0),COLUMN(),"")</f>
        <v/>
      </c>
      <c r="VC46" s="97" t="str" cm="1">
        <f t="array" aca="1" ref="VC46" ca="1">IF(AND(ISNUMBER(INDIRECT(VC$3)),INDIRECT(VC$3)=0),COLUMN(),"")</f>
        <v/>
      </c>
      <c r="VD46" s="97" t="str">
        <f t="shared" ca="1" si="218"/>
        <v>x1</v>
      </c>
      <c r="VE46" s="97" t="str">
        <f t="shared" ca="1" si="219"/>
        <v>x2</v>
      </c>
      <c r="VF46" s="97" t="str">
        <f t="shared" ca="1" si="220"/>
        <v>x3</v>
      </c>
      <c r="VG46" s="97" t="str">
        <f ca="1">IFERROR(IF(ISNUMBER(VD46),VD46,SMALL($UY46:$VC46,VALUE(RIGHT(VD46,1)))),Stammdaten!$CB$17)</f>
        <v>Erste Spielsportart nicht durchgeführt</v>
      </c>
      <c r="VH46" s="97" t="str">
        <f ca="1">IFERROR(IF(ISNUMBER(VE46),VE46,SMALL($UY46:$VC46,VALUE(RIGHT(VE46,1)))),Stammdaten!$CB$18)</f>
        <v>Zweite Spielsportart nicht durchgeführt</v>
      </c>
      <c r="VI46" s="97" t="str">
        <f ca="1">IFERROR(IF(ISNUMBER(VF46),VF46,SMALL($UY46:$VC46,VALUE(RIGHT(VF46,1)))),Stammdaten!$CB$19)</f>
        <v>Dritte Spielsportart nicht durchgeführt</v>
      </c>
      <c r="VJ46" s="91" t="str" cm="1">
        <f t="array" aca="1" ref="VJ46" ca="1">IFERROR(INDIRECT(ADDRESS(ROW($TW$5),VG46)),VG46)</f>
        <v>Erste Spielsportart nicht durchgeführt</v>
      </c>
      <c r="VK46" s="97" t="str">
        <f t="shared" ca="1" si="221"/>
        <v/>
      </c>
      <c r="VL46" s="97" t="str" cm="1">
        <f t="array" aca="1" ref="VL46" ca="1">IFERROR(IF(INDIRECT(INDEX(INDIRECT(VL$5),MATCH(VJ46,INDIRECT(VL$4),0)))&lt;&gt;"",INDEX(INDIRECT(VL$5),MATCH(VJ46,INDIRECT(VL$4),0)),INDEX(INDIRECT(VL$6),MATCH(VJ46,INDIRECT(VL$4),0))),"")</f>
        <v/>
      </c>
      <c r="VM46" s="97" t="str">
        <f t="shared" ca="1" si="222"/>
        <v/>
      </c>
      <c r="VN46" s="97" t="str" cm="1">
        <f t="array" aca="1" ref="VN46" ca="1">IFERROR(INDIRECT(VL46),"")</f>
        <v/>
      </c>
      <c r="VO46" s="97" t="str">
        <f ca="1">IF(VN46="","",IF(AND(VK46=Stammdaten!$BX$20,VM46="0",VN46=1),SUBSTITUTE(TEXT(VN46,VM46)&amp;" "&amp;LEFT(VK46,LEN(VK46)-1),".",","),SUBSTITUTE(TEXT(VN46,VM46)&amp;" "&amp;VK46,".",",")))</f>
        <v/>
      </c>
      <c r="VP46" s="97" t="str">
        <f t="shared" ca="1" si="119"/>
        <v/>
      </c>
      <c r="VQ46" s="97" t="str" cm="1">
        <f t="array" aca="1" ref="VQ46" ca="1">IFERROR(LEFT(INDIRECT(VP46),1)&amp;"]","")</f>
        <v/>
      </c>
      <c r="VR46" s="97" t="str">
        <f t="shared" ca="1" si="120"/>
        <v/>
      </c>
      <c r="VS46" s="97" t="str">
        <f ca="1">IFERROR(LEFT(VJ46,FIND(Stammdaten!$CA$4,VJ46,1)-2),IFERROR(LEFT(VJ46,FIND(Stammdaten!$CC$3,VJ46,1)-2),VJ46))</f>
        <v>Erste Spielsportart</v>
      </c>
      <c r="VT46" s="97" t="str">
        <f ca="1">IF(NOT(ISERROR(FIND(Stammdaten!$CA$4,VJ46,1))),Stammdaten!$CA$4,IF(VU46&lt;&gt;Stammdaten!$CC$3,VR46,""))</f>
        <v>nicht durchgeführt</v>
      </c>
      <c r="VU46" s="91" t="str">
        <f ca="1">IF(VN46=$A$2,Stammdaten!$CC$3,VO46)</f>
        <v/>
      </c>
      <c r="VV46" s="91" t="str" cm="1">
        <f t="array" aca="1" ref="VV46" ca="1">IFERROR(INDIRECT(ADDRESS(ROW($TW$5),VH46)),VH46)</f>
        <v>Zweite Spielsportart nicht durchgeführt</v>
      </c>
      <c r="VW46" s="97" t="str">
        <f t="shared" ca="1" si="223"/>
        <v/>
      </c>
      <c r="VX46" s="97" t="str" cm="1">
        <f t="array" aca="1" ref="VX46" ca="1">IFERROR(IF(INDIRECT(INDEX(INDIRECT(VX$5),MATCH(VV46,INDIRECT(VX$4),0)))&lt;&gt;"",INDEX(INDIRECT(VX$5),MATCH(VV46,INDIRECT(VX$4),0)),INDEX(INDIRECT(VX$6),MATCH(VV46,INDIRECT(VX$4),0))),"")</f>
        <v/>
      </c>
      <c r="VY46" s="97" t="str">
        <f t="shared" ca="1" si="224"/>
        <v/>
      </c>
      <c r="VZ46" s="97" t="str" cm="1">
        <f t="array" aca="1" ref="VZ46" ca="1">IFERROR(INDIRECT(VX46),"")</f>
        <v/>
      </c>
      <c r="WA46" s="97" t="str">
        <f ca="1">IF(VZ46="","",IF(AND(VW46=Stammdaten!$BX$20,VY46="0",VZ46=1),SUBSTITUTE(TEXT(VZ46,VY46)&amp;" "&amp;LEFT(VW46,LEN(VW46)-1),".",","),SUBSTITUTE(TEXT(VZ46,VY46)&amp;" "&amp;VW46,".",",")))</f>
        <v/>
      </c>
      <c r="WB46" s="97" t="str">
        <f t="shared" ca="1" si="121"/>
        <v/>
      </c>
      <c r="WC46" s="97" t="str" cm="1">
        <f t="array" aca="1" ref="WC46" ca="1">IFERROR(LEFT(INDIRECT(WB46),1)&amp;"]","")</f>
        <v/>
      </c>
      <c r="WD46" s="97" t="str">
        <f t="shared" ca="1" si="122"/>
        <v/>
      </c>
      <c r="WE46" s="97" t="str">
        <f ca="1">IFERROR(LEFT(VV46,FIND(Stammdaten!$CA$4,VV46,1)-2),IFERROR(LEFT(VV46,FIND(Stammdaten!$CC$3,VV46,1)-2),VV46))</f>
        <v>Zweite Spielsportart</v>
      </c>
      <c r="WF46" s="97" t="str">
        <f ca="1">IF(NOT(ISERROR(FIND(Stammdaten!$CA$4,VV46,1))),Stammdaten!$CA$4,IF(WG46&lt;&gt;Stammdaten!$CC$3,WD46,""))</f>
        <v>nicht durchgeführt</v>
      </c>
      <c r="WG46" s="91" t="str">
        <f ca="1">IF(VZ46=$A$2,Stammdaten!$CC$3,WA46)</f>
        <v/>
      </c>
      <c r="WH46" s="91" t="str" cm="1">
        <f t="array" aca="1" ref="WH46" ca="1">IFERROR(INDIRECT(ADDRESS(ROW($TW$5),VI46)),VI46)</f>
        <v>Dritte Spielsportart nicht durchgeführt</v>
      </c>
      <c r="WI46" s="97" t="str">
        <f t="shared" ca="1" si="225"/>
        <v/>
      </c>
      <c r="WJ46" s="97" t="str" cm="1">
        <f t="array" aca="1" ref="WJ46" ca="1">IFERROR(IF(INDIRECT(INDEX(INDIRECT(WJ$5),MATCH(WH46,INDIRECT(WJ$4),0)))&lt;&gt;"",INDEX(INDIRECT(WJ$5),MATCH(WH46,INDIRECT(WJ$4),0)),INDEX(INDIRECT(WJ$6),MATCH(WH46,INDIRECT(WJ$4),0))),"")</f>
        <v/>
      </c>
      <c r="WK46" s="97" t="str">
        <f t="shared" ca="1" si="226"/>
        <v/>
      </c>
      <c r="WL46" s="97" t="str" cm="1">
        <f t="array" aca="1" ref="WL46" ca="1">IFERROR(INDIRECT(WJ46),"")</f>
        <v/>
      </c>
      <c r="WM46" s="97" t="str">
        <f ca="1">IF(WL46="","",IF(AND(WI46=Stammdaten!$BX$20,WK46="0",WL46=1),SUBSTITUTE(TEXT(WL46,WK46)&amp;" "&amp;LEFT(WI46,LEN(WI46)-1),".",","),SUBSTITUTE(TEXT(WL46,WK46)&amp;" "&amp;WI46,".",",")))</f>
        <v/>
      </c>
      <c r="WN46" s="97" t="str">
        <f t="shared" ca="1" si="123"/>
        <v/>
      </c>
      <c r="WO46" s="97" t="str" cm="1">
        <f t="array" aca="1" ref="WO46" ca="1">IFERROR(LEFT(INDIRECT(WN46),1)&amp;"]","")</f>
        <v/>
      </c>
      <c r="WP46" s="97" t="str">
        <f t="shared" ca="1" si="124"/>
        <v/>
      </c>
      <c r="WQ46" s="97" t="str">
        <f ca="1">IFERROR(LEFT(WH46,FIND(Stammdaten!$CA$4,WH46,1)-2),IFERROR(LEFT(WH46,FIND(Stammdaten!$CC$3,WH46,1)-2),WH46))</f>
        <v>Dritte Spielsportart</v>
      </c>
      <c r="WR46" s="97" t="str">
        <f ca="1">IF(NOT(ISERROR(FIND(Stammdaten!$CA$4,WH46,1))),Stammdaten!$CA$4,IF(WS46&lt;&gt;Stammdaten!$CC$3,WP46,""))</f>
        <v>nicht durchgeführt</v>
      </c>
      <c r="WS46" s="91" t="str">
        <f ca="1">IF(WL46=$A$2,Stammdaten!$CC$3,WM46)</f>
        <v/>
      </c>
      <c r="WT46" s="97" t="str" cm="1">
        <f t="array" aca="1" ref="WT46" ca="1">INDIRECT(WT$5)</f>
        <v/>
      </c>
      <c r="WU46" s="97" t="str" cm="1">
        <f t="array" aca="1" ref="WU46" ca="1">INDIRECT(WU$5)</f>
        <v/>
      </c>
      <c r="WV46" s="97" t="str" cm="1">
        <f t="array" aca="1" ref="WV46" ca="1">INDIRECT(WV$5)</f>
        <v/>
      </c>
      <c r="WW46" s="97" t="str" cm="1">
        <f t="array" aca="1" ref="WW46" ca="1">INDIRECT(WW$5)</f>
        <v/>
      </c>
      <c r="WX46" s="97" t="str" cm="1">
        <f t="array" aca="1" ref="WX46" ca="1">INDIRECT(WX$5)</f>
        <v/>
      </c>
      <c r="WY46" s="97" cm="1">
        <f t="array" aca="1" ref="WY46" ca="1">IF(INDIRECT(WY$5)&lt;&gt;"",INDIRECT(WY$5),0)</f>
        <v>0</v>
      </c>
      <c r="WZ46" s="97" cm="1">
        <f t="array" aca="1" ref="WZ46" ca="1">IF(INDIRECT(WZ$5)&lt;&gt;"",INDIRECT(WZ$5),0)</f>
        <v>0</v>
      </c>
      <c r="XA46" s="97" cm="1">
        <f t="array" aca="1" ref="XA46" ca="1">IF(INDIRECT(XA$5)&lt;&gt;"",INDIRECT(XA$5),0)</f>
        <v>0</v>
      </c>
      <c r="XB46" s="97" cm="1">
        <f t="array" aca="1" ref="XB46" ca="1">IF(INDIRECT(XB$5)&lt;&gt;"",INDIRECT(XB$5),0)</f>
        <v>0</v>
      </c>
      <c r="XC46" s="97" cm="1">
        <f t="array" aca="1" ref="XC46" ca="1">IF(INDIRECT(XC$5)&lt;&gt;"",INDIRECT(XC$5),0)</f>
        <v>0</v>
      </c>
      <c r="XD46" s="97">
        <f t="shared" ca="1" si="125"/>
        <v>0</v>
      </c>
      <c r="XE46" s="97">
        <f t="shared" ca="1" si="125"/>
        <v>0</v>
      </c>
      <c r="XF46" s="97">
        <f t="shared" ca="1" si="125"/>
        <v>0</v>
      </c>
      <c r="XG46" s="97">
        <f t="shared" ca="1" si="227"/>
        <v>0</v>
      </c>
      <c r="XH46" s="108">
        <f t="shared" ca="1" si="228"/>
        <v>0</v>
      </c>
      <c r="XI46" s="108">
        <f t="shared" ca="1" si="126"/>
        <v>0</v>
      </c>
      <c r="XJ46" s="108" t="str">
        <f t="shared" ca="1" si="229"/>
        <v/>
      </c>
      <c r="XK46" s="97" t="str">
        <f ca="1">IF(XJ46="",Stammdaten!$BZ$1,IF(AND(XH46=0,XI46&gt;=XJ$25),$A$3,ROUND(SUM(XG46/XJ46)/XK$25,0)*XK$25))</f>
        <v>Zu wenige Werte</v>
      </c>
      <c r="XL46" s="108">
        <f t="shared" ca="1" si="230"/>
        <v>6</v>
      </c>
      <c r="XM46" s="97" t="str">
        <f t="shared" ca="1" si="231"/>
        <v/>
      </c>
      <c r="XN46" s="97" t="str">
        <f t="shared" ca="1" si="232"/>
        <v/>
      </c>
      <c r="XO46" s="97" t="str">
        <f t="shared" ca="1" si="233"/>
        <v/>
      </c>
      <c r="XP46" s="97" t="str">
        <f t="shared" ca="1" si="234"/>
        <v/>
      </c>
      <c r="XQ46" s="97" t="str">
        <f t="shared" ca="1" si="235"/>
        <v>g</v>
      </c>
      <c r="XR46" s="97" t="str">
        <f t="shared" ca="1" si="236"/>
        <v/>
      </c>
      <c r="XS46" s="97">
        <f t="shared" ca="1" si="237"/>
        <v>1</v>
      </c>
      <c r="XT46" s="97" t="str">
        <f ca="1">IF(OR(Geschlecht[[#This Row],[Geschlecht (Skala)]]="",NOT(ISNUMBER(XJ46))),"",XS46)</f>
        <v/>
      </c>
      <c r="XU46" s="97" t="str">
        <f t="shared" ca="1" si="238"/>
        <v/>
      </c>
      <c r="XV46" s="97"/>
      <c r="XW46" s="308" t="str">
        <f t="shared" ca="1" si="127"/>
        <v>Zu wenige Werte</v>
      </c>
      <c r="XX46" s="97"/>
      <c r="XY46" s="97" t="str">
        <f t="shared" ca="1" si="128"/>
        <v>Zu wenige Werte</v>
      </c>
      <c r="XZ46" s="97" t="str">
        <f t="shared" ca="1" si="129"/>
        <v>Zu wenige Werte</v>
      </c>
      <c r="YA46" s="97" t="str">
        <f t="shared" ca="1" si="130"/>
        <v>Zu wenige Werte</v>
      </c>
      <c r="YB46" s="97" t="str">
        <f t="shared" ca="1" si="131"/>
        <v>Zu wenige Werte</v>
      </c>
      <c r="YC46" s="97">
        <f t="shared" ca="1" si="239"/>
        <v>0</v>
      </c>
      <c r="YD46" s="108">
        <f t="shared" ca="1" si="240"/>
        <v>0</v>
      </c>
      <c r="YE46" s="108">
        <f t="shared" ca="1" si="241"/>
        <v>0</v>
      </c>
      <c r="YF46" s="108" t="str">
        <f t="shared" ca="1" si="242"/>
        <v/>
      </c>
      <c r="YG46" s="97" t="str">
        <f ca="1">IF(YF46="",Stammdaten!$BZ$1,IF(YE46=YF$25,$A$3,ROUND(SUM(YC46/YF46)/YG$25,0)*YG$25))</f>
        <v>Zu wenige Werte</v>
      </c>
      <c r="YH46" s="97" t="str">
        <f ca="1">IF(NOT(ISNUMBER(XY46)),"",IF(YH$11&lt;&gt;"2+",TEXT(XY46,YH$11)&amp;" / ",IF(RIGHT(XY46*100,2)="00",TEXT(XY46,"0"&amp;Stammdaten!$AZ$3&amp;"0")&amp;" / ",XY46&amp;" / ")))</f>
        <v/>
      </c>
      <c r="YI46" s="97" t="str">
        <f ca="1">IF(NOT(ISNUMBER(XZ46)),"",IF(YI$11&lt;&gt;"2+",TEXT(XZ46,YI$11)&amp;" / ",IF(RIGHT(XZ46*100,2)="00",TEXT(XZ46,"0"&amp;Stammdaten!$AZ$3&amp;"0")&amp;" / ",XZ46&amp;" / ")))</f>
        <v/>
      </c>
      <c r="YJ46" s="97" t="str">
        <f ca="1">IF(NOT(ISNUMBER(YA46)),"",IF(YJ$11&lt;&gt;"2+",TEXT(YA46,YJ$11)&amp;" / ",IF(RIGHT(YA46*100,2)="00",TEXT(YA46,"0"&amp;Stammdaten!$AZ$3&amp;"0")&amp;" / ",YA46&amp;" / ")))</f>
        <v/>
      </c>
      <c r="YK46" s="97" t="str">
        <f ca="1">IF(NOT(ISNUMBER(YB46)),"",IF(YK$11&lt;&gt;"2+",TEXT(YB46,YK$11)&amp;" / ",IF(RIGHT(YB46*100,2)="00",TEXT(YB46,"0"&amp;Stammdaten!$AZ$3&amp;"0")&amp;" / ",YB46&amp;" / ")))</f>
        <v/>
      </c>
      <c r="YL46" s="97" t="str">
        <f t="shared" ca="1" si="243"/>
        <v/>
      </c>
      <c r="YM46" s="97" t="str">
        <f>IF(Geschlecht[[#This Row],[Geschlecht (Skala)]]="","",IF(ISNUMBER(XY46),1,IF(XY46=$A$3,$A$2,"R")))</f>
        <v/>
      </c>
      <c r="YN46" s="97" t="str">
        <f>IF(Geschlecht[[#This Row],[Geschlecht (Skala)]]="","",IF(ISNUMBER(XZ46),1,IF(XZ46=$A$3,$A$2,"R")))</f>
        <v/>
      </c>
      <c r="YO46" s="97" t="str">
        <f>IF(Geschlecht[[#This Row],[Geschlecht (Skala)]]="","",IF(ISNUMBER(YA46),1,IF(YA46=$A$3,$A$2,"R")))</f>
        <v/>
      </c>
      <c r="YP46" s="97" t="str">
        <f>IF(Geschlecht[[#This Row],[Geschlecht (Skala)]]="","",IF(ISNUMBER(YB46),1,IF(YB46=$A$3,$A$2,"R")))</f>
        <v/>
      </c>
      <c r="YQ46" s="97" t="str">
        <f t="shared" si="244"/>
        <v>g</v>
      </c>
      <c r="YR46" s="97" t="str">
        <f t="shared" ca="1" si="245"/>
        <v/>
      </c>
      <c r="YS46" s="97">
        <f t="shared" ca="1" si="246"/>
        <v>1</v>
      </c>
      <c r="YT46" s="97" t="str">
        <f ca="1">IF(OR(Geschlecht[[#This Row],[Geschlecht (Skala)]]="",NOT(ISNUMBER(YG46))),"",YS46)</f>
        <v/>
      </c>
      <c r="YU46" s="97"/>
      <c r="YV46" s="311" t="str">
        <f t="shared" si="247"/>
        <v>D</v>
      </c>
      <c r="YW46" s="302"/>
      <c r="YX46" s="311" t="str">
        <f t="shared" si="248"/>
        <v>D</v>
      </c>
      <c r="YY46" s="302"/>
      <c r="YZ46" s="311" t="str">
        <f t="shared" si="249"/>
        <v>D</v>
      </c>
      <c r="ZA46" s="302"/>
      <c r="ZB46" s="311" t="str">
        <f t="shared" si="250"/>
        <v>D</v>
      </c>
      <c r="ZC46" s="97"/>
      <c r="ZD46" s="97" t="str">
        <f t="shared" ca="1" si="132"/>
        <v/>
      </c>
      <c r="ZE46" s="97"/>
      <c r="ZF46" s="308" t="str">
        <f t="shared" ca="1" si="251"/>
        <v>Zu wenige Werte</v>
      </c>
      <c r="ZH46" s="317" t="s">
        <v>134</v>
      </c>
      <c r="ZJ46" s="91" t="str" cm="1">
        <f t="array" ref="ZJ46">IF(OR(Geschlecht[[#This Row],[Geschlecht (Skala)]]="",ZH46="",ZH46=Stammdaten!$BZ$5),"",REPLACE(INDEX(StdDisziplinen[TabÜberschriftNote],ZH$3),FIND("X",INDEX(StdDisziplinen[TabÜberschriftNote],ZH$3),1),1,Geschlecht[[#This Row],[Geschlecht (Skala)]]))</f>
        <v/>
      </c>
      <c r="ZK46" s="314"/>
      <c r="ZM46" s="315"/>
      <c r="ZN46" s="97" t="str">
        <f>IFERROR(IFERROR(SUBSTITUTE(SchwimmenResultatMin[[#This Row],[Min]],".",",")*1,SUBSTITUTE(SchwimmenResultatMin[[#This Row],[Min]],",",".")*1),"")</f>
        <v/>
      </c>
      <c r="ZO46" s="91" t="e">
        <f>INT(SchwimmenResultatMin[[#This Row],[Resultat]])=SchwimmenResultatMin[[#This Row],[Resultat]]</f>
        <v>#VALUE!</v>
      </c>
      <c r="ZP46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6" s="315"/>
      <c r="ZS46" s="97" t="str">
        <f>IFERROR(IFERROR(SUBSTITUTE(SchwimmenResultatSek[[#This Row],[Sek]],".",",")*1,SUBSTITUTE(SchwimmenResultatSek[[#This Row],[Sek]],",",".")*1),"")</f>
        <v/>
      </c>
      <c r="ZT46" s="108" t="e">
        <f>INT(SchwimmenResultatSek[[#This Row],[Resultat]])=SchwimmenResultatSek[[#This Row],[Resultat]]</f>
        <v>#VALUE!</v>
      </c>
      <c r="ZU46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6" s="97" t="str" cm="1">
        <f t="array" aca="1" ref="ZW46" ca="1">IF(AND(INDIRECT(ZW$2)="",INDIRECT(ZX$2)=""),"",IFERROR((INDIRECT(ZW$2)*$ZW$25)+INDIRECT(ZX$2),""))</f>
        <v/>
      </c>
      <c r="ZX46" s="91" t="str">
        <f ca="1">REPLACE(ZW$4,ZX$6,1,Geschlecht[[#This Row],[Geschlecht (Skala)]])</f>
        <v>Schwimmen_[Resultat]</v>
      </c>
      <c r="ZY46" s="91" t="str">
        <f ca="1">IFERROR(REPLACE($ZX46,FIND(Stammdaten!$V$2,$ZX46,1),LEN(Stammdaten!$V$2),Stammdaten!$BZ$9),"")</f>
        <v>Schwimmen_[Anzeige]</v>
      </c>
      <c r="ZZ46" s="97" t="str" cm="1">
        <f t="array" aca="1" ref="ZZ46" ca="1">IF(INDIRECT(ZW$3)="","",IF(INDIRECT(ZW$3)=0,0,IF(OR(INDIRECT(ZW$1)=$A$2,INDIRECT(ZW$1)=$A$3),$A$3,IFERROR(INDEX(INDIRECT(ZX46),MATCH(INDIRECT(ZW$3),INDIRECT(ZX46),ZY$25)),IFERROR(IF(ZY$25=-1,MAX(INDIRECT(ZX46)),IF(ZY$25=1,MIN(INDIRECT(ZX46)))),"")))))</f>
        <v/>
      </c>
      <c r="AAA46" s="97" t="str" cm="1">
        <f t="array" aca="1" ref="AAA46" ca="1">IF(INDIRECT(ZX$5)=0,0,IF(OR(INDIRECT(ZW$1)=$A$2,INDIRECT(ZW$1)=$A$3),$A$3,IFERROR(INDEX(INDIRECT($ZY46),MATCH(INDIRECT(ZX$5),INDIRECT($ZX46),0)),"")))</f>
        <v/>
      </c>
      <c r="AAC46" s="91" t="str">
        <f ca="1">REPLACE(ZW$6,ZX$6,1,Geschlecht[[#This Row],[Geschlecht (Skala)]])</f>
        <v>Schwimmen_[Note]</v>
      </c>
      <c r="AAD46" s="97" t="str" cm="1">
        <f t="array" aca="1" ref="AAD46" ca="1">IFERROR(INDEX(INDIRECT(AAC46),MATCH(INDIRECT(ZX$5),INDIRECT(ZX46),0)),IF(INDIRECT(ZX$5)=0,1,""))</f>
        <v/>
      </c>
      <c r="AAE46" s="97"/>
      <c r="AAF46" s="96" t="str">
        <f>ZwölfMinLaufHalleResultat[[#This Row],[Resultat]]</f>
        <v/>
      </c>
      <c r="AAG46" s="96"/>
      <c r="AAH46" s="97" t="str">
        <f ca="1">ZwölfMinLaufHalleSkalawert[[#This Row],[Skala-Wert]]</f>
        <v/>
      </c>
      <c r="AAJ46" s="97" t="str">
        <f ca="1">ZwölfMinLaufHalleNote[[#This Row],[Note]]</f>
        <v/>
      </c>
      <c r="AAK46" s="97"/>
      <c r="AAL46" s="96" t="str">
        <f>ZwölfMinLaufimFreienResultat[[#This Row],[Resultat]]</f>
        <v/>
      </c>
      <c r="AAM46" s="96"/>
      <c r="AAN46" s="97" t="str">
        <f ca="1">ZwölfMinLaufimFreienSkalawert[[#This Row],[Skala-Wert]]</f>
        <v/>
      </c>
      <c r="AAP46" s="97" t="str">
        <f ca="1">ZwölfMinLaufimFreienNote[[#This Row],[Note]]</f>
        <v/>
      </c>
      <c r="AAQ46" s="97"/>
      <c r="AAR46" s="307"/>
      <c r="AAS46" s="96" t="str">
        <f>IFERROR(IFERROR(SUBSTITUTE(BeweglichkeitResultat[[#This Row],[Eingabe]],".",",")*1,SUBSTITUTE(BeweglichkeitResultat[[#This Row],[Eingabe]],",",".")*1),"")</f>
        <v/>
      </c>
      <c r="AAT46" s="96" t="e">
        <f>INT(BeweglichkeitResultat[[#This Row],[Resultat]])=BeweglichkeitResultat[[#This Row],[Resultat]]</f>
        <v>#VALUE!</v>
      </c>
      <c r="AAU46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6" s="96"/>
      <c r="AAW46" s="91" t="str" cm="1">
        <f t="array" aca="1" ref="AAW46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6" s="96" t="str">
        <f ca="1">REPLACE(AAW$4,AAX$6,1,Geschlecht[[#This Row],[Geschlecht (Skala)]])</f>
        <v>Beweglichkeit_[Resultat]</v>
      </c>
      <c r="AAY46" s="96" t="str" cm="1">
        <f t="array" aca="1" ref="AAY46" ca="1">IF(OR(INDIRECT(AAW$1)=$A$2,INDIRECT(AAW$1)=$A$3),$A$3,IF(OR(INDIRECT(AAW$2)="",AND(Geschlecht[[#This Row],[Geschlecht (Skala)]]=Stammdaten!$D$7,INDIRECT(AAW$2)&lt;0)),"",IFERROR(INDEX(INDIRECT(AAX46),MATCH(INDIRECT(AAW$3),INDIRECT(AAX46),AAX$25)),IFERROR(IF(AAX$25=-1,MAX(INDIRECT(AAX46)),IF(AAX$25=1,MIN(INDIRECT(AAX46)))),""))))</f>
        <v/>
      </c>
      <c r="AAZ46" s="97" t="str" cm="1">
        <f t="array" aca="1" ref="AAZ46" ca="1">IF(INDIRECT(AAW$1)="","",IF(INDIRECT(AAW$1)=0,0,IF(OR(INDIRECT(AAW$1)=$A$2,INDIRECT(AAW$1)=$A$3),$A$3,IFERROR(INDEX(INDIRECT(AAY46),MATCH(INDIRECT(AAW$3),INDIRECT(AAY46),AAY$27)),IFERROR(IF(AAY$27=-1,MAX(INDIRECT(AAY46)),IF(AAY$27=1,MIN(INDIRECT(AAY46)))),"")))))</f>
        <v/>
      </c>
      <c r="ABA46" s="96" t="str">
        <f ca="1">REPLACE(AAW$6,AAX$6,1,Geschlecht[[#This Row],[Geschlecht (Skala)]])</f>
        <v>Beweglichkeit_[Note]</v>
      </c>
      <c r="ABB46" s="91" t="str" cm="1">
        <f t="array" aca="1" ref="ABB46" ca="1">IFERROR(INDEX(INDIRECT(ABA46),MATCH(INDIRECT(AAW$5),INDIRECT(AAX46),0)),"")</f>
        <v/>
      </c>
      <c r="ABC46" s="97" t="str" cm="1">
        <f t="array" aca="1" ref="ABC46" ca="1">IFERROR(INDEX(INDIRECT(ABB46),MATCH(INDIRECT(AAW$5),INDIRECT(AAY46),0)),"")</f>
        <v/>
      </c>
      <c r="ABD46" s="307"/>
      <c r="ABE46" s="96" t="str">
        <f>IFERROR(IFERROR(SUBSTITUTE(RumpfkraftResultat[[#This Row],[Eingabe]],".",",")*1,SUBSTITUTE(RumpfkraftResultat[[#This Row],[Eingabe]],",",".")*1),"")</f>
        <v/>
      </c>
      <c r="ABF46" s="96" t="e">
        <f>INT(RumpfkraftResultat[[#This Row],[Resultat]])=RumpfkraftResultat[[#This Row],[Resultat]]</f>
        <v>#VALUE!</v>
      </c>
      <c r="ABG46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6" s="96"/>
      <c r="ABI46" s="91" t="str" cm="1">
        <f t="array" aca="1" ref="ABI46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6" s="96" t="str">
        <f ca="1">REPLACE(ABI$4,ABJ$6,1,Geschlecht[[#This Row],[Geschlecht (Skala)]])</f>
        <v>Rumpfkraft_[Resultat]</v>
      </c>
      <c r="ABK46" s="97" t="str" cm="1">
        <f t="array" aca="1" ref="ABK46" ca="1">IF(INDIRECT(ABI$1)="","",IF(OR(INDIRECT(ABI$1)=$A$2,INDIRECT(ABI$1)=$A$3),$A$3,IFERROR(INDEX(INDIRECT(ABJ46),MATCH(INDIRECT(ABI$3),INDIRECT(ABJ46),ABJ$25)),IFERROR(IF(ABJ$25=-1,MAX(INDIRECT(ABJ46)),IF(ABJ$25=1,MIN(INDIRECT(ABJ46)))),""))))</f>
        <v/>
      </c>
      <c r="ABM46" s="91" t="str">
        <f ca="1">REPLACE(ABI$6,ABJ$6,1,Geschlecht[[#This Row],[Geschlecht (Skala)]])</f>
        <v>Rumpfkraft_[Note]</v>
      </c>
      <c r="ABN46" s="97" t="str" cm="1">
        <f t="array" aca="1" ref="ABN46" ca="1">IFERROR(INDEX(INDIRECT(ABM46),MATCH(INDIRECT(ABI$5),INDIRECT(ABJ46),0)),"")</f>
        <v/>
      </c>
      <c r="ABO46" s="97"/>
      <c r="ABP46" s="96" t="str">
        <f>SechzigmLaufResultat[[#This Row],[Resultat]]</f>
        <v/>
      </c>
      <c r="ABQ46" s="96"/>
      <c r="ABR46" s="97" t="str">
        <f ca="1">SechzigmLaufSkalawert[[#This Row],[Skala-Wert]]</f>
        <v/>
      </c>
      <c r="ABT46" s="97" t="str">
        <f ca="1">SechzigmLaufNote[[#This Row],[Note]]</f>
        <v/>
      </c>
      <c r="ABU46" s="97"/>
      <c r="ABV46" s="96" t="str">
        <f>AchtzigmLaufResultat[[#This Row],[Resultat]]</f>
        <v/>
      </c>
      <c r="ABW46" s="96"/>
      <c r="ABX46" s="97" t="str">
        <f ca="1">AchtzigmLaufSkalawert[[#This Row],[Skala-Wert]]</f>
        <v/>
      </c>
      <c r="ABZ46" s="97" t="str">
        <f ca="1">AchtzigmLaufNote[[#This Row],[Note]]</f>
        <v/>
      </c>
      <c r="ACA46" s="97"/>
      <c r="ACB46" s="307"/>
      <c r="ACC46" s="96" t="str">
        <f>IFERROR(IFERROR(SUBSTITUTE(KonditionsparcoursResultat[[#This Row],[Eingabe]],".",",")*1,SUBSTITUTE(KonditionsparcoursResultat[[#This Row],[Eingabe]],",",".")*1),"")</f>
        <v/>
      </c>
      <c r="ACD46" s="96" t="e">
        <f>INT(KonditionsparcoursResultat[[#This Row],[Resultat]])=KonditionsparcoursResultat[[#This Row],[Resultat]]</f>
        <v>#VALUE!</v>
      </c>
      <c r="ACE46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6" s="96"/>
      <c r="ACG46" s="91" t="str" cm="1">
        <f t="array" aca="1" ref="ACG46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6" s="96" t="str">
        <f ca="1">LEFT(Geschlecht[[#This Row],[Geschlecht (Skala)]],1)&amp;ACM$4</f>
        <v>2</v>
      </c>
      <c r="ACI46" s="96" t="str">
        <f t="shared" ca="1" si="133"/>
        <v>Konditionsparcours_2[Resultat]</v>
      </c>
      <c r="ACJ46" s="97" t="str" cm="1">
        <f t="array" aca="1" ref="ACJ46" ca="1">IF(INDIRECT(ACG$1)="","",IF(OR(INDIRECT(ACG$1)=$A$2,INDIRECT(ACG$1)=$A$3),$A$3,IFERROR(INDEX(INDIRECT(ACI46),MATCH(INDIRECT(ACG$3),INDIRECT(ACI46),ACI$25)),IFERROR(IF(ACI$25=-1,MAX(INDIRECT(ACI46)),IF(ACI$25=1,MIN(INDIRECT(ACI46)))),""))))</f>
        <v/>
      </c>
      <c r="ACL46" s="91" t="str">
        <f t="shared" ca="1" si="134"/>
        <v>Konditionsparcours_2[Note]</v>
      </c>
      <c r="ACM46" s="97" t="str" cm="1">
        <f t="array" aca="1" ref="ACM46" ca="1">IFERROR(INDEX(INDIRECT(ACL46),MATCH(INDIRECT(ACG$5),INDIRECT(ACI46),0)),"")</f>
        <v/>
      </c>
      <c r="ACN46" s="102"/>
    </row>
    <row r="47" spans="1:768">
      <c r="A47" s="305">
        <v>20</v>
      </c>
      <c r="B47" s="133"/>
      <c r="C47" s="133"/>
      <c r="E47" s="306"/>
      <c r="G47" s="307"/>
      <c r="H47" s="96" t="str">
        <f>IFERROR(IFERROR(SUBSTITUTE(SechzigmLaufResultat[[#This Row],[Eingabe]],".",",")*1,SUBSTITUTE(SechzigmLaufResultat[[#This Row],[Eingabe]],",",".")*1),"")</f>
        <v/>
      </c>
      <c r="I47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7" s="96"/>
      <c r="K47" s="91" t="str" cm="1">
        <f t="array" aca="1" ref="K47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7" s="96" t="str">
        <f ca="1">LEFT(Geschlecht[[#This Row],[Geschlecht (Skala)]],1)&amp;Q$4</f>
        <v>2</v>
      </c>
      <c r="M47" s="96" t="str">
        <f t="shared" ca="1" si="37"/>
        <v>SechzigmLauf_2[Resultat]</v>
      </c>
      <c r="N47" s="97" t="str" cm="1">
        <f t="array" aca="1" ref="N47" ca="1">IF(INDIRECT(K$1)="","",IF(INDIRECT(K$2)=0,0,IF(OR(INDIRECT(K$1)=$A$2,INDIRECT(K$1)=$A$3),$A$3,IFERROR(INDEX(INDIRECT(M47),MATCH(INDIRECT(K$3),INDIRECT(M47),M$25)),IFERROR(IF(M$25=-1,MAX(INDIRECT(M47)),IF(M$25=1,MIN(INDIRECT(M47)))),"")))))</f>
        <v/>
      </c>
      <c r="P47" s="91" t="str">
        <f t="shared" ca="1" si="38"/>
        <v>SechzigmLauf_2[Note]</v>
      </c>
      <c r="Q47" s="97" t="str" cm="1">
        <f t="array" aca="1" ref="Q47" ca="1">IFERROR(INDEX(INDIRECT(P47),MATCH(INDIRECT(K$5),INDIRECT(M47),0)),IF(INDIRECT(K$5)=0,1,""))</f>
        <v/>
      </c>
      <c r="R47" s="97"/>
      <c r="S47" s="307"/>
      <c r="T47" s="96" t="str">
        <f>IFERROR(IFERROR(SUBSTITUTE(AchtzigmLaufResultat[[#This Row],[Eingabe]],".",",")*1,SUBSTITUTE(AchtzigmLaufResultat[[#This Row],[Eingabe]],",",".")*1),"")</f>
        <v/>
      </c>
      <c r="U47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7" s="96"/>
      <c r="W47" s="91" t="str" cm="1">
        <f t="array" aca="1" ref="W47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7" s="96" t="str">
        <f ca="1">LEFT(Geschlecht[[#This Row],[Geschlecht (Skala)]],1)&amp;AC$4</f>
        <v>2</v>
      </c>
      <c r="Y47" s="96" t="str">
        <f t="shared" ca="1" si="39"/>
        <v>AchtzigmLauf_2[Resultat]</v>
      </c>
      <c r="Z47" s="97" t="str" cm="1">
        <f t="array" aca="1" ref="Z47" ca="1">IF(INDIRECT(W$1)="","",IF(INDIRECT(W$2)=0,0,IF(OR(INDIRECT(W$1)=$A$2,INDIRECT(W$1)=$A$3),$A$3,IFERROR(INDEX(INDIRECT(Y47),MATCH(INDIRECT(W$3),INDIRECT(Y47),Y$25)),IFERROR(IF(Y$25=-1,MAX(INDIRECT(Y47)),IF(Y$25=1,MIN(INDIRECT(Y47)))),"")))))</f>
        <v/>
      </c>
      <c r="AB47" s="91" t="str">
        <f t="shared" ca="1" si="40"/>
        <v>AchtzigmLauf_2[Note]</v>
      </c>
      <c r="AC47" s="97" t="str" cm="1">
        <f t="array" aca="1" ref="AC47" ca="1">IFERROR(INDEX(INDIRECT(AB47),MATCH(INDIRECT(W$5),INDIRECT(Y47),0)),IF(INDIRECT(W$5)=0,1,""))</f>
        <v/>
      </c>
      <c r="AD47" s="97"/>
      <c r="AE47" s="307"/>
      <c r="AF47" s="96" t="str">
        <f>IFERROR(IFERROR(SUBSTITUTE(ZwölfMinLaufHalleResultat[[#This Row],[Eingabe]],".",",")*1,SUBSTITUTE(ZwölfMinLaufHalleResultat[[#This Row],[Eingabe]],",",".")*1),"")</f>
        <v/>
      </c>
      <c r="AG47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7" s="96"/>
      <c r="AI47" s="91" t="str" cm="1">
        <f t="array" aca="1" ref="AI47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7" s="96" t="str">
        <f ca="1">LEFT(Geschlecht[[#This Row],[Geschlecht (Skala)]],1)&amp;AO$4</f>
        <v>2</v>
      </c>
      <c r="AK47" s="96" t="str">
        <f t="shared" ca="1" si="41"/>
        <v>ZwölfMinLaufHalle_2[Resultat]</v>
      </c>
      <c r="AL47" s="97" t="str" cm="1">
        <f t="array" aca="1" ref="AL47" ca="1">IF(INDIRECT(AI$1)="","",IF(INDIRECT(AI$2)=0,0,IF(OR(INDIRECT(AI$1)=$A$2,INDIRECT(AI$1)=$A$3),$A$3,IFERROR(INDEX(INDIRECT(AK47),MATCH(INDIRECT(AI$3),INDIRECT(AK47),AK$25)),IFERROR(IF(AK$25=-1,MAX(INDIRECT(AK47)),IF(AK$25=1,MIN(INDIRECT(AK47)))),"")))))</f>
        <v/>
      </c>
      <c r="AN47" s="91" t="str">
        <f t="shared" ca="1" si="42"/>
        <v>ZwölfMinLaufHalle_2[Note]</v>
      </c>
      <c r="AO47" s="97" t="str" cm="1">
        <f t="array" aca="1" ref="AO47" ca="1">IFERROR(INDEX(INDIRECT(AN47),MATCH(INDIRECT(AI$5),INDIRECT(AK47),0)),IF(INDIRECT(AI$5)=0,1,""))</f>
        <v/>
      </c>
      <c r="AP47" s="97"/>
      <c r="AQ47" s="307"/>
      <c r="AR47" s="96" t="str">
        <f>IFERROR(IFERROR(SUBSTITUTE(ZwölfMinLaufimFreienResultat[[#This Row],[Eingabe]],".",",")*1,SUBSTITUTE(ZwölfMinLaufimFreienResultat[[#This Row],[Eingabe]],",",".")*1),"")</f>
        <v/>
      </c>
      <c r="AS47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7" s="96"/>
      <c r="AU47" s="91" t="str" cm="1">
        <f t="array" aca="1" ref="AU47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7" s="96" t="str">
        <f ca="1">LEFT(Geschlecht[[#This Row],[Geschlecht (Skala)]],1)&amp;BA$4</f>
        <v>2</v>
      </c>
      <c r="AW47" s="96" t="str">
        <f t="shared" ca="1" si="43"/>
        <v>ZwölfMinLaufimFreien_2[Resultat]</v>
      </c>
      <c r="AX47" s="97" t="str" cm="1">
        <f t="array" aca="1" ref="AX47" ca="1">IF(INDIRECT(AU$1)="","",IF(INDIRECT(AU$2)=0,0,IF(OR(INDIRECT(AU$1)=$A$2,INDIRECT(AU$1)=$A$3),$A$3,IFERROR(INDEX(INDIRECT(AW47),MATCH(INDIRECT(AU$3),INDIRECT(AW47),AW$25)),IFERROR(IF(AW$25=-1,MAX(INDIRECT(AW47)),IF(AW$25=1,MIN(INDIRECT(AW47)))),"")))))</f>
        <v/>
      </c>
      <c r="AZ47" s="91" t="str">
        <f t="shared" ca="1" si="44"/>
        <v>ZwölfMinLaufimFreien_2[Note]</v>
      </c>
      <c r="BA47" s="97" t="str" cm="1">
        <f t="array" aca="1" ref="BA47" ca="1">IFERROR(INDEX(INDIRECT(AZ47),MATCH(INDIRECT(AU$5),INDIRECT(AW47),0)),IF(INDIRECT(AU$5)=0,1,""))</f>
        <v/>
      </c>
      <c r="BB47" s="97"/>
      <c r="BC47" s="307"/>
      <c r="BD47" s="96" t="str">
        <f>IFERROR(IFERROR(SUBSTITUTE(HochsprungResultat[[#This Row],[Eingabe]],".",",")*1,SUBSTITUTE(HochsprungResultat[[#This Row],[Eingabe]],",",".")*1),"")</f>
        <v/>
      </c>
      <c r="BE47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7" s="96"/>
      <c r="BG47" s="91" t="str" cm="1">
        <f t="array" aca="1" ref="BG47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7" s="96" t="str">
        <f ca="1">LEFT(Geschlecht[[#This Row],[Geschlecht (Skala)]],1)&amp;BM$4</f>
        <v>2</v>
      </c>
      <c r="BI47" s="96" t="str">
        <f t="shared" ca="1" si="45"/>
        <v>Hochsprung_2[Resultat]</v>
      </c>
      <c r="BJ47" s="97" t="str" cm="1">
        <f t="array" aca="1" ref="BJ47" ca="1">IF(INDIRECT(BG$1)="","",IF(INDIRECT(BG$2)=0,0,IF(OR(INDIRECT(BG$1)=$A$2,INDIRECT(BG$1)=$A$3),$A$3,IFERROR(INDEX(INDIRECT(BI47),MATCH(INDIRECT(BG$3),INDIRECT(BI47),BI$25)),IFERROR(IF(BI$25=-1,MAX(INDIRECT(BI47)),IF(BI$25=1,MIN(INDIRECT(BI47)))),"")))))</f>
        <v/>
      </c>
      <c r="BL47" s="91" t="str">
        <f t="shared" ca="1" si="46"/>
        <v>Hochsprung_2[Note]</v>
      </c>
      <c r="BM47" s="97" t="str" cm="1">
        <f t="array" aca="1" ref="BM47" ca="1">IFERROR(INDEX(INDIRECT(BL47),MATCH(INDIRECT(BG$5),INDIRECT(BI47),0)),IF(INDIRECT(BG$5)=0,1,""))</f>
        <v/>
      </c>
      <c r="BN47" s="97"/>
      <c r="BO47" s="307"/>
      <c r="BP47" s="96" t="str">
        <f>IFERROR(IFERROR(SUBSTITUTE(WeitsprungResultat[[#This Row],[Eingabe]],".",",")*1,SUBSTITUTE(WeitsprungResultat[[#This Row],[Eingabe]],",",".")*1),"")</f>
        <v/>
      </c>
      <c r="BQ47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7" s="96"/>
      <c r="BS47" s="91" t="str" cm="1">
        <f t="array" aca="1" ref="BS47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7" s="96" t="str">
        <f ca="1">LEFT(Geschlecht[[#This Row],[Geschlecht (Skala)]],1)&amp;BY$4</f>
        <v>2</v>
      </c>
      <c r="BU47" s="96" t="str">
        <f t="shared" ca="1" si="47"/>
        <v>Weitsprung_2[Resultat]</v>
      </c>
      <c r="BV47" s="97" t="str" cm="1">
        <f t="array" aca="1" ref="BV47" ca="1">IF(INDIRECT(BS$1)="","",IF(INDIRECT(BS$2)=0,0,IF(OR(INDIRECT(BS$1)=$A$2,INDIRECT(BS$1)=$A$3),$A$3,IFERROR(INDEX(INDIRECT(BU47),MATCH(INDIRECT(BS$3),INDIRECT(BU47),BU$25)),IFERROR(IF(BU$25=-1,MAX(INDIRECT(BU47)),IF(BU$25=1,MIN(INDIRECT(BU47)))),"")))))</f>
        <v/>
      </c>
      <c r="BX47" s="91" t="str">
        <f t="shared" ca="1" si="48"/>
        <v>Weitsprung_2[Note]</v>
      </c>
      <c r="BY47" s="97" t="str" cm="1">
        <f t="array" aca="1" ref="BY47" ca="1">IFERROR(INDEX(INDIRECT(BX47),MATCH(INDIRECT(BS$5),INDIRECT(BU47),0)),IF(INDIRECT(BS$5)=0,1,""))</f>
        <v/>
      </c>
      <c r="BZ47" s="97"/>
      <c r="CA47" s="307"/>
      <c r="CB47" s="96" t="str">
        <f>IFERROR(IFERROR(SUBSTITUTE(BallwurfResultat[[#This Row],[Eingabe]],".",",")*1,SUBSTITUTE(BallwurfResultat[[#This Row],[Eingabe]],",",".")*1),"")</f>
        <v/>
      </c>
      <c r="CC47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7" s="96"/>
      <c r="CE47" s="91" t="str" cm="1">
        <f t="array" aca="1" ref="CE47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7" s="96" t="str">
        <f ca="1">LEFT(Geschlecht[[#This Row],[Geschlecht (Skala)]],1)&amp;CK$4</f>
        <v>2</v>
      </c>
      <c r="CG47" s="96" t="str">
        <f t="shared" ca="1" si="49"/>
        <v>Ballwurf_2[Resultat]</v>
      </c>
      <c r="CH47" s="97" t="str" cm="1">
        <f t="array" aca="1" ref="CH47" ca="1">IF(INDIRECT(CE$1)="","",IF(INDIRECT(CE$2)=0,0,IF(OR(INDIRECT(CE$1)=$A$2,INDIRECT(CE$1)=$A$3),$A$3,IFERROR(INDEX(INDIRECT(CG47),MATCH(INDIRECT(CE$3),INDIRECT(CG47),CG$25)),IFERROR(IF(CG$25=-1,MAX(INDIRECT(CG47)),IF(CG$25=1,MIN(INDIRECT(CG47)))),"")))))</f>
        <v/>
      </c>
      <c r="CJ47" s="91" t="str">
        <f t="shared" ca="1" si="50"/>
        <v>Ballwurf_2[Note]</v>
      </c>
      <c r="CK47" s="97" t="str" cm="1">
        <f t="array" aca="1" ref="CK47" ca="1">IFERROR(INDEX(INDIRECT(CJ47),MATCH(INDIRECT(CE$5),INDIRECT(CG47),0)),IF(INDIRECT(CE$5)=0,1,""))</f>
        <v/>
      </c>
      <c r="CL47" s="97"/>
      <c r="CM47" s="307"/>
      <c r="CN47" s="96" t="str">
        <f>IFERROR(IFERROR(SUBSTITUTE(KugelstossenResultat[[#This Row],[Eingabe]],".",",")*1,SUBSTITUTE(KugelstossenResultat[[#This Row],[Eingabe]],",",".")*1),"")</f>
        <v/>
      </c>
      <c r="CO47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7" s="96"/>
      <c r="CQ47" s="91" t="str" cm="1">
        <f t="array" aca="1" ref="CQ47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7" s="96" t="str">
        <f ca="1">LEFT(Geschlecht[[#This Row],[Geschlecht (Skala)]],1)&amp;CW$4</f>
        <v>2</v>
      </c>
      <c r="CS47" s="96" t="str">
        <f t="shared" ca="1" si="51"/>
        <v>Kugelstossen_2[Resultat]</v>
      </c>
      <c r="CT47" s="97" t="str" cm="1">
        <f t="array" aca="1" ref="CT47" ca="1">IF(INDIRECT(CQ$1)="","",IF(INDIRECT(CQ$2)=0,0,IF(OR(INDIRECT(CQ$1)=$A$2,INDIRECT(CQ$1)=$A$3),$A$3,IFERROR(INDEX(INDIRECT(CS47),MATCH(INDIRECT(CQ$3),INDIRECT(CS47),CS$25)),IFERROR(IF(CS$25=-1,MAX(INDIRECT(CS47)),IF(CS$25=1,MIN(INDIRECT(CS47)))),"")))))</f>
        <v/>
      </c>
      <c r="CV47" s="91" t="str">
        <f t="shared" ca="1" si="52"/>
        <v>Kugelstossen_2[Note]</v>
      </c>
      <c r="CW47" s="97" t="str" cm="1">
        <f t="array" aca="1" ref="CW47" ca="1">IFERROR(INDEX(INDIRECT(CV47),MATCH(INDIRECT(CQ$5),INDIRECT(CS47),0)),IF(INDIRECT(CQ$5)=0,1,""))</f>
        <v/>
      </c>
      <c r="CX47" s="97"/>
      <c r="CY47" s="307"/>
      <c r="CZ47" s="96" t="str">
        <f>IFERROR(IFERROR(SUBSTITUTE(SpeerwurfResultat[[#This Row],[Eingabe]],".",",")*1,SUBSTITUTE(SpeerwurfResultat[[#This Row],[Eingabe]],",",".")*1),"")</f>
        <v/>
      </c>
      <c r="DA47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7" s="96"/>
      <c r="DC47" s="91" t="str" cm="1">
        <f t="array" aca="1" ref="DC47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7" s="96" t="str">
        <f ca="1">LEFT(Geschlecht[[#This Row],[Geschlecht (Skala)]],1)&amp;DI$4</f>
        <v>2</v>
      </c>
      <c r="DE47" s="96" t="str">
        <f t="shared" ca="1" si="53"/>
        <v>Speerwurf_2[Resultat]</v>
      </c>
      <c r="DF47" s="97" t="str" cm="1">
        <f t="array" aca="1" ref="DF47" ca="1">IF(INDIRECT(DC$1)="","",IF(INDIRECT(DC$2)=0,0,IF(OR(INDIRECT(DC$1)=$A$2,INDIRECT(DC$1)=$A$3),$A$3,IFERROR(INDEX(INDIRECT(DE47),MATCH(INDIRECT(DC$3),INDIRECT(DE47),DE$25)),IFERROR(IF(DE$25=-1,MAX(INDIRECT(DE47)),IF(DE$25=1,MIN(INDIRECT(DE47)))),"")))))</f>
        <v/>
      </c>
      <c r="DH47" s="91" t="str">
        <f t="shared" ca="1" si="54"/>
        <v>Speerwurf_2[Note]</v>
      </c>
      <c r="DI47" s="97" t="str" cm="1">
        <f t="array" aca="1" ref="DI47" ca="1">IFERROR(INDEX(INDIRECT(DH47),MATCH(INDIRECT(DC$5),INDIRECT(DE47),0)),IF(INDIRECT(DC$5)=0,1,""))</f>
        <v/>
      </c>
      <c r="DJ47" s="97"/>
      <c r="DK47" s="97" t="str" cm="1">
        <f t="array" aca="1" ref="DK47" ca="1">INDIRECT(DK$5)</f>
        <v/>
      </c>
      <c r="DL47" s="97" t="str" cm="1">
        <f t="array" aca="1" ref="DL47" ca="1">INDIRECT(DL$5)</f>
        <v/>
      </c>
      <c r="DM47" s="97" t="str" cm="1">
        <f t="array" aca="1" ref="DM47" ca="1">INDIRECT(DM$5)</f>
        <v/>
      </c>
      <c r="DN47" s="97" t="str" cm="1">
        <f t="array" aca="1" ref="DN47" ca="1">INDIRECT(DN$5)</f>
        <v/>
      </c>
      <c r="DO47" s="97" t="str">
        <f t="shared" ca="1" si="135"/>
        <v>Sprintdisziplinen nicht durchgeführt</v>
      </c>
      <c r="DP47" s="97" t="str">
        <f t="shared" ca="1" si="136"/>
        <v/>
      </c>
      <c r="DQ47" s="108">
        <f t="shared" ca="1" si="137"/>
        <v>0</v>
      </c>
      <c r="DR47" s="108">
        <f t="shared" ca="1" si="138"/>
        <v>0</v>
      </c>
      <c r="DS47" s="108" t="str">
        <f t="shared" ca="1" si="139"/>
        <v/>
      </c>
      <c r="DT47" s="97" t="str">
        <f t="shared" ca="1" si="140"/>
        <v>Sprintdisziplinen nicht durchgeführt</v>
      </c>
      <c r="DU47" s="97" t="str">
        <f t="shared" ca="1" si="141"/>
        <v/>
      </c>
      <c r="DV47" s="97" t="str" cm="1">
        <f t="array" aca="1" ref="DV47" ca="1">IFERROR(IF(INDIRECT(INDEX(INDIRECT(DV$5),MATCH(DT47,INDIRECT(DV$4),0)))&lt;&gt;"",INDEX(INDIRECT(DV$5),MATCH(DT47,INDIRECT(DV$4),0)),INDEX(INDIRECT(DV$6),MATCH(DT47,INDIRECT(DV$4),0))),"")</f>
        <v/>
      </c>
      <c r="DW47" s="97" t="str">
        <f t="shared" ca="1" si="142"/>
        <v/>
      </c>
      <c r="DX47" s="97" t="str" cm="1">
        <f t="array" aca="1" ref="DX47" ca="1">IFERROR(INDIRECT(DV47),IF(NOT(ISERROR(FIND(Stammdaten!$CC$3,DT47,1))),$A$2,""))</f>
        <v/>
      </c>
      <c r="DY47" s="97" t="str">
        <f ca="1">IF(DX47="","",IF(AND(DU47=Stammdaten!$BX$20,DW47="0",DX47=1),SUBSTITUTE(TEXT(DX47,DW47)&amp;" "&amp;LEFT(DU47,LEN(DU47)-1),".",","),SUBSTITUTE(TEXT(DX47,DW47)&amp;" "&amp;DU47,".",",")))</f>
        <v/>
      </c>
      <c r="DZ47" s="97" t="str">
        <f t="shared" ca="1" si="55"/>
        <v/>
      </c>
      <c r="EA47" s="97" t="str" cm="1">
        <f t="array" aca="1" ref="EA47" ca="1">IFERROR(LEFT(INDIRECT(DZ47),1)&amp;"]","")</f>
        <v/>
      </c>
      <c r="EB47" s="97" t="str">
        <f t="shared" ca="1" si="56"/>
        <v/>
      </c>
      <c r="EC47" s="97" t="str">
        <f ca="1">IFERROR(LEFT(DT47,FIND(Stammdaten!$CA$4,DT47,1)-2),IFERROR(LEFT(DT47,FIND(Stammdaten!$CC$3,DT47,1)-2),DT47))</f>
        <v>Sprintdisziplinen</v>
      </c>
      <c r="ED47" s="97" t="str">
        <f ca="1">IF(NOT(ISERROR(FIND(Stammdaten!$CA$4,DT47,1))),Stammdaten!$CA$4,IF(EE47&lt;&gt;Stammdaten!$CC$3,EB47,""))</f>
        <v>nicht durchgeführt</v>
      </c>
      <c r="EE47" s="91" t="str">
        <f ca="1">IF(DX47=$A$2,Stammdaten!$CC$3,DY47)</f>
        <v/>
      </c>
      <c r="EF47" s="97" t="str" cm="1">
        <f t="array" aca="1" ref="EF47" ca="1">INDIRECT(EF$5)</f>
        <v/>
      </c>
      <c r="EG47" s="97" t="str" cm="1">
        <f t="array" aca="1" ref="EG47" ca="1">INDIRECT(EG$5)</f>
        <v/>
      </c>
      <c r="EH47" s="97" t="str" cm="1">
        <f t="array" aca="1" ref="EH47" ca="1">INDIRECT(EH$5)</f>
        <v/>
      </c>
      <c r="EI47" s="97" t="str" cm="1">
        <f t="array" aca="1" ref="EI47" ca="1">INDIRECT(EI$5)</f>
        <v/>
      </c>
      <c r="EJ47" s="97" t="str">
        <f t="shared" ca="1" si="143"/>
        <v>Ausdauerdisziplinen nicht durchgeführt</v>
      </c>
      <c r="EK47" s="97" t="str">
        <f t="shared" ca="1" si="144"/>
        <v/>
      </c>
      <c r="EL47" s="108">
        <f t="shared" ca="1" si="145"/>
        <v>0</v>
      </c>
      <c r="EM47" s="108">
        <f t="shared" ca="1" si="146"/>
        <v>0</v>
      </c>
      <c r="EN47" s="108" t="str">
        <f t="shared" ca="1" si="147"/>
        <v/>
      </c>
      <c r="EO47" s="97" t="str">
        <f t="shared" ca="1" si="148"/>
        <v>Ausdauerdisziplinen nicht durchgeführt</v>
      </c>
      <c r="EP47" s="97" t="str">
        <f t="shared" ca="1" si="149"/>
        <v/>
      </c>
      <c r="EQ47" s="97" t="str" cm="1">
        <f t="array" aca="1" ref="EQ47" ca="1">IFERROR(IF(INDIRECT(INDEX(INDIRECT(EQ$5),MATCH(EO47,INDIRECT(EQ$4),0)))&lt;&gt;"",INDEX(INDIRECT(EQ$5),MATCH(EO47,INDIRECT(EQ$4),0)),INDEX(INDIRECT(EQ$6),MATCH(EO47,INDIRECT(EQ$4),0))),"")</f>
        <v/>
      </c>
      <c r="ER47" s="97" t="str">
        <f t="shared" ca="1" si="150"/>
        <v/>
      </c>
      <c r="ES47" s="97" t="str" cm="1">
        <f t="array" aca="1" ref="ES47" ca="1">IFERROR(INDIRECT(EQ47),IF(NOT(ISERROR(FIND(Stammdaten!$CC$3,EO47,1))),$A$2,""))</f>
        <v/>
      </c>
      <c r="ET47" s="97" t="str">
        <f ca="1">IF(ES47="","",IF(AND(EP47=Stammdaten!$BX$20,ER47="0",ES47=1),SUBSTITUTE(TEXT(ES47,ER47)&amp;" "&amp;LEFT(EP47,LEN(EP47)-1),".",","),SUBSTITUTE(TEXT(ES47,ER47)&amp;" "&amp;EP47,".",",")))</f>
        <v/>
      </c>
      <c r="EU47" s="97" t="str">
        <f t="shared" ca="1" si="57"/>
        <v/>
      </c>
      <c r="EV47" s="97" t="str" cm="1">
        <f t="array" aca="1" ref="EV47" ca="1">IFERROR(LEFT(INDIRECT(EU47),1)&amp;"]","")</f>
        <v/>
      </c>
      <c r="EW47" s="97" t="str">
        <f t="shared" ca="1" si="58"/>
        <v/>
      </c>
      <c r="EX47" s="97" t="str">
        <f ca="1">IFERROR(LEFT(EO47,FIND(Stammdaten!$CA$4,EO47,1)-2),IFERROR(LEFT(EO47,FIND(Stammdaten!$CC$3,EO47,1)-2),EO47))</f>
        <v>Ausdauerdisziplinen</v>
      </c>
      <c r="EY47" s="97" t="str">
        <f ca="1">IF(NOT(ISERROR(FIND(Stammdaten!$CA$4,EO47,1))),Stammdaten!$CA$4,IF(EZ47&lt;&gt;Stammdaten!$CC$3,EW47,""))</f>
        <v>nicht durchgeführt</v>
      </c>
      <c r="EZ47" s="91" t="str">
        <f ca="1">IF(ES47=$A$2,Stammdaten!$CC$3,ET47)</f>
        <v/>
      </c>
      <c r="FA47" s="97" t="str" cm="1">
        <f t="array" aca="1" ref="FA47" ca="1">INDIRECT(FA$5)</f>
        <v/>
      </c>
      <c r="FB47" s="97" t="str" cm="1">
        <f t="array" aca="1" ref="FB47" ca="1">INDIRECT(FB$5)</f>
        <v/>
      </c>
      <c r="FC47" s="97" t="str" cm="1">
        <f t="array" aca="1" ref="FC47" ca="1">INDIRECT(FC$5)</f>
        <v/>
      </c>
      <c r="FD47" s="97" t="str" cm="1">
        <f t="array" aca="1" ref="FD47" ca="1">INDIRECT(FD$5)</f>
        <v/>
      </c>
      <c r="FE47" s="97" t="str">
        <f t="shared" ca="1" si="151"/>
        <v>Sprungdisziplinen nicht durchgeführt</v>
      </c>
      <c r="FF47" s="97" t="str">
        <f t="shared" ca="1" si="152"/>
        <v/>
      </c>
      <c r="FG47" s="108">
        <f t="shared" ca="1" si="153"/>
        <v>0</v>
      </c>
      <c r="FH47" s="108">
        <f t="shared" ca="1" si="154"/>
        <v>0</v>
      </c>
      <c r="FI47" s="108" t="str">
        <f t="shared" ca="1" si="155"/>
        <v/>
      </c>
      <c r="FJ47" s="97" t="str">
        <f t="shared" ca="1" si="156"/>
        <v>Sprungdisziplinen nicht durchgeführt</v>
      </c>
      <c r="FK47" s="97" t="str">
        <f t="shared" ca="1" si="157"/>
        <v/>
      </c>
      <c r="FL47" s="97" t="str" cm="1">
        <f t="array" aca="1" ref="FL47" ca="1">IFERROR(IF(INDIRECT(INDEX(INDIRECT(FL$5),MATCH(FJ47,INDIRECT(FL$4),0)))&lt;&gt;"",INDEX(INDIRECT(FL$5),MATCH(FJ47,INDIRECT(FL$4),0)),INDEX(INDIRECT(FL$6),MATCH(FJ47,INDIRECT(FL$4),0))),"")</f>
        <v/>
      </c>
      <c r="FM47" s="97" t="str">
        <f t="shared" ca="1" si="158"/>
        <v/>
      </c>
      <c r="FN47" s="97" t="str" cm="1">
        <f t="array" aca="1" ref="FN47" ca="1">IFERROR(INDIRECT(FL47),IF(NOT(ISERROR(FIND(Stammdaten!$CC$3,FJ47,1))),$A$2,""))</f>
        <v/>
      </c>
      <c r="FO47" s="97" t="str">
        <f ca="1">IF(FN47="","",IF(AND(FK47=Stammdaten!$BX$20,FM47="0",FN47=1),SUBSTITUTE(TEXT(FN47,FM47)&amp;" "&amp;LEFT(FK47,LEN(FK47)-1),".",","),SUBSTITUTE(TEXT(FN47,FM47)&amp;" "&amp;FK47,".",",")))</f>
        <v/>
      </c>
      <c r="FP47" s="97" t="str">
        <f t="shared" ca="1" si="59"/>
        <v/>
      </c>
      <c r="FQ47" s="97" t="str" cm="1">
        <f t="array" aca="1" ref="FQ47" ca="1">IFERROR(LEFT(INDIRECT(FP47),1)&amp;"]","")</f>
        <v/>
      </c>
      <c r="FR47" s="97" t="str">
        <f t="shared" ca="1" si="60"/>
        <v/>
      </c>
      <c r="FS47" s="97" t="str">
        <f ca="1">IFERROR(LEFT(FJ47,FIND(Stammdaten!$CA$4,FJ47,1)-2),IFERROR(LEFT(FJ47,FIND(Stammdaten!$CC$3,FJ47,1)-2),FJ47))</f>
        <v>Sprungdisziplinen</v>
      </c>
      <c r="FT47" s="97" t="str">
        <f ca="1">IF(NOT(ISERROR(FIND(Stammdaten!$CA$4,FJ47,1))),Stammdaten!$CA$4,IF(FU47&lt;&gt;Stammdaten!$CC$3,FR47,""))</f>
        <v>nicht durchgeführt</v>
      </c>
      <c r="FU47" s="91" t="str">
        <f ca="1">IF(FN47=$A$2,Stammdaten!$CC$3,FO47)</f>
        <v/>
      </c>
      <c r="FV47" s="97" t="str" cm="1">
        <f t="array" aca="1" ref="FV47" ca="1">INDIRECT(FV$5)</f>
        <v/>
      </c>
      <c r="FW47" s="97" t="str" cm="1">
        <f t="array" aca="1" ref="FW47" ca="1">INDIRECT(FW$5)</f>
        <v/>
      </c>
      <c r="FX47" s="97" t="str" cm="1">
        <f t="array" aca="1" ref="FX47" ca="1">INDIRECT(FX$5)</f>
        <v/>
      </c>
      <c r="FY47" s="97" t="str" cm="1">
        <f t="array" aca="1" ref="FY47" ca="1">INDIRECT(FY$5)</f>
        <v/>
      </c>
      <c r="FZ47" s="97" t="str" cm="1">
        <f t="array" aca="1" ref="FZ47" ca="1">INDIRECT(FZ$5)</f>
        <v/>
      </c>
      <c r="GA47" s="97" t="str" cm="1">
        <f t="array" aca="1" ref="GA47" ca="1">INDIRECT(GA$5)</f>
        <v/>
      </c>
      <c r="GB47" s="97" t="str">
        <f t="shared" ca="1" si="159"/>
        <v>Wurfdisziplinen nicht durchgeführt</v>
      </c>
      <c r="GC47" s="97" t="str">
        <f t="shared" ca="1" si="160"/>
        <v/>
      </c>
      <c r="GD47" s="108">
        <f t="shared" ca="1" si="161"/>
        <v>0</v>
      </c>
      <c r="GE47" s="108">
        <f t="shared" ca="1" si="162"/>
        <v>0</v>
      </c>
      <c r="GF47" s="108" t="str">
        <f t="shared" ca="1" si="163"/>
        <v/>
      </c>
      <c r="GG47" s="97" t="str">
        <f t="shared" ca="1" si="164"/>
        <v>Wurfdisziplinen nicht durchgeführt</v>
      </c>
      <c r="GH47" s="97" t="str">
        <f t="shared" ca="1" si="165"/>
        <v/>
      </c>
      <c r="GI47" s="97" t="str" cm="1">
        <f t="array" aca="1" ref="GI47" ca="1">IFERROR(IF(INDIRECT(INDEX(INDIRECT(GI$5),MATCH(GG47,INDIRECT(GI$4),0)))&lt;&gt;"",INDEX(INDIRECT(GI$5),MATCH(GG47,INDIRECT(GI$4),0)),INDEX(INDIRECT(GI$6),MATCH(GG47,INDIRECT(GI$4),0))),"")</f>
        <v/>
      </c>
      <c r="GJ47" s="97" t="str">
        <f t="shared" ca="1" si="166"/>
        <v/>
      </c>
      <c r="GK47" s="97" t="str" cm="1">
        <f t="array" aca="1" ref="GK47" ca="1">IFERROR(INDIRECT(GI47),IF(NOT(ISERROR(FIND(Stammdaten!$CC$3,GG47,1))),$A$2,""))</f>
        <v/>
      </c>
      <c r="GL47" s="97" t="str">
        <f ca="1">IF(GK47="","",IF(AND(GH47=Stammdaten!$BX$20,GJ47="0",GK47=1),SUBSTITUTE(TEXT(GK47,GJ47)&amp;" "&amp;LEFT(GH47,LEN(GH47)-1),".",","),SUBSTITUTE(TEXT(GK47,GJ47)&amp;" "&amp;GH47,".",",")))</f>
        <v/>
      </c>
      <c r="GM47" s="97" t="str">
        <f t="shared" ca="1" si="61"/>
        <v/>
      </c>
      <c r="GN47" s="97" t="str" cm="1">
        <f t="array" aca="1" ref="GN47" ca="1">IFERROR(LEFT(INDIRECT(GM47),1)&amp;"]","")</f>
        <v/>
      </c>
      <c r="GO47" s="97" t="str">
        <f t="shared" ca="1" si="62"/>
        <v/>
      </c>
      <c r="GP47" s="97" t="str">
        <f ca="1">IFERROR(LEFT(GG47,FIND(Stammdaten!$CA$4,GG47,1)-2),IFERROR(LEFT(GG47,FIND(Stammdaten!$CC$3,GG47,1)-2),GG47))</f>
        <v>Wurfdisziplinen</v>
      </c>
      <c r="GQ47" s="97" t="str">
        <f ca="1">IF(NOT(ISERROR(FIND(Stammdaten!$CA$4,GG47,1))),Stammdaten!$CA$4,IF(GR47&lt;&gt;Stammdaten!$CC$3,GO47,""))</f>
        <v>nicht durchgeführt</v>
      </c>
      <c r="GR47" s="91" t="str">
        <f ca="1">IF(GK47=$A$2,Stammdaten!$CC$3,GL47)</f>
        <v/>
      </c>
      <c r="GS47" s="97" t="str">
        <f t="shared" ca="1" si="63"/>
        <v/>
      </c>
      <c r="GT47" s="97" t="str">
        <f t="shared" ca="1" si="64"/>
        <v/>
      </c>
      <c r="GU47" s="97" t="str">
        <f t="shared" ca="1" si="65"/>
        <v/>
      </c>
      <c r="GV47" s="97" t="str">
        <f t="shared" ca="1" si="66"/>
        <v/>
      </c>
      <c r="GW47" s="97">
        <f t="shared" ca="1" si="167"/>
        <v>0</v>
      </c>
      <c r="GX47" s="108">
        <f t="shared" ca="1" si="168"/>
        <v>0</v>
      </c>
      <c r="GY47" s="108">
        <f t="shared" ca="1" si="169"/>
        <v>0</v>
      </c>
      <c r="GZ47" s="108" t="str">
        <f t="shared" ca="1" si="170"/>
        <v/>
      </c>
      <c r="HA47" s="97" t="str">
        <f ca="1">IF(GZ47="",Stammdaten!$BZ$1,IF(AND(GX47=0,GY47&gt;=GZ$25),$A$3,ROUND(SUM(GW47/GZ47)/HA$25,0)*HA$25))</f>
        <v>Zu wenige Werte</v>
      </c>
      <c r="HB47" s="108">
        <f t="shared" ca="1" si="171"/>
        <v>6</v>
      </c>
      <c r="HC47" s="97" t="str">
        <f t="shared" ca="1" si="172"/>
        <v/>
      </c>
      <c r="HD47" s="97" t="str">
        <f t="shared" ca="1" si="173"/>
        <v/>
      </c>
      <c r="HE47" s="97" t="str">
        <f t="shared" ca="1" si="174"/>
        <v/>
      </c>
      <c r="HF47" s="97" t="str">
        <f t="shared" ca="1" si="175"/>
        <v/>
      </c>
      <c r="HG47" s="97" t="str">
        <f t="shared" ca="1" si="176"/>
        <v/>
      </c>
      <c r="HH47" s="97" t="str">
        <f t="shared" ca="1" si="177"/>
        <v>g</v>
      </c>
      <c r="HI47" s="97" t="str">
        <f t="shared" ca="1" si="178"/>
        <v/>
      </c>
      <c r="HJ47" s="97">
        <f t="shared" ca="1" si="179"/>
        <v>1</v>
      </c>
      <c r="HK47" s="97" t="str">
        <f ca="1">IF(OR(Geschlecht[[#This Row],[Geschlecht (Skala)]]="",NOT(ISNUMBER(GZ47))),"",HJ47)</f>
        <v/>
      </c>
      <c r="HL47" s="97" t="str">
        <f t="shared" ca="1" si="180"/>
        <v/>
      </c>
      <c r="HM47" s="97"/>
      <c r="HN47" s="308" t="str">
        <f t="shared" ca="1" si="68"/>
        <v>Zu wenige Werte</v>
      </c>
      <c r="HO47" s="97"/>
      <c r="HP47" s="307"/>
      <c r="HQ47" s="96" t="str">
        <f>IFERROR(IFERROR(SUBSTITUTE(ReckResultat[[#This Row],[Eingabe]],".",",")*1,SUBSTITUTE(ReckResultat[[#This Row],[Eingabe]],",",".")*1),"")</f>
        <v/>
      </c>
      <c r="HR47" s="96" t="e">
        <f>INT(ReckResultat[[#This Row],[Resultat]])=ReckResultat[[#This Row],[Resultat]]</f>
        <v>#VALUE!</v>
      </c>
      <c r="HS47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7" s="96"/>
      <c r="HX47" s="97"/>
      <c r="HY47" s="307"/>
      <c r="HZ47" s="96" t="str">
        <f>IFERROR(IFERROR(SUBSTITUTE(BodenResultat[[#This Row],[Eingabe]],".",",")*1,SUBSTITUTE(BodenResultat[[#This Row],[Eingabe]],",",".")*1),"")</f>
        <v/>
      </c>
      <c r="IA47" s="96" t="e">
        <f>INT(BodenResultat[[#This Row],[Resultat]])=BodenResultat[[#This Row],[Resultat]]</f>
        <v>#VALUE!</v>
      </c>
      <c r="IB47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7" s="96"/>
      <c r="IG47" s="97"/>
      <c r="IH47" s="307"/>
      <c r="II47" s="96" t="str">
        <f>IFERROR(IFERROR(SUBSTITUTE(StufenbarrenResultat[[#This Row],[Eingabe]],".",",")*1,SUBSTITUTE(StufenbarrenResultat[[#This Row],[Eingabe]],",",".")*1),"")</f>
        <v/>
      </c>
      <c r="IJ47" s="96" t="e">
        <f>INT(StufenbarrenResultat[[#This Row],[Resultat]])=StufenbarrenResultat[[#This Row],[Resultat]]</f>
        <v>#VALUE!</v>
      </c>
      <c r="IK47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7" s="96"/>
      <c r="IP47" s="97"/>
      <c r="IQ47" s="307"/>
      <c r="IR47" s="96" t="str">
        <f>IFERROR(IFERROR(SUBSTITUTE(ParallelbarrenResultat[[#This Row],[Eingabe]],".",",")*1,SUBSTITUTE(ParallelbarrenResultat[[#This Row],[Eingabe]],",",".")*1),"")</f>
        <v/>
      </c>
      <c r="IS47" s="96" t="e">
        <f>INT(ParallelbarrenResultat[[#This Row],[Resultat]])=ParallelbarrenResultat[[#This Row],[Resultat]]</f>
        <v>#VALUE!</v>
      </c>
      <c r="IT47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7" s="96"/>
      <c r="IY47" s="97"/>
      <c r="IZ47" s="307"/>
      <c r="JA47" s="96" t="str">
        <f>IFERROR(IFERROR(SUBSTITUTE(SchaukelringeResultat[[#This Row],[Eingabe]],".",",")*1,SUBSTITUTE(SchaukelringeResultat[[#This Row],[Eingabe]],",",".")*1),"")</f>
        <v/>
      </c>
      <c r="JB47" s="96" t="e">
        <f>INT(SchaukelringeResultat[[#This Row],[Resultat]])=SchaukelringeResultat[[#This Row],[Resultat]]</f>
        <v>#VALUE!</v>
      </c>
      <c r="JC47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7" s="96"/>
      <c r="JH47" s="97"/>
      <c r="JI47" s="307"/>
      <c r="JJ47" s="96" t="str">
        <f>IFERROR(IFERROR(SUBSTITUTE(SprungResultat[[#This Row],[Eingabe]],".",",")*1,SUBSTITUTE(SprungResultat[[#This Row],[Eingabe]],",",".")*1),"")</f>
        <v/>
      </c>
      <c r="JK47" s="96" t="e">
        <f>INT(SprungResultat[[#This Row],[Resultat]])=SprungResultat[[#This Row],[Resultat]]</f>
        <v>#VALUE!</v>
      </c>
      <c r="JL47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7" s="96"/>
      <c r="JQ47" s="97"/>
      <c r="JR47" s="309" t="str" cm="1">
        <f t="array" aca="1" ref="JR47" ca="1">IF(AND(ISNUMBER(INDIRECT(JR$3)),INDIRECT(JR$3)&gt;0),INDIRECT(JR$3),"")</f>
        <v/>
      </c>
      <c r="JS47" s="309" t="str" cm="1">
        <f t="array" aca="1" ref="JS47" ca="1">IF(AND(ISNUMBER(INDIRECT(JS$3)),INDIRECT(JS$3)&gt;0),INDIRECT(JS$3),"")</f>
        <v/>
      </c>
      <c r="JT47" s="309" t="str" cm="1">
        <f t="array" aca="1" ref="JT47" ca="1">IF(AND(ISNUMBER(INDIRECT(JT$3)),INDIRECT(JT$3)&gt;0),INDIRECT(JT$3),"")</f>
        <v/>
      </c>
      <c r="JU47" s="309" t="str" cm="1">
        <f t="array" aca="1" ref="JU47" ca="1">IF(AND(ISNUMBER(INDIRECT(JU$3)),INDIRECT(JU$3)&gt;0),INDIRECT(JU$3),"")</f>
        <v/>
      </c>
      <c r="JV47" s="309" t="str" cm="1">
        <f t="array" aca="1" ref="JV47" ca="1">IF(AND(ISNUMBER(INDIRECT(JV$3)),INDIRECT(JV$3)&gt;0),INDIRECT(JV$3),"")</f>
        <v/>
      </c>
      <c r="JW47" s="309" t="str" cm="1">
        <f t="array" aca="1" ref="JW47" ca="1">IF(AND(ISNUMBER(INDIRECT(JW$3)),INDIRECT(JW$3)&gt;0),INDIRECT(JW$3),"")</f>
        <v/>
      </c>
      <c r="JX47" s="309" t="str">
        <f t="shared" ca="1" si="69"/>
        <v>x</v>
      </c>
      <c r="JY47" s="309" t="str">
        <f t="shared" ca="1" si="70"/>
        <v>y</v>
      </c>
      <c r="JZ47" s="309" t="str">
        <f t="shared" ca="1" si="71"/>
        <v>z</v>
      </c>
      <c r="KA47" s="309" t="str">
        <f t="shared" ca="1" si="181"/>
        <v>a</v>
      </c>
      <c r="KB47" s="309" t="str" cm="1">
        <f t="array" aca="1" ref="KB47" ca="1">IF(KA47="a","",INDEX($JR$23:$JW$23,,MATCH(KA47,$JR47:$JW47,0)))</f>
        <v/>
      </c>
      <c r="KC47" s="309" t="str" cm="1">
        <f t="array" aca="1" ref="KC47" ca="1">IF(OR(KB47="",KB47&gt;=$JW$23),"",INDEX(INDIRECT(ADDRESS(ROW($JR$23),KB47+1)):$JW$23,,MATCH(KA47,INDIRECT(ADDRESS(ROW(),KB47+1)):$JW47,0)))</f>
        <v/>
      </c>
      <c r="KD47" s="309" t="str" cm="1">
        <f t="array" aca="1" ref="KD47" ca="1">IF(OR(KC47="",KC47&gt;=$JW$23),"",INDEX(INDIRECT(ADDRESS(ROW($JR$23),KC47+1)):$JW$23,,MATCH(KA47,INDIRECT(ADDRESS(ROW(),KC47+1)):$JW47,0)))</f>
        <v/>
      </c>
      <c r="KE47" s="309" t="str">
        <f t="shared" ca="1" si="182"/>
        <v>c</v>
      </c>
      <c r="KF47" s="309" t="str" cm="1">
        <f t="array" aca="1" ref="KF47" ca="1">IF(OR(KE47="b",KE47="c"),"",INDEX($JR$23:$JW$23,,MATCH(KE47,$JR47:$JW47,0)))</f>
        <v/>
      </c>
      <c r="KG47" s="309" t="str" cm="1">
        <f t="array" aca="1" ref="KG47" ca="1">IF(OR(KF47="",KF47&gt;=$JW$23),"",INDEX(INDIRECT(ADDRESS(ROW($JR$23),KF47+1)):$JW$23,,MATCH(KE47,INDIRECT(ADDRESS(ROW(),KF47+1)):$JW47,0)))</f>
        <v/>
      </c>
      <c r="KH47" s="309" t="str">
        <f t="shared" ca="1" si="72"/>
        <v/>
      </c>
      <c r="KI47" s="309" t="str">
        <f t="shared" ca="1" si="183"/>
        <v>e</v>
      </c>
      <c r="KJ47" s="309" t="str">
        <f t="shared" ca="1" si="73"/>
        <v/>
      </c>
      <c r="KK47" s="309" t="str" cm="1">
        <f t="array" aca="1" ref="KK47" ca="1">IF(OR(KI47="d",KI47="e"),"",INDEX($JR$23:$JW$23,,MATCH(KI47,$JR47:$JW47,0)))</f>
        <v/>
      </c>
      <c r="KL47" s="309" t="str" cm="1">
        <f t="array" aca="1" ref="KL47" ca="1">IF(OR(KK47="",KK47&gt;=$JW$23),"",INDEX(INDIRECT(ADDRESS(ROW($JR$23),KK47+1)):$JW$23,,MATCH(KI47,INDIRECT(ADDRESS(ROW(),KK47+1)):$JW47,0)))</f>
        <v/>
      </c>
      <c r="KM47" s="309" t="str" cm="1">
        <f t="array" aca="1" ref="KM47" ca="1">IFERROR(IF(ISNUMBER(KB47),KB47,IF(ISNUMBER(KF47),KF47,IF(ISNUMBER(KJ47),KJ47,INDEX($JR$23:$JW$23,,MATCH(JX47,$JR47:$JW47,0))))),"x1")</f>
        <v>x1</v>
      </c>
      <c r="KN47" s="309" t="str" cm="1">
        <f t="array" aca="1" ref="KN47" ca="1">IFERROR(IF(ISNUMBER(KC47),KC47,IF(ISNUMBER(KG47),KG47,IF(ISNUMBER(KK47),KK47,INDEX($JR$23:$JW$23,,MATCH(JY47,$JR47:$JW47,0))))),IF(KM47="x1","x2","x1"))</f>
        <v>x2</v>
      </c>
      <c r="KO47" s="309" t="str" cm="1">
        <f t="array" aca="1" ref="KO47" ca="1">IFERROR(IF(ISNUMBER(KD47),KD47,IF(ISNUMBER(KH47),KH47,IF(ISNUMBER(KL47),KL47,INDEX($JR$23:$JW$23,,MATCH(JZ47,$JR47:$JW47,0))))),IF(KN47="x1","x2",IF(KN47="x2","x3","x1")))</f>
        <v>x3</v>
      </c>
      <c r="KP47" s="97" t="str" cm="1">
        <f t="array" aca="1" ref="KP47" ca="1">IF(OR(INDIRECT(KP$3)=$A$2,INDIRECT(KP$3)=$A$3),COLUMN(),"")</f>
        <v/>
      </c>
      <c r="KQ47" s="97" t="str" cm="1">
        <f t="array" aca="1" ref="KQ47" ca="1">IF(OR(INDIRECT(KQ$3)=$A$2,INDIRECT(KQ$3)=$A$3),COLUMN(),"")</f>
        <v/>
      </c>
      <c r="KR47" s="97" t="str" cm="1">
        <f t="array" aca="1" ref="KR47" ca="1">IF(OR(INDIRECT(KR$3)=$A$2,INDIRECT(KR$3)=$A$3),COLUMN(),"")</f>
        <v/>
      </c>
      <c r="KS47" s="97" t="str" cm="1">
        <f t="array" aca="1" ref="KS47" ca="1">IF(OR(INDIRECT(KS$3)=$A$2,INDIRECT(KS$3)=$A$3),COLUMN(),"")</f>
        <v/>
      </c>
      <c r="KT47" s="97" t="str" cm="1">
        <f t="array" aca="1" ref="KT47" ca="1">IF(OR(INDIRECT(KT$3)=$A$2,INDIRECT(KT$3)=$A$3),COLUMN(),"")</f>
        <v/>
      </c>
      <c r="KU47" s="97" t="str" cm="1">
        <f t="array" aca="1" ref="KU47" ca="1">IF(OR(INDIRECT(KU$3)=$A$2,INDIRECT(KU$3)=$A$3),COLUMN(),"")</f>
        <v/>
      </c>
      <c r="KV47" s="97" t="str" cm="1">
        <f t="array" aca="1" ref="KV47" ca="1">IF(AND(ISNUMBER(INDIRECT(KV$3)),INDIRECT(KV$3)=0),COLUMN(),"")</f>
        <v/>
      </c>
      <c r="KW47" s="97" t="str" cm="1">
        <f t="array" aca="1" ref="KW47" ca="1">IF(AND(ISNUMBER(INDIRECT(KW$3)),INDIRECT(KW$3)=0),COLUMN(),"")</f>
        <v/>
      </c>
      <c r="KX47" s="97" t="str" cm="1">
        <f t="array" aca="1" ref="KX47" ca="1">IF(AND(ISNUMBER(INDIRECT(KX$3)),INDIRECT(KX$3)=0),COLUMN(),"")</f>
        <v/>
      </c>
      <c r="KY47" s="97" t="str" cm="1">
        <f t="array" aca="1" ref="KY47" ca="1">IF(AND(ISNUMBER(INDIRECT(KY$3)),INDIRECT(KY$3)=0),COLUMN(),"")</f>
        <v/>
      </c>
      <c r="KZ47" s="97" t="str" cm="1">
        <f t="array" aca="1" ref="KZ47" ca="1">IF(AND(ISNUMBER(INDIRECT(KZ$3)),INDIRECT(KZ$3)=0),COLUMN(),"")</f>
        <v/>
      </c>
      <c r="LA47" s="97" t="str" cm="1">
        <f t="array" aca="1" ref="LA47" ca="1">IF(AND(ISNUMBER(INDIRECT(LA$3)),INDIRECT(LA$3)=0),COLUMN(),"")</f>
        <v/>
      </c>
      <c r="LB47" s="97" t="str">
        <f t="shared" ca="1" si="184"/>
        <v>x1</v>
      </c>
      <c r="LC47" s="97" t="str">
        <f t="shared" ca="1" si="185"/>
        <v>x2</v>
      </c>
      <c r="LD47" s="97" t="str">
        <f t="shared" ca="1" si="186"/>
        <v>x3</v>
      </c>
      <c r="LE47" s="97" t="str">
        <f ca="1">IFERROR(IF(ISNUMBER(LB47),LB47,SMALL($KV47:$LA47,VALUE(RIGHT(LB47,1)))),Stammdaten!$CA$17)</f>
        <v>Erstes Gerät nicht durchgeführt</v>
      </c>
      <c r="LF47" s="97" t="str">
        <f ca="1">IFERROR(IF(ISNUMBER(LC47),LC47,SMALL($KV47:$LA47,VALUE(RIGHT(LC47,1)))),Stammdaten!$CA$18)</f>
        <v>Zweites Gerät nicht durchgeführt</v>
      </c>
      <c r="LG47" s="97" t="str">
        <f ca="1">IFERROR(IF(ISNUMBER(LD47),LD47,SMALL($KV47:$LA47,VALUE(RIGHT(LD47,1)))),Stammdaten!$CA$19)</f>
        <v>Drittes Gerät nicht durchgeführt</v>
      </c>
      <c r="LH47" s="91" t="str" cm="1">
        <f t="array" aca="1" ref="LH47" ca="1">IFERROR(INDIRECT(ADDRESS(ROW($JR$5),LE47)),LE47)</f>
        <v>Erstes Gerät nicht durchgeführt</v>
      </c>
      <c r="LI47" s="97" t="str">
        <f t="shared" ca="1" si="187"/>
        <v/>
      </c>
      <c r="LJ47" s="97" t="str" cm="1">
        <f t="array" aca="1" ref="LJ47" ca="1">IFERROR(IF(INDIRECT(INDEX(INDIRECT(LJ$5),MATCH(LH47,INDIRECT(LJ$4),0)))&lt;&gt;"",INDEX(INDIRECT(LJ$5),MATCH(LH47,INDIRECT(LJ$4),0)),INDEX(INDIRECT(LJ$6),MATCH(LH47,INDIRECT(LJ$4),0))),"")</f>
        <v/>
      </c>
      <c r="LK47" s="97" t="str">
        <f t="shared" ca="1" si="188"/>
        <v/>
      </c>
      <c r="LL47" s="97" t="str" cm="1">
        <f t="array" aca="1" ref="LL47" ca="1">IFERROR(INDIRECT(LJ47),"")</f>
        <v/>
      </c>
      <c r="LM47" s="97" t="str">
        <f ca="1">IF(LL47="","",IF(AND(LI47=Stammdaten!$BX$20,LK47="0",LL47=1),SUBSTITUTE(TEXT(LL47,LK47)&amp;" "&amp;LEFT(LI47,LEN(LI47)-1),".",","),SUBSTITUTE(TEXT(LL47,LK47)&amp;" "&amp;LI47,".",",")))</f>
        <v/>
      </c>
      <c r="LN47" s="97" t="str">
        <f t="shared" ca="1" si="74"/>
        <v/>
      </c>
      <c r="LO47" s="97" t="str" cm="1">
        <f t="array" aca="1" ref="LO47" ca="1">IFERROR(LEFT(INDIRECT(LN47),1)&amp;"]","")</f>
        <v/>
      </c>
      <c r="LP47" s="97" t="str">
        <f t="shared" ca="1" si="75"/>
        <v/>
      </c>
      <c r="LQ47" s="97" t="str">
        <f ca="1">IFERROR(LEFT(LH47,FIND(Stammdaten!$CA$4,LH47,1)-2),IFERROR(LEFT(LH47,FIND(Stammdaten!$CC$3,LH47,1)-2),LH47))</f>
        <v>Erstes Gerät</v>
      </c>
      <c r="LR47" s="97" t="str">
        <f ca="1">IF(NOT(ISERROR(FIND(Stammdaten!$CA$4,LH47,1))),Stammdaten!$CA$4,IF(LS47&lt;&gt;Stammdaten!$CC$3,LP47,""))</f>
        <v>nicht durchgeführt</v>
      </c>
      <c r="LS47" s="91" t="str">
        <f ca="1">IF(LL47=$A$2,Stammdaten!$CC$3,LM47)</f>
        <v/>
      </c>
      <c r="LT47" s="91" t="str" cm="1">
        <f t="array" aca="1" ref="LT47" ca="1">IFERROR(INDIRECT(ADDRESS(ROW($JR$5),LF47)),LF47)</f>
        <v>Zweites Gerät nicht durchgeführt</v>
      </c>
      <c r="LU47" s="97" t="str">
        <f t="shared" ca="1" si="189"/>
        <v/>
      </c>
      <c r="LV47" s="97" t="str" cm="1">
        <f t="array" aca="1" ref="LV47" ca="1">IFERROR(IF(INDIRECT(INDEX(INDIRECT(LV$5),MATCH(LT47,INDIRECT(LV$4),0)))&lt;&gt;"",INDEX(INDIRECT(LV$5),MATCH(LT47,INDIRECT(LV$4),0)),INDEX(INDIRECT(LV$6),MATCH(LT47,INDIRECT(LV$4),0))),"")</f>
        <v/>
      </c>
      <c r="LW47" s="97" t="str">
        <f t="shared" ca="1" si="190"/>
        <v/>
      </c>
      <c r="LX47" s="97" t="str" cm="1">
        <f t="array" aca="1" ref="LX47" ca="1">IFERROR(INDIRECT(LV47),"")</f>
        <v/>
      </c>
      <c r="LY47" s="97" t="str">
        <f ca="1">IF(LX47="","",IF(AND(LU47=Stammdaten!$BX$20,LW47="0",LX47=1),SUBSTITUTE(TEXT(LX47,LW47)&amp;" "&amp;LEFT(LU47,LEN(LU47)-1),".",","),SUBSTITUTE(TEXT(LX47,LW47)&amp;" "&amp;LU47,".",",")))</f>
        <v/>
      </c>
      <c r="LZ47" s="97" t="str">
        <f t="shared" ca="1" si="76"/>
        <v/>
      </c>
      <c r="MA47" s="97" t="str" cm="1">
        <f t="array" aca="1" ref="MA47" ca="1">IFERROR(LEFT(INDIRECT(LZ47),1)&amp;"]","")</f>
        <v/>
      </c>
      <c r="MB47" s="97" t="str">
        <f t="shared" ca="1" si="77"/>
        <v/>
      </c>
      <c r="MC47" s="97" t="str">
        <f ca="1">IFERROR(LEFT(LT47,FIND(Stammdaten!$CA$4,LT47,1)-2),IFERROR(LEFT(LT47,FIND(Stammdaten!$CC$3,LT47,1)-2),LT47))</f>
        <v>Zweites Gerät</v>
      </c>
      <c r="MD47" s="97" t="str">
        <f ca="1">IF(NOT(ISERROR(FIND(Stammdaten!$CA$4,LT47,1))),Stammdaten!$CA$4,IF(ME47&lt;&gt;Stammdaten!$CC$3,MB47,""))</f>
        <v>nicht durchgeführt</v>
      </c>
      <c r="ME47" s="91" t="str">
        <f ca="1">IF(LX47=$A$2,Stammdaten!$CC$3,LY47)</f>
        <v/>
      </c>
      <c r="MF47" s="91" t="str" cm="1">
        <f t="array" aca="1" ref="MF47" ca="1">IFERROR(INDIRECT(ADDRESS(ROW($JR$5),LG47)),LG47)</f>
        <v>Drittes Gerät nicht durchgeführt</v>
      </c>
      <c r="MG47" s="97" t="str">
        <f t="shared" ca="1" si="191"/>
        <v/>
      </c>
      <c r="MH47" s="97" t="str" cm="1">
        <f t="array" aca="1" ref="MH47" ca="1">IFERROR(IF(INDIRECT(INDEX(INDIRECT(MH$5),MATCH(MF47,INDIRECT(MH$4),0)))&lt;&gt;"",INDEX(INDIRECT(MH$5),MATCH(MF47,INDIRECT(MH$4),0)),INDEX(INDIRECT(MH$6),MATCH(MF47,INDIRECT(MH$4),0))),"")</f>
        <v/>
      </c>
      <c r="MI47" s="97" t="str">
        <f t="shared" ca="1" si="192"/>
        <v/>
      </c>
      <c r="MJ47" s="97" t="str" cm="1">
        <f t="array" aca="1" ref="MJ47" ca="1">IFERROR(INDIRECT(MH47),"")</f>
        <v/>
      </c>
      <c r="MK47" s="97" t="str">
        <f ca="1">IF(MJ47="","",IF(AND(MG47=Stammdaten!$BX$20,MI47="0",MJ47=1),SUBSTITUTE(TEXT(MJ47,MI47)&amp;" "&amp;LEFT(MG47,LEN(MG47)-1),".",","),SUBSTITUTE(TEXT(MJ47,MI47)&amp;" "&amp;MG47,".",",")))</f>
        <v/>
      </c>
      <c r="ML47" s="97" t="str">
        <f t="shared" ca="1" si="78"/>
        <v/>
      </c>
      <c r="MM47" s="97" t="str" cm="1">
        <f t="array" aca="1" ref="MM47" ca="1">IFERROR(LEFT(INDIRECT(ML47),1)&amp;"]","")</f>
        <v/>
      </c>
      <c r="MN47" s="97" t="str">
        <f t="shared" ca="1" si="79"/>
        <v/>
      </c>
      <c r="MO47" s="97" t="str">
        <f ca="1">IFERROR(LEFT(MF47,FIND(Stammdaten!$CA$4,MF47,1)-2),IFERROR(LEFT(MF47,FIND(Stammdaten!$CC$3,MF47,1)-2),MF47))</f>
        <v>Drittes Gerät</v>
      </c>
      <c r="MP47" s="97" t="str">
        <f ca="1">IF(NOT(ISERROR(FIND(Stammdaten!$CA$4,MF47,1))),Stammdaten!$CA$4,IF(MQ47&lt;&gt;Stammdaten!$CC$3,MN47,""))</f>
        <v>nicht durchgeführt</v>
      </c>
      <c r="MQ47" s="91" t="str">
        <f ca="1">IF(MJ47=$A$2,Stammdaten!$CC$3,MK47)</f>
        <v/>
      </c>
      <c r="MR47" s="97">
        <f t="shared" ca="1" si="80"/>
        <v>0</v>
      </c>
      <c r="MS47" s="108">
        <f t="shared" ca="1" si="193"/>
        <v>0</v>
      </c>
      <c r="MT47" s="108">
        <f t="shared" ca="1" si="194"/>
        <v>0</v>
      </c>
      <c r="MU47" s="108">
        <f t="shared" ca="1" si="195"/>
        <v>0</v>
      </c>
      <c r="MV47" s="108" t="str">
        <f t="shared" ca="1" si="196"/>
        <v/>
      </c>
      <c r="MW47" s="97" t="str">
        <f ca="1">IF(MV47="",Stammdaten!$BZ$1,IF(AND(MS47+MT47=0,MU47&gt;=MV$25),$A$3,MR47))</f>
        <v>Zu wenige Werte</v>
      </c>
      <c r="MX47" s="97"/>
      <c r="MY47" s="91" t="str">
        <f t="shared" ca="1" si="81"/>
        <v/>
      </c>
      <c r="MZ47" s="96" t="str">
        <f>LEFT(Geschlecht[[#This Row],[Geschlecht (Skala)]],1)&amp;$MZ$27</f>
        <v>2</v>
      </c>
      <c r="NA47" s="96" t="str">
        <f t="shared" ca="1" si="82"/>
        <v>Geräteturnen_2[Resultat]</v>
      </c>
      <c r="NB47" s="97" t="str" cm="1">
        <f t="array" aca="1" ref="NB47" ca="1">IF(OR($MW47="",$MW47=Stammdaten!$BZ$1),"",IF($MW47=0,0,IF(OR($MW47=$A$2,$MW47=$A$3),$A$3,IFERROR(INDEX(INDIRECT(NA47),MATCH(INDIRECT(MY$3),INDIRECT(NA47),NA$25)),IFERROR(IF(NA$25=-1,MAX(INDIRECT(NA47)),IF(NA$25=1,MIN(INDIRECT(NA47)))),"")))))</f>
        <v/>
      </c>
      <c r="ND47" s="91" t="str">
        <f t="shared" ca="1" si="83"/>
        <v>Geräteturnen_2[Note]</v>
      </c>
      <c r="NE47" s="97" t="str" cm="1">
        <f t="array" aca="1" ref="NE47" ca="1">IFERROR(INDEX(INDIRECT(ND47),MATCH(INDIRECT(MY$5),INDIRECT(NA47),0)),IF(INDIRECT(MY$5)=0,1,""))</f>
        <v/>
      </c>
      <c r="NF47" s="97"/>
      <c r="NG47" s="307"/>
      <c r="NH47" s="96" t="str">
        <f>IFERROR(IFERROR(SUBSTITUTE(ParkourResultat[[#This Row],[Eingabe]],".",",")*1,SUBSTITUTE(ParkourResultat[[#This Row],[Eingabe]],",",".")*1),"")</f>
        <v/>
      </c>
      <c r="NI47" s="96" t="e">
        <f>INT(ParkourResultat[[#This Row],[Resultat]])=ParkourResultat[[#This Row],[Resultat]]</f>
        <v>#VALUE!</v>
      </c>
      <c r="NJ47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7" s="96"/>
      <c r="NL47" s="91" t="str" cm="1">
        <f t="array" aca="1" ref="NL47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7" s="96" t="str">
        <f ca="1">LEFT(Geschlecht[[#This Row],[Geschlecht (Skala)]],1)&amp;NR$4</f>
        <v>2</v>
      </c>
      <c r="NN47" s="96" t="str">
        <f t="shared" ca="1" si="84"/>
        <v>Parkour_2[Resultat]</v>
      </c>
      <c r="NO47" s="97" t="str" cm="1">
        <f t="array" aca="1" ref="NO47" ca="1">IF(INDIRECT(NL$1)="","",IF(INDIRECT(NL$2)=0,0,IF(OR(INDIRECT(NL$1)=$A$2,INDIRECT(NL$1)=$A$3),$A$3,IFERROR(INDEX(INDIRECT(NN47),MATCH(INDIRECT(NL$3),INDIRECT(NN47),NN$25)),IFERROR(IF(NN$25=-1,MAX(INDIRECT(NN47)),IF(NN$25=1,MIN(INDIRECT(NN47)))),"")))))</f>
        <v/>
      </c>
      <c r="NQ47" s="91" t="str">
        <f t="shared" ca="1" si="85"/>
        <v>Parkour_2[Note]</v>
      </c>
      <c r="NR47" s="97" t="str" cm="1">
        <f t="array" aca="1" ref="NR47" ca="1">IFERROR(INDEX(INDIRECT(NQ47),MATCH(INDIRECT(NL$5),INDIRECT(NN47),0)),IF(INDIRECT(NL$5)=0,1,""))</f>
        <v/>
      </c>
      <c r="NS47" s="97"/>
      <c r="NT47" s="97" t="str" cm="1">
        <f t="array" aca="1" ref="NT47" ca="1">INDIRECT(NT$5)</f>
        <v/>
      </c>
      <c r="NU47" s="97" t="str" cm="1">
        <f t="array" aca="1" ref="NU47" ca="1">INDIRECT(NU$5)</f>
        <v/>
      </c>
      <c r="NV47" s="97" t="str" cm="1">
        <f t="array" aca="1" ref="NV47" ca="1">INDIRECT(NV$5)</f>
        <v/>
      </c>
      <c r="NW47" s="97" t="str" cm="1">
        <f t="array" aca="1" ref="NW47" ca="1">INDIRECT(NW$5)</f>
        <v/>
      </c>
      <c r="NX47" s="97" t="str">
        <f t="shared" ca="1" si="86"/>
        <v>Parkour nicht durchgeführt</v>
      </c>
      <c r="NY47" s="97" t="str">
        <f t="shared" ca="1" si="197"/>
        <v/>
      </c>
      <c r="NZ47" s="97" t="str" cm="1">
        <f t="array" aca="1" ref="NZ47" ca="1">IFERROR(IF(INDIRECT(INDEX(INDIRECT(NZ$5),MATCH(NX47,INDIRECT(NZ$4),0)))&lt;&gt;"",INDEX(INDIRECT(NZ$5),MATCH(NX47,INDIRECT(NZ$4),0)),INDEX(INDIRECT(NZ$6),MATCH(NX47,INDIRECT(NZ$4),0))),"")</f>
        <v/>
      </c>
      <c r="OA47" s="97" t="str">
        <f t="shared" ca="1" si="198"/>
        <v/>
      </c>
      <c r="OB47" s="97" t="str" cm="1">
        <f t="array" aca="1" ref="OB47" ca="1">IFERROR(INDIRECT(NZ47),IF(NOT(ISERROR(FIND(Stammdaten!$CC$3,NX47,1))),$A$2,""))</f>
        <v/>
      </c>
      <c r="OC47" s="97" t="str">
        <f ca="1">IF(OB47="","",IF(AND(NY47=Stammdaten!$BX$20,OA47="0",OB47=1),SUBSTITUTE(TEXT(OB47,OA47)&amp;" "&amp;LEFT(NY47,LEN(NY47)-1),".",","),SUBSTITUTE(TEXT(OB47,OA47)&amp;" "&amp;NY47,".",",")))</f>
        <v/>
      </c>
      <c r="OD47" s="97" t="str">
        <f t="shared" ca="1" si="87"/>
        <v/>
      </c>
      <c r="OE47" s="97" t="str" cm="1">
        <f t="array" aca="1" ref="OE47" ca="1">IFERROR(LEFT(INDIRECT(OD47),1)&amp;"]","")</f>
        <v/>
      </c>
      <c r="OF47" s="97" t="str">
        <f t="shared" ca="1" si="88"/>
        <v/>
      </c>
      <c r="OG47" s="97" t="str">
        <f ca="1">IFERROR(LEFT(NX47,FIND(Stammdaten!$CA$4,NX47,1)-2),IFERROR(LEFT(NX47,FIND(Stammdaten!$CC$3,NX47,1)-2),NX47))</f>
        <v>Parkour</v>
      </c>
      <c r="OH47" s="97" t="str">
        <f ca="1">IF(NOT(ISERROR(FIND(Stammdaten!$CA$4,NX47,1))),Stammdaten!$CA$4,IF(OI47&lt;&gt;Stammdaten!$CC$3,OF47,""))</f>
        <v>nicht durchgeführt</v>
      </c>
      <c r="OI47" s="91" t="str">
        <f ca="1">IF(OB47=$A$2,Stammdaten!$CC$3,OC47)</f>
        <v/>
      </c>
      <c r="OJ47" s="97" t="str">
        <f t="shared" ca="1" si="89"/>
        <v/>
      </c>
      <c r="OK47" s="97" t="str">
        <f t="shared" ca="1" si="90"/>
        <v/>
      </c>
      <c r="OL47" s="97">
        <f t="shared" ca="1" si="199"/>
        <v>0</v>
      </c>
      <c r="OM47" s="108">
        <f t="shared" ca="1" si="91"/>
        <v>0</v>
      </c>
      <c r="ON47" s="108">
        <f t="shared" ca="1" si="92"/>
        <v>0</v>
      </c>
      <c r="OO47" s="108" t="str">
        <f t="shared" ca="1" si="200"/>
        <v/>
      </c>
      <c r="OP47" s="97" t="str">
        <f ca="1">IF(OO47="",Stammdaten!$BZ$1,IF(AND(OM47=0,ON47&gt;=OO$25),$A$3,ROUND(SUM(OL47/OO47)/OP$25,0)*OP$25))</f>
        <v>Zu wenige Werte</v>
      </c>
      <c r="OQ47" s="108">
        <f t="shared" ca="1" si="201"/>
        <v>6</v>
      </c>
      <c r="OR47" s="97" t="str">
        <f t="shared" ca="1" si="202"/>
        <v/>
      </c>
      <c r="OS47" s="97" t="str">
        <f t="shared" ca="1" si="203"/>
        <v/>
      </c>
      <c r="OT47" s="97" t="str">
        <f t="shared" ca="1" si="204"/>
        <v/>
      </c>
      <c r="OU47" s="97" t="str">
        <f t="shared" ca="1" si="205"/>
        <v>g</v>
      </c>
      <c r="OV47" s="97" t="str">
        <f t="shared" ca="1" si="206"/>
        <v/>
      </c>
      <c r="OW47" s="97">
        <f t="shared" ca="1" si="207"/>
        <v>1</v>
      </c>
      <c r="OX47" s="97" t="str">
        <f ca="1">IF(OR(Geschlecht[[#This Row],[Geschlecht (Skala)]]="",NOT(ISNUMBER(OO47))),"",OW47)</f>
        <v/>
      </c>
      <c r="OY47" s="97" t="str">
        <f t="shared" ca="1" si="208"/>
        <v/>
      </c>
      <c r="OZ47" s="97"/>
      <c r="PA47" s="308" t="str">
        <f t="shared" ca="1" si="209"/>
        <v>Zu wenige Werte</v>
      </c>
      <c r="PB47" s="97"/>
      <c r="PC47" s="307"/>
      <c r="PD47" s="96" t="str">
        <f>IFERROR(IFERROR(SUBSTITUTE(TanzenResultat[[#This Row],[Eingabe]],".",",")*1,SUBSTITUTE(TanzenResultat[[#This Row],[Eingabe]],",",".")*1),"")</f>
        <v/>
      </c>
      <c r="PE47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7" s="96"/>
      <c r="PG47" s="91" t="str" cm="1">
        <f t="array" aca="1" ref="PG47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7" s="96" t="str">
        <f ca="1">LEFT(Geschlecht[[#This Row],[Geschlecht (Skala)]],1)&amp;PM$4</f>
        <v>2</v>
      </c>
      <c r="PI47" s="96" t="str">
        <f t="shared" ca="1" si="93"/>
        <v>Tanzen_2[Resultat]</v>
      </c>
      <c r="PJ47" s="97" t="str" cm="1">
        <f t="array" aca="1" ref="PJ47" ca="1">IF(INDIRECT(PG$1)="","",IF(INDIRECT(PG$2)=0,0,IF(OR(INDIRECT(PG$1)=$A$2,INDIRECT(PG$1)=$A$3),$A$3,IFERROR(INDEX(INDIRECT(PI47),MATCH(INDIRECT(PG$3),INDIRECT(PI47),PI$25)),IFERROR(IF(PI$25=-1,MAX(INDIRECT(PI47)),IF(PI$25=1,MIN(INDIRECT(PI47)))),"")))))</f>
        <v/>
      </c>
      <c r="PL47" s="91" t="str">
        <f t="shared" ca="1" si="94"/>
        <v>Tanzen_2[Note]</v>
      </c>
      <c r="PM47" s="97" t="str" cm="1">
        <f t="array" aca="1" ref="PM47" ca="1">IFERROR(INDEX(INDIRECT(PL47),MATCH(INDIRECT(PG$5),INDIRECT(PI47),0)),IF(INDIRECT(PG$5)=0,1,""))</f>
        <v/>
      </c>
      <c r="PN47" s="97"/>
      <c r="PO47" s="307"/>
      <c r="PP47" s="96" t="str">
        <f>IFERROR(IFERROR(SUBSTITUTE(RopeSkippingResultat[[#This Row],[Eingabe]],".",",")*1,SUBSTITUTE(RopeSkippingResultat[[#This Row],[Eingabe]],",",".")*1),"")</f>
        <v/>
      </c>
      <c r="PQ47" s="96" t="e">
        <f>INT(RopeSkippingResultat[[#This Row],[Resultat]])=RopeSkippingResultat[[#This Row],[Resultat]]</f>
        <v>#VALUE!</v>
      </c>
      <c r="PR47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7" s="96"/>
      <c r="PT47" s="91" t="str" cm="1">
        <f t="array" aca="1" ref="PT47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7" s="96" t="str">
        <f ca="1">LEFT(Geschlecht[[#This Row],[Geschlecht (Skala)]],1)&amp;PZ$4</f>
        <v>2</v>
      </c>
      <c r="PV47" s="96" t="str">
        <f t="shared" ca="1" si="95"/>
        <v>RopeSkipping_2[Resultat]</v>
      </c>
      <c r="PW47" s="97" t="str" cm="1">
        <f t="array" aca="1" ref="PW47" ca="1">IF(INDIRECT(PT$1)="","",IF(INDIRECT(PT$2)=0,0,IF(OR(INDIRECT(PT$1)=$A$2,INDIRECT(PT$1)=$A$3),$A$3,IFERROR(INDEX(INDIRECT(PV47),MATCH(INDIRECT(PT$3),INDIRECT(PV47),PV$25)),IFERROR(IF(PV$25=-1,MAX(INDIRECT(PV47)),IF(PV$25=1,MIN(INDIRECT(PV47)))),"")))))</f>
        <v/>
      </c>
      <c r="PY47" s="91" t="str">
        <f t="shared" ca="1" si="96"/>
        <v>RopeSkipping_2[Note]</v>
      </c>
      <c r="PZ47" s="97" t="str" cm="1">
        <f t="array" aca="1" ref="PZ47" ca="1">IFERROR(INDEX(INDIRECT(PY47),MATCH(INDIRECT(PT$5),INDIRECT(PV47),0)),IF(INDIRECT(PT$5)=0,1,""))</f>
        <v/>
      </c>
      <c r="QA47" s="97"/>
      <c r="QB47" s="307"/>
      <c r="QC47" s="96" t="str">
        <f>IFERROR(IFERROR(SUBSTITUTE(AerobicResultat[[#This Row],[Eingabe]],".",",")*1,SUBSTITUTE(AerobicResultat[[#This Row],[Eingabe]],",",".")*1),"")</f>
        <v/>
      </c>
      <c r="QD47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7" s="96"/>
      <c r="QF47" s="91" t="str" cm="1">
        <f t="array" aca="1" ref="QF47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7" s="96" t="str">
        <f ca="1">LEFT(Geschlecht[[#This Row],[Geschlecht (Skala)]],1)&amp;QL$4</f>
        <v>2</v>
      </c>
      <c r="QH47" s="96" t="str">
        <f t="shared" ca="1" si="97"/>
        <v>Aerobic_2[Resultat]</v>
      </c>
      <c r="QI47" s="97" t="str" cm="1">
        <f t="array" aca="1" ref="QI47" ca="1">IF(INDIRECT(QF$1)="","",IF(INDIRECT(QF$2)=0,0,IF(OR(INDIRECT(QF$1)=$A$2,INDIRECT(QF$1)=$A$3),$A$3,IFERROR(INDEX(INDIRECT(QH47),MATCH(INDIRECT(QF$3),INDIRECT(QH47),QH$25)),IFERROR(IF(QH$25=-1,MAX(INDIRECT(QH47)),IF(QH$25=1,MIN(INDIRECT(QH47)))),"")))))</f>
        <v/>
      </c>
      <c r="QK47" s="91" t="str">
        <f t="shared" ca="1" si="98"/>
        <v>Aerobic_2[Note]</v>
      </c>
      <c r="QL47" s="97" t="str" cm="1">
        <f t="array" aca="1" ref="QL47" ca="1">IFERROR(INDEX(INDIRECT(QK47),MATCH(INDIRECT(QF$5),INDIRECT(QH47),0)),IF(INDIRECT(QF$5)=0,1,""))</f>
        <v/>
      </c>
      <c r="QM47" s="97"/>
      <c r="QN47" s="97" t="str" cm="1">
        <f t="array" aca="1" ref="QN47" ca="1">INDIRECT(QN$5)</f>
        <v/>
      </c>
      <c r="QO47" s="97" t="str" cm="1">
        <f t="array" aca="1" ref="QO47" ca="1">INDIRECT(QO$5)</f>
        <v/>
      </c>
      <c r="QP47" s="97" t="str" cm="1">
        <f t="array" aca="1" ref="QP47" ca="1">INDIRECT(QP$5)</f>
        <v/>
      </c>
      <c r="QQ47" s="97" t="str" cm="1">
        <f t="array" aca="1" ref="QQ47" ca="1">INDIRECT(QQ$5)</f>
        <v/>
      </c>
      <c r="QR47" s="97" t="str" cm="1">
        <f t="array" aca="1" ref="QR47" ca="1">INDIRECT(QR$5)</f>
        <v/>
      </c>
      <c r="QS47" s="97" t="str" cm="1">
        <f t="array" aca="1" ref="QS47" ca="1">INDIRECT(QS$5)</f>
        <v/>
      </c>
      <c r="QT47" s="97" t="str">
        <f t="shared" ca="1" si="99"/>
        <v>Darstellen und Tanzen nicht durchgeführt</v>
      </c>
      <c r="QU47" s="108">
        <f t="shared" ca="1" si="100"/>
        <v>0</v>
      </c>
      <c r="QV47" s="108">
        <f t="shared" ca="1" si="101"/>
        <v>0</v>
      </c>
      <c r="QW47" s="108" t="str">
        <f t="shared" ca="1" si="210"/>
        <v/>
      </c>
      <c r="QX47" s="97" t="str">
        <f t="shared" ca="1" si="211"/>
        <v>Darstellen und Tanzen nicht durchgeführt</v>
      </c>
      <c r="QY47" s="97" t="str">
        <f t="shared" ca="1" si="212"/>
        <v/>
      </c>
      <c r="QZ47" s="97" t="str" cm="1">
        <f t="array" aca="1" ref="QZ47" ca="1">IFERROR(IF(INDIRECT(INDEX(INDIRECT(QZ$5),MATCH(QX47,INDIRECT(QZ$4),0)))&lt;&gt;"",INDEX(INDIRECT(QZ$5),MATCH(QX47,INDIRECT(QZ$4),0)),INDEX(INDIRECT(QZ$6),MATCH(QX47,INDIRECT(QZ$4),0))),"")</f>
        <v/>
      </c>
      <c r="RA47" s="97" t="str">
        <f t="shared" ca="1" si="213"/>
        <v/>
      </c>
      <c r="RB47" s="97" t="str" cm="1">
        <f t="array" aca="1" ref="RB47" ca="1">IFERROR(INDIRECT(QZ47),IF(NOT(ISERROR(FIND(Stammdaten!$CC$3,QX47,1))),$A$2,""))</f>
        <v/>
      </c>
      <c r="RC47" s="97" t="str">
        <f ca="1">IF(RB47="","",IF(AND(QY47=Stammdaten!$BX$20,RA47="0",RB47=1),SUBSTITUTE(TEXT(RB47,RA47)&amp;" "&amp;LEFT(QY47,LEN(QY47)-1),".",","),SUBSTITUTE(TEXT(RB47,RA47)&amp;" "&amp;QY47,".",",")))</f>
        <v/>
      </c>
      <c r="RD47" s="97" t="str">
        <f t="shared" ca="1" si="102"/>
        <v/>
      </c>
      <c r="RE47" s="97" t="str" cm="1">
        <f t="array" aca="1" ref="RE47" ca="1">IFERROR(LEFT(INDIRECT(RD47),1)&amp;"]","")</f>
        <v/>
      </c>
      <c r="RF47" s="97" t="str">
        <f t="shared" ca="1" si="103"/>
        <v/>
      </c>
      <c r="RG47" s="97" t="str">
        <f ca="1">IFERROR(LEFT(QX47,FIND(Stammdaten!$CA$4,QX47,1)-2),IFERROR(LEFT(QX47,FIND(Stammdaten!$CC$3,QX47,1)-2),QX47))</f>
        <v>Darstellen und Tanzen</v>
      </c>
      <c r="RH47" s="97" t="str">
        <f ca="1">IF(NOT(ISERROR(FIND(Stammdaten!$CA$4,QX47,1))),Stammdaten!$CA$4,IF(RI47&lt;&gt;Stammdaten!$CC$3,RF47,""))</f>
        <v>nicht durchgeführt</v>
      </c>
      <c r="RI47" s="91" t="str">
        <f ca="1">IF(RB47=$A$2,Stammdaten!$CC$3,RC47)</f>
        <v/>
      </c>
      <c r="RJ47" s="108">
        <f t="shared" ca="1" si="214"/>
        <v>6</v>
      </c>
      <c r="RK47" s="97"/>
      <c r="RL47" s="308" t="str">
        <f ca="1">IF(QT47=$QT$4,Stammdaten!$BZ$1,IF(QT47=$QT$5,$A$3,QT47))</f>
        <v>Zu wenige Werte</v>
      </c>
      <c r="RM47" s="97"/>
      <c r="RN47" s="307"/>
      <c r="RO47" s="96" t="str">
        <f>IFERROR(IFERROR(SUBSTITUTE(BasketballResultat[[#This Row],[Eingabe]],".",",")*1,SUBSTITUTE(BasketballResultat[[#This Row],[Eingabe]],",",".")*1),"")</f>
        <v/>
      </c>
      <c r="RP47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7" s="96"/>
      <c r="RR47" s="91" t="str" cm="1">
        <f t="array" aca="1" ref="RR47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7" s="96" t="str">
        <f ca="1">LEFT(Geschlecht[[#This Row],[Geschlecht (Skala)]],1)&amp;RX$4</f>
        <v>2</v>
      </c>
      <c r="RT47" s="96" t="str">
        <f t="shared" ca="1" si="104"/>
        <v>Basketball_2[Resultat]</v>
      </c>
      <c r="RU47" s="97" t="str" cm="1">
        <f t="array" aca="1" ref="RU47" ca="1">IF(INDIRECT(RR$1)="","",IF(INDIRECT(RR$2)=0,0,IF(OR(INDIRECT(RR$1)=$A$2,INDIRECT(RR$1)=$A$3),$A$3,IFERROR(INDEX(INDIRECT(RT47),MATCH(INDIRECT(RR$3),INDIRECT(RT47),RT$25)),IFERROR(IF(RT$25=-1,MAX(INDIRECT(RT47)),IF(RT$25=1,MIN(INDIRECT(RT47)))),"")))))</f>
        <v/>
      </c>
      <c r="RW47" s="91" t="str">
        <f t="shared" ca="1" si="105"/>
        <v>Basketball_2[Note]</v>
      </c>
      <c r="RX47" s="97" t="str" cm="1">
        <f t="array" aca="1" ref="RX47" ca="1">IFERROR(INDEX(INDIRECT(RW47),MATCH(INDIRECT(RR$5),INDIRECT(RT47),0)),IF(INDIRECT(RR$5)=0,1,""))</f>
        <v/>
      </c>
      <c r="RY47" s="97"/>
      <c r="RZ47" s="307"/>
      <c r="SA47" s="96" t="str">
        <f>IFERROR(IFERROR(SUBSTITUTE(FussballResultat[[#This Row],[Eingabe]],".",",")*1,SUBSTITUTE(FussballResultat[[#This Row],[Eingabe]],",",".")*1),"")</f>
        <v/>
      </c>
      <c r="SB47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7" s="96"/>
      <c r="SD47" s="316" t="str" cm="1">
        <f t="array" aca="1" ref="SD47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7" s="96" t="str">
        <f ca="1">LEFT(Geschlecht[[#This Row],[Geschlecht (Skala)]],1)&amp;SJ$4</f>
        <v>2</v>
      </c>
      <c r="SF47" s="96" t="str">
        <f t="shared" ca="1" si="106"/>
        <v>Fussball_2[Resultat]</v>
      </c>
      <c r="SG47" s="97" t="str" cm="1">
        <f t="array" aca="1" ref="SG47" ca="1">IF(INDIRECT(SD$1)="","",IF(INDIRECT(SD$2)=0,0,IF(OR(INDIRECT(SD$1)=$A$2,INDIRECT(SD$1)=$A$3),$A$3,IFERROR(INDEX(INDIRECT(SF47),MATCH(INDIRECT(SD$3),INDIRECT(SF47),SF$25)),IFERROR(IF(SF$25=-1,MAX(INDIRECT(SF47)),IF(SF$25=1,MIN(INDIRECT(SF47)))),"")))))</f>
        <v/>
      </c>
      <c r="SI47" s="91" t="str">
        <f t="shared" ca="1" si="107"/>
        <v>Fussball_2[Note]</v>
      </c>
      <c r="SJ47" s="97" t="str" cm="1">
        <f t="array" aca="1" ref="SJ47" ca="1">IFERROR(INDEX(INDIRECT(SI47),MATCH(INDIRECT(SD$5),INDIRECT(SF47),0)),IF(INDIRECT(SD$5)=0,1,""))</f>
        <v/>
      </c>
      <c r="SK47" s="97"/>
      <c r="SL47" s="307"/>
      <c r="SM47" s="96" t="str">
        <f>IFERROR(IFERROR(SUBSTITUTE(HandballResultat[[#This Row],[Eingabe]],".",",")*1,SUBSTITUTE(HandballResultat[[#This Row],[Eingabe]],",",".")*1),"")</f>
        <v/>
      </c>
      <c r="SN47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7" s="96"/>
      <c r="SP47" s="91" t="str" cm="1">
        <f t="array" aca="1" ref="SP47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7" s="96" t="str">
        <f ca="1">LEFT(Geschlecht[[#This Row],[Geschlecht (Skala)]],1)&amp;SV$4</f>
        <v>2</v>
      </c>
      <c r="SR47" s="96" t="str">
        <f t="shared" ca="1" si="108"/>
        <v>Handball_2[Resultat]</v>
      </c>
      <c r="SS47" s="97" t="str" cm="1">
        <f t="array" aca="1" ref="SS47" ca="1">IF(INDIRECT(SP$1)="","",IF(INDIRECT(SP$2)=0,0,IF(OR(INDIRECT(SP$1)=$A$2,INDIRECT(SP$1)=$A$3),$A$3,IFERROR(INDEX(INDIRECT(SR47),MATCH(INDIRECT(SP$3),INDIRECT(SR47),SR$25)),IFERROR(IF(SR$25=-1,MAX(INDIRECT(SR47)),IF(SR$25=1,MIN(INDIRECT(SR47)))),"")))))</f>
        <v/>
      </c>
      <c r="SU47" s="91" t="str">
        <f t="shared" ca="1" si="109"/>
        <v>Handball_2[Note]</v>
      </c>
      <c r="SV47" s="97" t="str" cm="1">
        <f t="array" aca="1" ref="SV47" ca="1">IFERROR(INDEX(INDIRECT(SU47),MATCH(INDIRECT(SP$5),INDIRECT(SR47),0)),IF(INDIRECT(SP$5)=0,1,""))</f>
        <v/>
      </c>
      <c r="SW47" s="97"/>
      <c r="SX47" s="307"/>
      <c r="SY47" s="96" t="str">
        <f>IFERROR(IFERROR(SUBSTITUTE(UnihockeyResultat[[#This Row],[Eingabe]],".",",")*1,SUBSTITUTE(UnihockeyResultat[[#This Row],[Eingabe]],",",".")*1),"")</f>
        <v/>
      </c>
      <c r="SZ47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7" s="96"/>
      <c r="TB47" s="91" t="str" cm="1">
        <f t="array" aca="1" ref="TB47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7" s="96" t="str">
        <f ca="1">LEFT(Geschlecht[[#This Row],[Geschlecht (Skala)]],1)&amp;TH$4</f>
        <v>2</v>
      </c>
      <c r="TD47" s="96" t="str">
        <f t="shared" ca="1" si="110"/>
        <v>Unihockey_2[Resultat]</v>
      </c>
      <c r="TE47" s="97" t="str" cm="1">
        <f t="array" aca="1" ref="TE47" ca="1">IF(INDIRECT(TB$1)="","",IF(INDIRECT(TB$2)=0,0,IF(OR(INDIRECT(TB$1)=$A$2,INDIRECT(TB$1)=$A$3),$A$3,IFERROR(INDEX(INDIRECT(TD47),MATCH(INDIRECT(TB$3),INDIRECT(TD47),TD$25)),IFERROR(IF(TD$25=-1,MAX(INDIRECT(TD47)),IF(TD$25=1,MIN(INDIRECT(TD47)))),"")))))</f>
        <v/>
      </c>
      <c r="TG47" s="91" t="str">
        <f t="shared" ca="1" si="111"/>
        <v>Unihockey_2[Note]</v>
      </c>
      <c r="TH47" s="97" t="str" cm="1">
        <f t="array" aca="1" ref="TH47" ca="1">IFERROR(INDEX(INDIRECT(TG47),MATCH(INDIRECT(TB$5),INDIRECT(TD47),0)),IF(INDIRECT(TB$5)=0,1,""))</f>
        <v/>
      </c>
      <c r="TI47" s="97"/>
      <c r="TJ47" s="307"/>
      <c r="TK47" s="96" t="str">
        <f>IFERROR(IFERROR(SUBSTITUTE(VolleyballResultat[[#This Row],[Eingabe]],".",",")*1,SUBSTITUTE(VolleyballResultat[[#This Row],[Eingabe]],",",".")*1),"")</f>
        <v/>
      </c>
      <c r="TL47" s="96" t="e">
        <f>INT(VolleyballResultat[[#This Row],[Resultat]])=VolleyballResultat[[#This Row],[Resultat]]</f>
        <v>#VALUE!</v>
      </c>
      <c r="TM47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7" s="96"/>
      <c r="TO47" s="91" t="str" cm="1">
        <f t="array" aca="1" ref="TO47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7" s="96" t="str">
        <f ca="1">LEFT(Geschlecht[[#This Row],[Geschlecht (Skala)]],1)&amp;TU$4</f>
        <v>2</v>
      </c>
      <c r="TQ47" s="96" t="str">
        <f t="shared" ca="1" si="112"/>
        <v>Volleyball_2[Resultat]</v>
      </c>
      <c r="TR47" s="97" t="str" cm="1">
        <f t="array" aca="1" ref="TR47" ca="1">IF(INDIRECT(TO$1)="","",IF(INDIRECT(TO$2)=0,0,IF(OR(INDIRECT(TO$1)=$A$2,INDIRECT(TO$1)=$A$3),$A$3,IFERROR(INDEX(INDIRECT(TQ47),MATCH(INDIRECT(TO$3),INDIRECT(TQ47),TQ$25)),IFERROR(IF(TQ$25=-1,MAX(INDIRECT(TQ47)),IF(TQ$25=1,MIN(INDIRECT(TQ47)))),"")))))</f>
        <v/>
      </c>
      <c r="TT47" s="91" t="str">
        <f t="shared" ca="1" si="113"/>
        <v>Volleyball_2[Note]</v>
      </c>
      <c r="TU47" s="97" t="str" cm="1">
        <f t="array" aca="1" ref="TU47" ca="1">IFERROR(INDEX(INDIRECT(TT47),MATCH(INDIRECT(TO$5),INDIRECT(TQ47),0)),IF(INDIRECT(TO$5)=0,1,""))</f>
        <v/>
      </c>
      <c r="TV47" s="97"/>
      <c r="TW47" s="309" t="str" cm="1">
        <f t="array" aca="1" ref="TW47" ca="1">IF(AND(ISNUMBER(INDIRECT(TW$3)),INDIRECT(TW$3)&gt;1),INDIRECT(TW$3),"")</f>
        <v/>
      </c>
      <c r="TX47" s="309" t="str" cm="1">
        <f t="array" aca="1" ref="TX47" ca="1">IF(AND(ISNUMBER(INDIRECT(TX$3)),INDIRECT(TX$3)&gt;1),INDIRECT(TX$3),"")</f>
        <v/>
      </c>
      <c r="TY47" s="309" t="str" cm="1">
        <f t="array" aca="1" ref="TY47" ca="1">IF(AND(ISNUMBER(INDIRECT(TY$3)),INDIRECT(TY$3)&gt;1),INDIRECT(TY$3),"")</f>
        <v/>
      </c>
      <c r="TZ47" s="309" t="str" cm="1">
        <f t="array" aca="1" ref="TZ47" ca="1">IF(AND(ISNUMBER(INDIRECT(TZ$3)),INDIRECT(TZ$3)&gt;1),INDIRECT(TZ$3),"")</f>
        <v/>
      </c>
      <c r="UA47" s="309" t="str" cm="1">
        <f t="array" aca="1" ref="UA47" ca="1">IF(AND(ISNUMBER(INDIRECT(UA$3)),INDIRECT(UA$3)&gt;1),INDIRECT(UA$3),"")</f>
        <v/>
      </c>
      <c r="UB47" s="309" t="str">
        <f t="shared" ca="1" si="114"/>
        <v>x</v>
      </c>
      <c r="UC47" s="309" t="str">
        <f t="shared" ca="1" si="115"/>
        <v>y</v>
      </c>
      <c r="UD47" s="309" t="str">
        <f t="shared" ca="1" si="116"/>
        <v>z</v>
      </c>
      <c r="UE47" s="309" t="str">
        <f t="shared" ca="1" si="215"/>
        <v>a</v>
      </c>
      <c r="UF47" s="309" t="str" cm="1">
        <f t="array" aca="1" ref="UF47" ca="1">IF(UE47="a","",INDEX($TW$23:$UA$23,,MATCH(UE47,$TW47:$UA47,0)))</f>
        <v/>
      </c>
      <c r="UG47" s="309" t="str" cm="1">
        <f t="array" aca="1" ref="UG47" ca="1">IF(OR(UF47="",UF47&gt;=$UA$23),"",INDEX(INDIRECT(ADDRESS(ROW($TW$23),UF47+1)):$UA$23,,MATCH(UE47,INDIRECT(ADDRESS(ROW(),UF47+1)):$UA47,0)))</f>
        <v/>
      </c>
      <c r="UH47" s="309" t="str" cm="1">
        <f t="array" aca="1" ref="UH47" ca="1">IF(OR(UG47="",UG47&gt;=$UA$23),"",INDEX(INDIRECT(ADDRESS(ROW($TW$23),UG47+1)):$UA$23,,MATCH(UE47,INDIRECT(ADDRESS(ROW(),UG47+1)):$UA47,0)))</f>
        <v/>
      </c>
      <c r="UI47" s="309" t="str">
        <f t="shared" ca="1" si="216"/>
        <v>c</v>
      </c>
      <c r="UJ47" s="309" t="str" cm="1">
        <f t="array" aca="1" ref="UJ47" ca="1">IF(OR(UI47="b",UI47="c"),"",INDEX($TW$23:$UA$23,,MATCH(UI47,$TW47:$UA47,0)))</f>
        <v/>
      </c>
      <c r="UK47" s="309" t="str" cm="1">
        <f t="array" aca="1" ref="UK47" ca="1">IF(OR(UJ47="",UJ47&gt;=$UA$23),"",INDEX(INDIRECT(ADDRESS(ROW($TW$23),UJ47+1)):$UA$23,,MATCH(UI47,INDIRECT(ADDRESS(ROW(),UJ47+1)):$UA47,0)))</f>
        <v/>
      </c>
      <c r="UL47" s="309" t="str">
        <f t="shared" ca="1" si="117"/>
        <v/>
      </c>
      <c r="UM47" s="309" t="str">
        <f t="shared" ca="1" si="217"/>
        <v>e</v>
      </c>
      <c r="UN47" s="309" t="str">
        <f t="shared" ca="1" si="118"/>
        <v/>
      </c>
      <c r="UO47" s="309" t="str" cm="1">
        <f t="array" aca="1" ref="UO47" ca="1">IF(OR(UM47="d",UM47="e"),"",INDEX($TW$23:$UA$23,,MATCH(UM47,$TW47:$UA47,0)))</f>
        <v/>
      </c>
      <c r="UP47" s="309" t="str" cm="1">
        <f t="array" aca="1" ref="UP47" ca="1">IF(OR(UO47="",UO47&gt;=$UA$23),"",INDEX(INDIRECT(ADDRESS(ROW($TW$23),UO47+1)):$UA$23,,MATCH(UM47,INDIRECT(ADDRESS(ROW(),UO47+1)):$UA47,0)))</f>
        <v/>
      </c>
      <c r="UQ47" s="309" t="str" cm="1">
        <f t="array" aca="1" ref="UQ47" ca="1">IFERROR(IF(ISNUMBER(UF47),UF47,IF(ISNUMBER(UJ47),UJ47,IF(ISNUMBER(UN47),UN47,INDEX($TW$23:$UA$23,,MATCH(UB47,$TW47:$UA47,0))))),"x1")</f>
        <v>x1</v>
      </c>
      <c r="UR47" s="309" t="str" cm="1">
        <f t="array" aca="1" ref="UR47" ca="1">IFERROR(IF(ISNUMBER(UG47),UG47,IF(ISNUMBER(UK47),UK47,IF(ISNUMBER(UO47),UO47,INDEX($TW$23:$UA$23,,MATCH(UC47,$TW47:$UA47,0))))),IF(UQ47="x1","x2","x1"))</f>
        <v>x2</v>
      </c>
      <c r="US47" s="309" t="str" cm="1">
        <f t="array" aca="1" ref="US47" ca="1">IFERROR(IF(ISNUMBER(UH47),UH47,IF(ISNUMBER(UL47),UL47,IF(ISNUMBER(UP47),UP47,INDEX($TW$23:$UA$23,,MATCH(UD47,$TW47:$UA47,0))))),IF(UR47="x1","x2",IF(UR47="x2","x3","x1")))</f>
        <v>x3</v>
      </c>
      <c r="UT47" s="97" t="str" cm="1">
        <f t="array" aca="1" ref="UT47" ca="1">IF(OR(INDIRECT(UT$3)=$A$2,INDIRECT(UT$3)=$A$3),COLUMN(),"")</f>
        <v/>
      </c>
      <c r="UU47" s="97" t="str" cm="1">
        <f t="array" aca="1" ref="UU47" ca="1">IF(OR(INDIRECT(UU$3)=$A$2,INDIRECT(UU$3)=$A$3),COLUMN(),"")</f>
        <v/>
      </c>
      <c r="UV47" s="97" t="str" cm="1">
        <f t="array" aca="1" ref="UV47" ca="1">IF(OR(INDIRECT(UV$3)=$A$2,INDIRECT(UV$3)=$A$3),COLUMN(),"")</f>
        <v/>
      </c>
      <c r="UW47" s="97" t="str" cm="1">
        <f t="array" aca="1" ref="UW47" ca="1">IF(OR(INDIRECT(UW$3)=$A$2,INDIRECT(UW$3)=$A$3),COLUMN(),"")</f>
        <v/>
      </c>
      <c r="UX47" s="97" t="str" cm="1">
        <f t="array" aca="1" ref="UX47" ca="1">IF(OR(INDIRECT(UX$3)=$A$2,INDIRECT(UX$3)=$A$3),COLUMN(),"")</f>
        <v/>
      </c>
      <c r="UY47" s="97" t="str" cm="1">
        <f t="array" aca="1" ref="UY47" ca="1">IF(AND(ISNUMBER(INDIRECT(UY$3)),INDIRECT(UY$3)=0),COLUMN(),"")</f>
        <v/>
      </c>
      <c r="UZ47" s="97" t="str" cm="1">
        <f t="array" aca="1" ref="UZ47" ca="1">IF(AND(ISNUMBER(INDIRECT(UZ$3)),INDIRECT(UZ$3)=0),COLUMN(),"")</f>
        <v/>
      </c>
      <c r="VA47" s="97" t="str" cm="1">
        <f t="array" aca="1" ref="VA47" ca="1">IF(AND(ISNUMBER(INDIRECT(VA$3)),INDIRECT(VA$3)=0),COLUMN(),"")</f>
        <v/>
      </c>
      <c r="VB47" s="97" t="str" cm="1">
        <f t="array" aca="1" ref="VB47" ca="1">IF(AND(ISNUMBER(INDIRECT(VB$3)),INDIRECT(VB$3)=0),COLUMN(),"")</f>
        <v/>
      </c>
      <c r="VC47" s="97" t="str" cm="1">
        <f t="array" aca="1" ref="VC47" ca="1">IF(AND(ISNUMBER(INDIRECT(VC$3)),INDIRECT(VC$3)=0),COLUMN(),"")</f>
        <v/>
      </c>
      <c r="VD47" s="97" t="str">
        <f t="shared" ca="1" si="218"/>
        <v>x1</v>
      </c>
      <c r="VE47" s="97" t="str">
        <f t="shared" ca="1" si="219"/>
        <v>x2</v>
      </c>
      <c r="VF47" s="97" t="str">
        <f t="shared" ca="1" si="220"/>
        <v>x3</v>
      </c>
      <c r="VG47" s="97" t="str">
        <f ca="1">IFERROR(IF(ISNUMBER(VD47),VD47,SMALL($UY47:$VC47,VALUE(RIGHT(VD47,1)))),Stammdaten!$CB$17)</f>
        <v>Erste Spielsportart nicht durchgeführt</v>
      </c>
      <c r="VH47" s="97" t="str">
        <f ca="1">IFERROR(IF(ISNUMBER(VE47),VE47,SMALL($UY47:$VC47,VALUE(RIGHT(VE47,1)))),Stammdaten!$CB$18)</f>
        <v>Zweite Spielsportart nicht durchgeführt</v>
      </c>
      <c r="VI47" s="97" t="str">
        <f ca="1">IFERROR(IF(ISNUMBER(VF47),VF47,SMALL($UY47:$VC47,VALUE(RIGHT(VF47,1)))),Stammdaten!$CB$19)</f>
        <v>Dritte Spielsportart nicht durchgeführt</v>
      </c>
      <c r="VJ47" s="91" t="str" cm="1">
        <f t="array" aca="1" ref="VJ47" ca="1">IFERROR(INDIRECT(ADDRESS(ROW($TW$5),VG47)),VG47)</f>
        <v>Erste Spielsportart nicht durchgeführt</v>
      </c>
      <c r="VK47" s="97" t="str">
        <f t="shared" ca="1" si="221"/>
        <v/>
      </c>
      <c r="VL47" s="97" t="str" cm="1">
        <f t="array" aca="1" ref="VL47" ca="1">IFERROR(IF(INDIRECT(INDEX(INDIRECT(VL$5),MATCH(VJ47,INDIRECT(VL$4),0)))&lt;&gt;"",INDEX(INDIRECT(VL$5),MATCH(VJ47,INDIRECT(VL$4),0)),INDEX(INDIRECT(VL$6),MATCH(VJ47,INDIRECT(VL$4),0))),"")</f>
        <v/>
      </c>
      <c r="VM47" s="97" t="str">
        <f t="shared" ca="1" si="222"/>
        <v/>
      </c>
      <c r="VN47" s="97" t="str" cm="1">
        <f t="array" aca="1" ref="VN47" ca="1">IFERROR(INDIRECT(VL47),"")</f>
        <v/>
      </c>
      <c r="VO47" s="97" t="str">
        <f ca="1">IF(VN47="","",IF(AND(VK47=Stammdaten!$BX$20,VM47="0",VN47=1),SUBSTITUTE(TEXT(VN47,VM47)&amp;" "&amp;LEFT(VK47,LEN(VK47)-1),".",","),SUBSTITUTE(TEXT(VN47,VM47)&amp;" "&amp;VK47,".",",")))</f>
        <v/>
      </c>
      <c r="VP47" s="97" t="str">
        <f t="shared" ca="1" si="119"/>
        <v/>
      </c>
      <c r="VQ47" s="97" t="str" cm="1">
        <f t="array" aca="1" ref="VQ47" ca="1">IFERROR(LEFT(INDIRECT(VP47),1)&amp;"]","")</f>
        <v/>
      </c>
      <c r="VR47" s="97" t="str">
        <f t="shared" ca="1" si="120"/>
        <v/>
      </c>
      <c r="VS47" s="97" t="str">
        <f ca="1">IFERROR(LEFT(VJ47,FIND(Stammdaten!$CA$4,VJ47,1)-2),IFERROR(LEFT(VJ47,FIND(Stammdaten!$CC$3,VJ47,1)-2),VJ47))</f>
        <v>Erste Spielsportart</v>
      </c>
      <c r="VT47" s="97" t="str">
        <f ca="1">IF(NOT(ISERROR(FIND(Stammdaten!$CA$4,VJ47,1))),Stammdaten!$CA$4,IF(VU47&lt;&gt;Stammdaten!$CC$3,VR47,""))</f>
        <v>nicht durchgeführt</v>
      </c>
      <c r="VU47" s="91" t="str">
        <f ca="1">IF(VN47=$A$2,Stammdaten!$CC$3,VO47)</f>
        <v/>
      </c>
      <c r="VV47" s="91" t="str" cm="1">
        <f t="array" aca="1" ref="VV47" ca="1">IFERROR(INDIRECT(ADDRESS(ROW($TW$5),VH47)),VH47)</f>
        <v>Zweite Spielsportart nicht durchgeführt</v>
      </c>
      <c r="VW47" s="97" t="str">
        <f t="shared" ca="1" si="223"/>
        <v/>
      </c>
      <c r="VX47" s="97" t="str" cm="1">
        <f t="array" aca="1" ref="VX47" ca="1">IFERROR(IF(INDIRECT(INDEX(INDIRECT(VX$5),MATCH(VV47,INDIRECT(VX$4),0)))&lt;&gt;"",INDEX(INDIRECT(VX$5),MATCH(VV47,INDIRECT(VX$4),0)),INDEX(INDIRECT(VX$6),MATCH(VV47,INDIRECT(VX$4),0))),"")</f>
        <v/>
      </c>
      <c r="VY47" s="97" t="str">
        <f t="shared" ca="1" si="224"/>
        <v/>
      </c>
      <c r="VZ47" s="97" t="str" cm="1">
        <f t="array" aca="1" ref="VZ47" ca="1">IFERROR(INDIRECT(VX47),"")</f>
        <v/>
      </c>
      <c r="WA47" s="97" t="str">
        <f ca="1">IF(VZ47="","",IF(AND(VW47=Stammdaten!$BX$20,VY47="0",VZ47=1),SUBSTITUTE(TEXT(VZ47,VY47)&amp;" "&amp;LEFT(VW47,LEN(VW47)-1),".",","),SUBSTITUTE(TEXT(VZ47,VY47)&amp;" "&amp;VW47,".",",")))</f>
        <v/>
      </c>
      <c r="WB47" s="97" t="str">
        <f t="shared" ca="1" si="121"/>
        <v/>
      </c>
      <c r="WC47" s="97" t="str" cm="1">
        <f t="array" aca="1" ref="WC47" ca="1">IFERROR(LEFT(INDIRECT(WB47),1)&amp;"]","")</f>
        <v/>
      </c>
      <c r="WD47" s="97" t="str">
        <f t="shared" ca="1" si="122"/>
        <v/>
      </c>
      <c r="WE47" s="97" t="str">
        <f ca="1">IFERROR(LEFT(VV47,FIND(Stammdaten!$CA$4,VV47,1)-2),IFERROR(LEFT(VV47,FIND(Stammdaten!$CC$3,VV47,1)-2),VV47))</f>
        <v>Zweite Spielsportart</v>
      </c>
      <c r="WF47" s="97" t="str">
        <f ca="1">IF(NOT(ISERROR(FIND(Stammdaten!$CA$4,VV47,1))),Stammdaten!$CA$4,IF(WG47&lt;&gt;Stammdaten!$CC$3,WD47,""))</f>
        <v>nicht durchgeführt</v>
      </c>
      <c r="WG47" s="91" t="str">
        <f ca="1">IF(VZ47=$A$2,Stammdaten!$CC$3,WA47)</f>
        <v/>
      </c>
      <c r="WH47" s="91" t="str" cm="1">
        <f t="array" aca="1" ref="WH47" ca="1">IFERROR(INDIRECT(ADDRESS(ROW($TW$5),VI47)),VI47)</f>
        <v>Dritte Spielsportart nicht durchgeführt</v>
      </c>
      <c r="WI47" s="97" t="str">
        <f t="shared" ca="1" si="225"/>
        <v/>
      </c>
      <c r="WJ47" s="97" t="str" cm="1">
        <f t="array" aca="1" ref="WJ47" ca="1">IFERROR(IF(INDIRECT(INDEX(INDIRECT(WJ$5),MATCH(WH47,INDIRECT(WJ$4),0)))&lt;&gt;"",INDEX(INDIRECT(WJ$5),MATCH(WH47,INDIRECT(WJ$4),0)),INDEX(INDIRECT(WJ$6),MATCH(WH47,INDIRECT(WJ$4),0))),"")</f>
        <v/>
      </c>
      <c r="WK47" s="97" t="str">
        <f t="shared" ca="1" si="226"/>
        <v/>
      </c>
      <c r="WL47" s="97" t="str" cm="1">
        <f t="array" aca="1" ref="WL47" ca="1">IFERROR(INDIRECT(WJ47),"")</f>
        <v/>
      </c>
      <c r="WM47" s="97" t="str">
        <f ca="1">IF(WL47="","",IF(AND(WI47=Stammdaten!$BX$20,WK47="0",WL47=1),SUBSTITUTE(TEXT(WL47,WK47)&amp;" "&amp;LEFT(WI47,LEN(WI47)-1),".",","),SUBSTITUTE(TEXT(WL47,WK47)&amp;" "&amp;WI47,".",",")))</f>
        <v/>
      </c>
      <c r="WN47" s="97" t="str">
        <f t="shared" ca="1" si="123"/>
        <v/>
      </c>
      <c r="WO47" s="97" t="str" cm="1">
        <f t="array" aca="1" ref="WO47" ca="1">IFERROR(LEFT(INDIRECT(WN47),1)&amp;"]","")</f>
        <v/>
      </c>
      <c r="WP47" s="97" t="str">
        <f t="shared" ca="1" si="124"/>
        <v/>
      </c>
      <c r="WQ47" s="97" t="str">
        <f ca="1">IFERROR(LEFT(WH47,FIND(Stammdaten!$CA$4,WH47,1)-2),IFERROR(LEFT(WH47,FIND(Stammdaten!$CC$3,WH47,1)-2),WH47))</f>
        <v>Dritte Spielsportart</v>
      </c>
      <c r="WR47" s="97" t="str">
        <f ca="1">IF(NOT(ISERROR(FIND(Stammdaten!$CA$4,WH47,1))),Stammdaten!$CA$4,IF(WS47&lt;&gt;Stammdaten!$CC$3,WP47,""))</f>
        <v>nicht durchgeführt</v>
      </c>
      <c r="WS47" s="91" t="str">
        <f ca="1">IF(WL47=$A$2,Stammdaten!$CC$3,WM47)</f>
        <v/>
      </c>
      <c r="WT47" s="97" t="str" cm="1">
        <f t="array" aca="1" ref="WT47" ca="1">INDIRECT(WT$5)</f>
        <v/>
      </c>
      <c r="WU47" s="97" t="str" cm="1">
        <f t="array" aca="1" ref="WU47" ca="1">INDIRECT(WU$5)</f>
        <v/>
      </c>
      <c r="WV47" s="97" t="str" cm="1">
        <f t="array" aca="1" ref="WV47" ca="1">INDIRECT(WV$5)</f>
        <v/>
      </c>
      <c r="WW47" s="97" t="str" cm="1">
        <f t="array" aca="1" ref="WW47" ca="1">INDIRECT(WW$5)</f>
        <v/>
      </c>
      <c r="WX47" s="97" t="str" cm="1">
        <f t="array" aca="1" ref="WX47" ca="1">INDIRECT(WX$5)</f>
        <v/>
      </c>
      <c r="WY47" s="97" cm="1">
        <f t="array" aca="1" ref="WY47" ca="1">IF(INDIRECT(WY$5)&lt;&gt;"",INDIRECT(WY$5),0)</f>
        <v>0</v>
      </c>
      <c r="WZ47" s="97" cm="1">
        <f t="array" aca="1" ref="WZ47" ca="1">IF(INDIRECT(WZ$5)&lt;&gt;"",INDIRECT(WZ$5),0)</f>
        <v>0</v>
      </c>
      <c r="XA47" s="97" cm="1">
        <f t="array" aca="1" ref="XA47" ca="1">IF(INDIRECT(XA$5)&lt;&gt;"",INDIRECT(XA$5),0)</f>
        <v>0</v>
      </c>
      <c r="XB47" s="97" cm="1">
        <f t="array" aca="1" ref="XB47" ca="1">IF(INDIRECT(XB$5)&lt;&gt;"",INDIRECT(XB$5),0)</f>
        <v>0</v>
      </c>
      <c r="XC47" s="97" cm="1">
        <f t="array" aca="1" ref="XC47" ca="1">IF(INDIRECT(XC$5)&lt;&gt;"",INDIRECT(XC$5),0)</f>
        <v>0</v>
      </c>
      <c r="XD47" s="97">
        <f t="shared" ca="1" si="125"/>
        <v>0</v>
      </c>
      <c r="XE47" s="97">
        <f t="shared" ca="1" si="125"/>
        <v>0</v>
      </c>
      <c r="XF47" s="97">
        <f t="shared" ca="1" si="125"/>
        <v>0</v>
      </c>
      <c r="XG47" s="97">
        <f t="shared" ca="1" si="227"/>
        <v>0</v>
      </c>
      <c r="XH47" s="108">
        <f t="shared" ca="1" si="228"/>
        <v>0</v>
      </c>
      <c r="XI47" s="108">
        <f t="shared" ca="1" si="126"/>
        <v>0</v>
      </c>
      <c r="XJ47" s="108" t="str">
        <f t="shared" ca="1" si="229"/>
        <v/>
      </c>
      <c r="XK47" s="97" t="str">
        <f ca="1">IF(XJ47="",Stammdaten!$BZ$1,IF(AND(XH47=0,XI47&gt;=XJ$25),$A$3,ROUND(SUM(XG47/XJ47)/XK$25,0)*XK$25))</f>
        <v>Zu wenige Werte</v>
      </c>
      <c r="XL47" s="108">
        <f t="shared" ca="1" si="230"/>
        <v>6</v>
      </c>
      <c r="XM47" s="97" t="str">
        <f t="shared" ca="1" si="231"/>
        <v/>
      </c>
      <c r="XN47" s="97" t="str">
        <f t="shared" ca="1" si="232"/>
        <v/>
      </c>
      <c r="XO47" s="97" t="str">
        <f t="shared" ca="1" si="233"/>
        <v/>
      </c>
      <c r="XP47" s="97" t="str">
        <f t="shared" ca="1" si="234"/>
        <v/>
      </c>
      <c r="XQ47" s="97" t="str">
        <f t="shared" ca="1" si="235"/>
        <v>g</v>
      </c>
      <c r="XR47" s="97" t="str">
        <f t="shared" ca="1" si="236"/>
        <v/>
      </c>
      <c r="XS47" s="97">
        <f t="shared" ca="1" si="237"/>
        <v>1</v>
      </c>
      <c r="XT47" s="97" t="str">
        <f ca="1">IF(OR(Geschlecht[[#This Row],[Geschlecht (Skala)]]="",NOT(ISNUMBER(XJ47))),"",XS47)</f>
        <v/>
      </c>
      <c r="XU47" s="97" t="str">
        <f t="shared" ca="1" si="238"/>
        <v/>
      </c>
      <c r="XV47" s="97"/>
      <c r="XW47" s="308" t="str">
        <f t="shared" ca="1" si="127"/>
        <v>Zu wenige Werte</v>
      </c>
      <c r="XX47" s="97"/>
      <c r="XY47" s="97" t="str">
        <f t="shared" ca="1" si="128"/>
        <v>Zu wenige Werte</v>
      </c>
      <c r="XZ47" s="97" t="str">
        <f t="shared" ca="1" si="129"/>
        <v>Zu wenige Werte</v>
      </c>
      <c r="YA47" s="97" t="str">
        <f t="shared" ca="1" si="130"/>
        <v>Zu wenige Werte</v>
      </c>
      <c r="YB47" s="97" t="str">
        <f t="shared" ca="1" si="131"/>
        <v>Zu wenige Werte</v>
      </c>
      <c r="YC47" s="97">
        <f t="shared" ca="1" si="239"/>
        <v>0</v>
      </c>
      <c r="YD47" s="108">
        <f t="shared" ca="1" si="240"/>
        <v>0</v>
      </c>
      <c r="YE47" s="108">
        <f t="shared" ca="1" si="241"/>
        <v>0</v>
      </c>
      <c r="YF47" s="108" t="str">
        <f t="shared" ca="1" si="242"/>
        <v/>
      </c>
      <c r="YG47" s="97" t="str">
        <f ca="1">IF(YF47="",Stammdaten!$BZ$1,IF(YE47=YF$25,$A$3,ROUND(SUM(YC47/YF47)/YG$25,0)*YG$25))</f>
        <v>Zu wenige Werte</v>
      </c>
      <c r="YH47" s="97" t="str">
        <f ca="1">IF(NOT(ISNUMBER(XY47)),"",IF(YH$11&lt;&gt;"2+",TEXT(XY47,YH$11)&amp;" / ",IF(RIGHT(XY47*100,2)="00",TEXT(XY47,"0"&amp;Stammdaten!$AZ$3&amp;"0")&amp;" / ",XY47&amp;" / ")))</f>
        <v/>
      </c>
      <c r="YI47" s="97" t="str">
        <f ca="1">IF(NOT(ISNUMBER(XZ47)),"",IF(YI$11&lt;&gt;"2+",TEXT(XZ47,YI$11)&amp;" / ",IF(RIGHT(XZ47*100,2)="00",TEXT(XZ47,"0"&amp;Stammdaten!$AZ$3&amp;"0")&amp;" / ",XZ47&amp;" / ")))</f>
        <v/>
      </c>
      <c r="YJ47" s="97" t="str">
        <f ca="1">IF(NOT(ISNUMBER(YA47)),"",IF(YJ$11&lt;&gt;"2+",TEXT(YA47,YJ$11)&amp;" / ",IF(RIGHT(YA47*100,2)="00",TEXT(YA47,"0"&amp;Stammdaten!$AZ$3&amp;"0")&amp;" / ",YA47&amp;" / ")))</f>
        <v/>
      </c>
      <c r="YK47" s="97" t="str">
        <f ca="1">IF(NOT(ISNUMBER(YB47)),"",IF(YK$11&lt;&gt;"2+",TEXT(YB47,YK$11)&amp;" / ",IF(RIGHT(YB47*100,2)="00",TEXT(YB47,"0"&amp;Stammdaten!$AZ$3&amp;"0")&amp;" / ",YB47&amp;" / ")))</f>
        <v/>
      </c>
      <c r="YL47" s="97" t="str">
        <f t="shared" ca="1" si="243"/>
        <v/>
      </c>
      <c r="YM47" s="97" t="str">
        <f>IF(Geschlecht[[#This Row],[Geschlecht (Skala)]]="","",IF(ISNUMBER(XY47),1,IF(XY47=$A$3,$A$2,"R")))</f>
        <v/>
      </c>
      <c r="YN47" s="97" t="str">
        <f>IF(Geschlecht[[#This Row],[Geschlecht (Skala)]]="","",IF(ISNUMBER(XZ47),1,IF(XZ47=$A$3,$A$2,"R")))</f>
        <v/>
      </c>
      <c r="YO47" s="97" t="str">
        <f>IF(Geschlecht[[#This Row],[Geschlecht (Skala)]]="","",IF(ISNUMBER(YA47),1,IF(YA47=$A$3,$A$2,"R")))</f>
        <v/>
      </c>
      <c r="YP47" s="97" t="str">
        <f>IF(Geschlecht[[#This Row],[Geschlecht (Skala)]]="","",IF(ISNUMBER(YB47),1,IF(YB47=$A$3,$A$2,"R")))</f>
        <v/>
      </c>
      <c r="YQ47" s="97" t="str">
        <f t="shared" si="244"/>
        <v>g</v>
      </c>
      <c r="YR47" s="97" t="str">
        <f t="shared" ca="1" si="245"/>
        <v/>
      </c>
      <c r="YS47" s="97">
        <f t="shared" ca="1" si="246"/>
        <v>1</v>
      </c>
      <c r="YT47" s="97" t="str">
        <f ca="1">IF(OR(Geschlecht[[#This Row],[Geschlecht (Skala)]]="",NOT(ISNUMBER(YG47))),"",YS47)</f>
        <v/>
      </c>
      <c r="YU47" s="97"/>
      <c r="YV47" s="311" t="str">
        <f t="shared" si="247"/>
        <v>D</v>
      </c>
      <c r="YW47" s="302"/>
      <c r="YX47" s="311" t="str">
        <f t="shared" si="248"/>
        <v>D</v>
      </c>
      <c r="YY47" s="302"/>
      <c r="YZ47" s="311" t="str">
        <f t="shared" si="249"/>
        <v>D</v>
      </c>
      <c r="ZA47" s="302"/>
      <c r="ZB47" s="311" t="str">
        <f t="shared" si="250"/>
        <v>D</v>
      </c>
      <c r="ZC47" s="97"/>
      <c r="ZD47" s="97" t="str">
        <f t="shared" ca="1" si="132"/>
        <v/>
      </c>
      <c r="ZE47" s="97"/>
      <c r="ZF47" s="308" t="str">
        <f t="shared" ca="1" si="251"/>
        <v>Zu wenige Werte</v>
      </c>
      <c r="ZH47" s="317" t="s">
        <v>134</v>
      </c>
      <c r="ZJ47" s="91" t="str" cm="1">
        <f t="array" ref="ZJ47">IF(OR(Geschlecht[[#This Row],[Geschlecht (Skala)]]="",ZH47="",ZH47=Stammdaten!$BZ$5),"",REPLACE(INDEX(StdDisziplinen[TabÜberschriftNote],ZH$3),FIND("X",INDEX(StdDisziplinen[TabÜberschriftNote],ZH$3),1),1,Geschlecht[[#This Row],[Geschlecht (Skala)]]))</f>
        <v/>
      </c>
      <c r="ZK47" s="314"/>
      <c r="ZM47" s="315"/>
      <c r="ZN47" s="97" t="str">
        <f>IFERROR(IFERROR(SUBSTITUTE(SchwimmenResultatMin[[#This Row],[Min]],".",",")*1,SUBSTITUTE(SchwimmenResultatMin[[#This Row],[Min]],",",".")*1),"")</f>
        <v/>
      </c>
      <c r="ZO47" s="91" t="e">
        <f>INT(SchwimmenResultatMin[[#This Row],[Resultat]])=SchwimmenResultatMin[[#This Row],[Resultat]]</f>
        <v>#VALUE!</v>
      </c>
      <c r="ZP47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7" s="315"/>
      <c r="ZS47" s="97" t="str">
        <f>IFERROR(IFERROR(SUBSTITUTE(SchwimmenResultatSek[[#This Row],[Sek]],".",",")*1,SUBSTITUTE(SchwimmenResultatSek[[#This Row],[Sek]],",",".")*1),"")</f>
        <v/>
      </c>
      <c r="ZT47" s="108" t="e">
        <f>INT(SchwimmenResultatSek[[#This Row],[Resultat]])=SchwimmenResultatSek[[#This Row],[Resultat]]</f>
        <v>#VALUE!</v>
      </c>
      <c r="ZU47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7" s="97" t="str" cm="1">
        <f t="array" aca="1" ref="ZW47" ca="1">IF(AND(INDIRECT(ZW$2)="",INDIRECT(ZX$2)=""),"",IFERROR((INDIRECT(ZW$2)*$ZW$25)+INDIRECT(ZX$2),""))</f>
        <v/>
      </c>
      <c r="ZX47" s="91" t="str">
        <f ca="1">REPLACE(ZW$4,ZX$6,1,Geschlecht[[#This Row],[Geschlecht (Skala)]])</f>
        <v>Schwimmen_[Resultat]</v>
      </c>
      <c r="ZY47" s="91" t="str">
        <f ca="1">IFERROR(REPLACE($ZX47,FIND(Stammdaten!$V$2,$ZX47,1),LEN(Stammdaten!$V$2),Stammdaten!$BZ$9),"")</f>
        <v>Schwimmen_[Anzeige]</v>
      </c>
      <c r="ZZ47" s="97" t="str" cm="1">
        <f t="array" aca="1" ref="ZZ47" ca="1">IF(INDIRECT(ZW$3)="","",IF(INDIRECT(ZW$3)=0,0,IF(OR(INDIRECT(ZW$1)=$A$2,INDIRECT(ZW$1)=$A$3),$A$3,IFERROR(INDEX(INDIRECT(ZX47),MATCH(INDIRECT(ZW$3),INDIRECT(ZX47),ZY$25)),IFERROR(IF(ZY$25=-1,MAX(INDIRECT(ZX47)),IF(ZY$25=1,MIN(INDIRECT(ZX47)))),"")))))</f>
        <v/>
      </c>
      <c r="AAA47" s="97" t="str" cm="1">
        <f t="array" aca="1" ref="AAA47" ca="1">IF(INDIRECT(ZX$5)=0,0,IF(OR(INDIRECT(ZW$1)=$A$2,INDIRECT(ZW$1)=$A$3),$A$3,IFERROR(INDEX(INDIRECT($ZY47),MATCH(INDIRECT(ZX$5),INDIRECT($ZX47),0)),"")))</f>
        <v/>
      </c>
      <c r="AAC47" s="91" t="str">
        <f ca="1">REPLACE(ZW$6,ZX$6,1,Geschlecht[[#This Row],[Geschlecht (Skala)]])</f>
        <v>Schwimmen_[Note]</v>
      </c>
      <c r="AAD47" s="97" t="str" cm="1">
        <f t="array" aca="1" ref="AAD47" ca="1">IFERROR(INDEX(INDIRECT(AAC47),MATCH(INDIRECT(ZX$5),INDIRECT(ZX47),0)),IF(INDIRECT(ZX$5)=0,1,""))</f>
        <v/>
      </c>
      <c r="AAE47" s="97"/>
      <c r="AAF47" s="96" t="str">
        <f>ZwölfMinLaufHalleResultat[[#This Row],[Resultat]]</f>
        <v/>
      </c>
      <c r="AAG47" s="96"/>
      <c r="AAH47" s="97" t="str">
        <f ca="1">ZwölfMinLaufHalleSkalawert[[#This Row],[Skala-Wert]]</f>
        <v/>
      </c>
      <c r="AAJ47" s="97" t="str">
        <f ca="1">ZwölfMinLaufHalleNote[[#This Row],[Note]]</f>
        <v/>
      </c>
      <c r="AAK47" s="97"/>
      <c r="AAL47" s="96" t="str">
        <f>ZwölfMinLaufimFreienResultat[[#This Row],[Resultat]]</f>
        <v/>
      </c>
      <c r="AAM47" s="96"/>
      <c r="AAN47" s="97" t="str">
        <f ca="1">ZwölfMinLaufimFreienSkalawert[[#This Row],[Skala-Wert]]</f>
        <v/>
      </c>
      <c r="AAP47" s="97" t="str">
        <f ca="1">ZwölfMinLaufimFreienNote[[#This Row],[Note]]</f>
        <v/>
      </c>
      <c r="AAQ47" s="97"/>
      <c r="AAR47" s="307"/>
      <c r="AAS47" s="96" t="str">
        <f>IFERROR(IFERROR(SUBSTITUTE(BeweglichkeitResultat[[#This Row],[Eingabe]],".",",")*1,SUBSTITUTE(BeweglichkeitResultat[[#This Row],[Eingabe]],",",".")*1),"")</f>
        <v/>
      </c>
      <c r="AAT47" s="96" t="e">
        <f>INT(BeweglichkeitResultat[[#This Row],[Resultat]])=BeweglichkeitResultat[[#This Row],[Resultat]]</f>
        <v>#VALUE!</v>
      </c>
      <c r="AAU47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7" s="96"/>
      <c r="AAW47" s="91" t="str" cm="1">
        <f t="array" aca="1" ref="AAW47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7" s="96" t="str">
        <f ca="1">REPLACE(AAW$4,AAX$6,1,Geschlecht[[#This Row],[Geschlecht (Skala)]])</f>
        <v>Beweglichkeit_[Resultat]</v>
      </c>
      <c r="AAY47" s="96" t="str" cm="1">
        <f t="array" aca="1" ref="AAY47" ca="1">IF(OR(INDIRECT(AAW$1)=$A$2,INDIRECT(AAW$1)=$A$3),$A$3,IF(OR(INDIRECT(AAW$2)="",AND(Geschlecht[[#This Row],[Geschlecht (Skala)]]=Stammdaten!$D$7,INDIRECT(AAW$2)&lt;0)),"",IFERROR(INDEX(INDIRECT(AAX47),MATCH(INDIRECT(AAW$3),INDIRECT(AAX47),AAX$25)),IFERROR(IF(AAX$25=-1,MAX(INDIRECT(AAX47)),IF(AAX$25=1,MIN(INDIRECT(AAX47)))),""))))</f>
        <v/>
      </c>
      <c r="AAZ47" s="97" t="str" cm="1">
        <f t="array" aca="1" ref="AAZ47" ca="1">IF(INDIRECT(AAW$1)="","",IF(INDIRECT(AAW$1)=0,0,IF(OR(INDIRECT(AAW$1)=$A$2,INDIRECT(AAW$1)=$A$3),$A$3,IFERROR(INDEX(INDIRECT(AAY47),MATCH(INDIRECT(AAW$3),INDIRECT(AAY47),AAY$27)),IFERROR(IF(AAY$27=-1,MAX(INDIRECT(AAY47)),IF(AAY$27=1,MIN(INDIRECT(AAY47)))),"")))))</f>
        <v/>
      </c>
      <c r="ABA47" s="96" t="str">
        <f ca="1">REPLACE(AAW$6,AAX$6,1,Geschlecht[[#This Row],[Geschlecht (Skala)]])</f>
        <v>Beweglichkeit_[Note]</v>
      </c>
      <c r="ABB47" s="91" t="str" cm="1">
        <f t="array" aca="1" ref="ABB47" ca="1">IFERROR(INDEX(INDIRECT(ABA47),MATCH(INDIRECT(AAW$5),INDIRECT(AAX47),0)),"")</f>
        <v/>
      </c>
      <c r="ABC47" s="97" t="str" cm="1">
        <f t="array" aca="1" ref="ABC47" ca="1">IFERROR(INDEX(INDIRECT(ABB47),MATCH(INDIRECT(AAW$5),INDIRECT(AAY47),0)),"")</f>
        <v/>
      </c>
      <c r="ABD47" s="307"/>
      <c r="ABE47" s="96" t="str">
        <f>IFERROR(IFERROR(SUBSTITUTE(RumpfkraftResultat[[#This Row],[Eingabe]],".",",")*1,SUBSTITUTE(RumpfkraftResultat[[#This Row],[Eingabe]],",",".")*1),"")</f>
        <v/>
      </c>
      <c r="ABF47" s="96" t="e">
        <f>INT(RumpfkraftResultat[[#This Row],[Resultat]])=RumpfkraftResultat[[#This Row],[Resultat]]</f>
        <v>#VALUE!</v>
      </c>
      <c r="ABG47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7" s="96"/>
      <c r="ABI47" s="91" t="str" cm="1">
        <f t="array" aca="1" ref="ABI47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7" s="96" t="str">
        <f ca="1">REPLACE(ABI$4,ABJ$6,1,Geschlecht[[#This Row],[Geschlecht (Skala)]])</f>
        <v>Rumpfkraft_[Resultat]</v>
      </c>
      <c r="ABK47" s="97" t="str" cm="1">
        <f t="array" aca="1" ref="ABK47" ca="1">IF(INDIRECT(ABI$1)="","",IF(OR(INDIRECT(ABI$1)=$A$2,INDIRECT(ABI$1)=$A$3),$A$3,IFERROR(INDEX(INDIRECT(ABJ47),MATCH(INDIRECT(ABI$3),INDIRECT(ABJ47),ABJ$25)),IFERROR(IF(ABJ$25=-1,MAX(INDIRECT(ABJ47)),IF(ABJ$25=1,MIN(INDIRECT(ABJ47)))),""))))</f>
        <v/>
      </c>
      <c r="ABM47" s="91" t="str">
        <f ca="1">REPLACE(ABI$6,ABJ$6,1,Geschlecht[[#This Row],[Geschlecht (Skala)]])</f>
        <v>Rumpfkraft_[Note]</v>
      </c>
      <c r="ABN47" s="97" t="str" cm="1">
        <f t="array" aca="1" ref="ABN47" ca="1">IFERROR(INDEX(INDIRECT(ABM47),MATCH(INDIRECT(ABI$5),INDIRECT(ABJ47),0)),"")</f>
        <v/>
      </c>
      <c r="ABO47" s="97"/>
      <c r="ABP47" s="96" t="str">
        <f>SechzigmLaufResultat[[#This Row],[Resultat]]</f>
        <v/>
      </c>
      <c r="ABQ47" s="96"/>
      <c r="ABR47" s="97" t="str">
        <f ca="1">SechzigmLaufSkalawert[[#This Row],[Skala-Wert]]</f>
        <v/>
      </c>
      <c r="ABT47" s="97" t="str">
        <f ca="1">SechzigmLaufNote[[#This Row],[Note]]</f>
        <v/>
      </c>
      <c r="ABU47" s="97"/>
      <c r="ABV47" s="96" t="str">
        <f>AchtzigmLaufResultat[[#This Row],[Resultat]]</f>
        <v/>
      </c>
      <c r="ABW47" s="96"/>
      <c r="ABX47" s="97" t="str">
        <f ca="1">AchtzigmLaufSkalawert[[#This Row],[Skala-Wert]]</f>
        <v/>
      </c>
      <c r="ABZ47" s="97" t="str">
        <f ca="1">AchtzigmLaufNote[[#This Row],[Note]]</f>
        <v/>
      </c>
      <c r="ACA47" s="97"/>
      <c r="ACB47" s="307"/>
      <c r="ACC47" s="96" t="str">
        <f>IFERROR(IFERROR(SUBSTITUTE(KonditionsparcoursResultat[[#This Row],[Eingabe]],".",",")*1,SUBSTITUTE(KonditionsparcoursResultat[[#This Row],[Eingabe]],",",".")*1),"")</f>
        <v/>
      </c>
      <c r="ACD47" s="96" t="e">
        <f>INT(KonditionsparcoursResultat[[#This Row],[Resultat]])=KonditionsparcoursResultat[[#This Row],[Resultat]]</f>
        <v>#VALUE!</v>
      </c>
      <c r="ACE47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7" s="96"/>
      <c r="ACG47" s="91" t="str" cm="1">
        <f t="array" aca="1" ref="ACG47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7" s="96" t="str">
        <f ca="1">LEFT(Geschlecht[[#This Row],[Geschlecht (Skala)]],1)&amp;ACM$4</f>
        <v>2</v>
      </c>
      <c r="ACI47" s="96" t="str">
        <f t="shared" ca="1" si="133"/>
        <v>Konditionsparcours_2[Resultat]</v>
      </c>
      <c r="ACJ47" s="97" t="str" cm="1">
        <f t="array" aca="1" ref="ACJ47" ca="1">IF(INDIRECT(ACG$1)="","",IF(OR(INDIRECT(ACG$1)=$A$2,INDIRECT(ACG$1)=$A$3),$A$3,IFERROR(INDEX(INDIRECT(ACI47),MATCH(INDIRECT(ACG$3),INDIRECT(ACI47),ACI$25)),IFERROR(IF(ACI$25=-1,MAX(INDIRECT(ACI47)),IF(ACI$25=1,MIN(INDIRECT(ACI47)))),""))))</f>
        <v/>
      </c>
      <c r="ACL47" s="91" t="str">
        <f t="shared" ca="1" si="134"/>
        <v>Konditionsparcours_2[Note]</v>
      </c>
      <c r="ACM47" s="97" t="str" cm="1">
        <f t="array" aca="1" ref="ACM47" ca="1">IFERROR(INDEX(INDIRECT(ACL47),MATCH(INDIRECT(ACG$5),INDIRECT(ACI47),0)),"")</f>
        <v/>
      </c>
      <c r="ACN47" s="102"/>
    </row>
    <row r="48" spans="1:768">
      <c r="A48" s="305">
        <v>21</v>
      </c>
      <c r="B48" s="133"/>
      <c r="C48" s="133"/>
      <c r="E48" s="306"/>
      <c r="G48" s="307"/>
      <c r="H48" s="96" t="str">
        <f>IFERROR(IFERROR(SUBSTITUTE(SechzigmLaufResultat[[#This Row],[Eingabe]],".",",")*1,SUBSTITUTE(SechzigmLaufResultat[[#This Row],[Eingabe]],",",".")*1),"")</f>
        <v/>
      </c>
      <c r="I48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8" s="96"/>
      <c r="K48" s="91" t="str" cm="1">
        <f t="array" aca="1" ref="K48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8" s="96" t="str">
        <f ca="1">LEFT(Geschlecht[[#This Row],[Geschlecht (Skala)]],1)&amp;Q$4</f>
        <v>2</v>
      </c>
      <c r="M48" s="96" t="str">
        <f t="shared" ca="1" si="37"/>
        <v>SechzigmLauf_2[Resultat]</v>
      </c>
      <c r="N48" s="97" t="str" cm="1">
        <f t="array" aca="1" ref="N48" ca="1">IF(INDIRECT(K$1)="","",IF(INDIRECT(K$2)=0,0,IF(OR(INDIRECT(K$1)=$A$2,INDIRECT(K$1)=$A$3),$A$3,IFERROR(INDEX(INDIRECT(M48),MATCH(INDIRECT(K$3),INDIRECT(M48),M$25)),IFERROR(IF(M$25=-1,MAX(INDIRECT(M48)),IF(M$25=1,MIN(INDIRECT(M48)))),"")))))</f>
        <v/>
      </c>
      <c r="P48" s="91" t="str">
        <f t="shared" ca="1" si="38"/>
        <v>SechzigmLauf_2[Note]</v>
      </c>
      <c r="Q48" s="97" t="str" cm="1">
        <f t="array" aca="1" ref="Q48" ca="1">IFERROR(INDEX(INDIRECT(P48),MATCH(INDIRECT(K$5),INDIRECT(M48),0)),IF(INDIRECT(K$5)=0,1,""))</f>
        <v/>
      </c>
      <c r="R48" s="97"/>
      <c r="S48" s="307"/>
      <c r="T48" s="96" t="str">
        <f>IFERROR(IFERROR(SUBSTITUTE(AchtzigmLaufResultat[[#This Row],[Eingabe]],".",",")*1,SUBSTITUTE(AchtzigmLaufResultat[[#This Row],[Eingabe]],",",".")*1),"")</f>
        <v/>
      </c>
      <c r="U48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8" s="96"/>
      <c r="W48" s="91" t="str" cm="1">
        <f t="array" aca="1" ref="W48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8" s="96" t="str">
        <f ca="1">LEFT(Geschlecht[[#This Row],[Geschlecht (Skala)]],1)&amp;AC$4</f>
        <v>2</v>
      </c>
      <c r="Y48" s="96" t="str">
        <f t="shared" ca="1" si="39"/>
        <v>AchtzigmLauf_2[Resultat]</v>
      </c>
      <c r="Z48" s="97" t="str" cm="1">
        <f t="array" aca="1" ref="Z48" ca="1">IF(INDIRECT(W$1)="","",IF(INDIRECT(W$2)=0,0,IF(OR(INDIRECT(W$1)=$A$2,INDIRECT(W$1)=$A$3),$A$3,IFERROR(INDEX(INDIRECT(Y48),MATCH(INDIRECT(W$3),INDIRECT(Y48),Y$25)),IFERROR(IF(Y$25=-1,MAX(INDIRECT(Y48)),IF(Y$25=1,MIN(INDIRECT(Y48)))),"")))))</f>
        <v/>
      </c>
      <c r="AB48" s="91" t="str">
        <f t="shared" ca="1" si="40"/>
        <v>AchtzigmLauf_2[Note]</v>
      </c>
      <c r="AC48" s="97" t="str" cm="1">
        <f t="array" aca="1" ref="AC48" ca="1">IFERROR(INDEX(INDIRECT(AB48),MATCH(INDIRECT(W$5),INDIRECT(Y48),0)),IF(INDIRECT(W$5)=0,1,""))</f>
        <v/>
      </c>
      <c r="AD48" s="97"/>
      <c r="AE48" s="307"/>
      <c r="AF48" s="96" t="str">
        <f>IFERROR(IFERROR(SUBSTITUTE(ZwölfMinLaufHalleResultat[[#This Row],[Eingabe]],".",",")*1,SUBSTITUTE(ZwölfMinLaufHalleResultat[[#This Row],[Eingabe]],",",".")*1),"")</f>
        <v/>
      </c>
      <c r="AG48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8" s="96"/>
      <c r="AI48" s="91" t="str" cm="1">
        <f t="array" aca="1" ref="AI48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8" s="96" t="str">
        <f ca="1">LEFT(Geschlecht[[#This Row],[Geschlecht (Skala)]],1)&amp;AO$4</f>
        <v>2</v>
      </c>
      <c r="AK48" s="96" t="str">
        <f t="shared" ca="1" si="41"/>
        <v>ZwölfMinLaufHalle_2[Resultat]</v>
      </c>
      <c r="AL48" s="97" t="str" cm="1">
        <f t="array" aca="1" ref="AL48" ca="1">IF(INDIRECT(AI$1)="","",IF(INDIRECT(AI$2)=0,0,IF(OR(INDIRECT(AI$1)=$A$2,INDIRECT(AI$1)=$A$3),$A$3,IFERROR(INDEX(INDIRECT(AK48),MATCH(INDIRECT(AI$3),INDIRECT(AK48),AK$25)),IFERROR(IF(AK$25=-1,MAX(INDIRECT(AK48)),IF(AK$25=1,MIN(INDIRECT(AK48)))),"")))))</f>
        <v/>
      </c>
      <c r="AN48" s="91" t="str">
        <f t="shared" ca="1" si="42"/>
        <v>ZwölfMinLaufHalle_2[Note]</v>
      </c>
      <c r="AO48" s="97" t="str" cm="1">
        <f t="array" aca="1" ref="AO48" ca="1">IFERROR(INDEX(INDIRECT(AN48),MATCH(INDIRECT(AI$5),INDIRECT(AK48),0)),IF(INDIRECT(AI$5)=0,1,""))</f>
        <v/>
      </c>
      <c r="AP48" s="97"/>
      <c r="AQ48" s="307"/>
      <c r="AR48" s="96" t="str">
        <f>IFERROR(IFERROR(SUBSTITUTE(ZwölfMinLaufimFreienResultat[[#This Row],[Eingabe]],".",",")*1,SUBSTITUTE(ZwölfMinLaufimFreienResultat[[#This Row],[Eingabe]],",",".")*1),"")</f>
        <v/>
      </c>
      <c r="AS48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8" s="96"/>
      <c r="AU48" s="91" t="str" cm="1">
        <f t="array" aca="1" ref="AU48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8" s="96" t="str">
        <f ca="1">LEFT(Geschlecht[[#This Row],[Geschlecht (Skala)]],1)&amp;BA$4</f>
        <v>2</v>
      </c>
      <c r="AW48" s="96" t="str">
        <f t="shared" ca="1" si="43"/>
        <v>ZwölfMinLaufimFreien_2[Resultat]</v>
      </c>
      <c r="AX48" s="97" t="str" cm="1">
        <f t="array" aca="1" ref="AX48" ca="1">IF(INDIRECT(AU$1)="","",IF(INDIRECT(AU$2)=0,0,IF(OR(INDIRECT(AU$1)=$A$2,INDIRECT(AU$1)=$A$3),$A$3,IFERROR(INDEX(INDIRECT(AW48),MATCH(INDIRECT(AU$3),INDIRECT(AW48),AW$25)),IFERROR(IF(AW$25=-1,MAX(INDIRECT(AW48)),IF(AW$25=1,MIN(INDIRECT(AW48)))),"")))))</f>
        <v/>
      </c>
      <c r="AZ48" s="91" t="str">
        <f t="shared" ca="1" si="44"/>
        <v>ZwölfMinLaufimFreien_2[Note]</v>
      </c>
      <c r="BA48" s="97" t="str" cm="1">
        <f t="array" aca="1" ref="BA48" ca="1">IFERROR(INDEX(INDIRECT(AZ48),MATCH(INDIRECT(AU$5),INDIRECT(AW48),0)),IF(INDIRECT(AU$5)=0,1,""))</f>
        <v/>
      </c>
      <c r="BB48" s="97"/>
      <c r="BC48" s="307"/>
      <c r="BD48" s="96" t="str">
        <f>IFERROR(IFERROR(SUBSTITUTE(HochsprungResultat[[#This Row],[Eingabe]],".",",")*1,SUBSTITUTE(HochsprungResultat[[#This Row],[Eingabe]],",",".")*1),"")</f>
        <v/>
      </c>
      <c r="BE48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8" s="96"/>
      <c r="BG48" s="91" t="str" cm="1">
        <f t="array" aca="1" ref="BG48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8" s="96" t="str">
        <f ca="1">LEFT(Geschlecht[[#This Row],[Geschlecht (Skala)]],1)&amp;BM$4</f>
        <v>2</v>
      </c>
      <c r="BI48" s="96" t="str">
        <f t="shared" ca="1" si="45"/>
        <v>Hochsprung_2[Resultat]</v>
      </c>
      <c r="BJ48" s="97" t="str" cm="1">
        <f t="array" aca="1" ref="BJ48" ca="1">IF(INDIRECT(BG$1)="","",IF(INDIRECT(BG$2)=0,0,IF(OR(INDIRECT(BG$1)=$A$2,INDIRECT(BG$1)=$A$3),$A$3,IFERROR(INDEX(INDIRECT(BI48),MATCH(INDIRECT(BG$3),INDIRECT(BI48),BI$25)),IFERROR(IF(BI$25=-1,MAX(INDIRECT(BI48)),IF(BI$25=1,MIN(INDIRECT(BI48)))),"")))))</f>
        <v/>
      </c>
      <c r="BL48" s="91" t="str">
        <f t="shared" ca="1" si="46"/>
        <v>Hochsprung_2[Note]</v>
      </c>
      <c r="BM48" s="97" t="str" cm="1">
        <f t="array" aca="1" ref="BM48" ca="1">IFERROR(INDEX(INDIRECT(BL48),MATCH(INDIRECT(BG$5),INDIRECT(BI48),0)),IF(INDIRECT(BG$5)=0,1,""))</f>
        <v/>
      </c>
      <c r="BN48" s="97"/>
      <c r="BO48" s="307"/>
      <c r="BP48" s="96" t="str">
        <f>IFERROR(IFERROR(SUBSTITUTE(WeitsprungResultat[[#This Row],[Eingabe]],".",",")*1,SUBSTITUTE(WeitsprungResultat[[#This Row],[Eingabe]],",",".")*1),"")</f>
        <v/>
      </c>
      <c r="BQ48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8" s="96"/>
      <c r="BS48" s="91" t="str" cm="1">
        <f t="array" aca="1" ref="BS48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8" s="96" t="str">
        <f ca="1">LEFT(Geschlecht[[#This Row],[Geschlecht (Skala)]],1)&amp;BY$4</f>
        <v>2</v>
      </c>
      <c r="BU48" s="96" t="str">
        <f t="shared" ca="1" si="47"/>
        <v>Weitsprung_2[Resultat]</v>
      </c>
      <c r="BV48" s="97" t="str" cm="1">
        <f t="array" aca="1" ref="BV48" ca="1">IF(INDIRECT(BS$1)="","",IF(INDIRECT(BS$2)=0,0,IF(OR(INDIRECT(BS$1)=$A$2,INDIRECT(BS$1)=$A$3),$A$3,IFERROR(INDEX(INDIRECT(BU48),MATCH(INDIRECT(BS$3),INDIRECT(BU48),BU$25)),IFERROR(IF(BU$25=-1,MAX(INDIRECT(BU48)),IF(BU$25=1,MIN(INDIRECT(BU48)))),"")))))</f>
        <v/>
      </c>
      <c r="BX48" s="91" t="str">
        <f t="shared" ca="1" si="48"/>
        <v>Weitsprung_2[Note]</v>
      </c>
      <c r="BY48" s="97" t="str" cm="1">
        <f t="array" aca="1" ref="BY48" ca="1">IFERROR(INDEX(INDIRECT(BX48),MATCH(INDIRECT(BS$5),INDIRECT(BU48),0)),IF(INDIRECT(BS$5)=0,1,""))</f>
        <v/>
      </c>
      <c r="BZ48" s="97"/>
      <c r="CA48" s="307"/>
      <c r="CB48" s="96" t="str">
        <f>IFERROR(IFERROR(SUBSTITUTE(BallwurfResultat[[#This Row],[Eingabe]],".",",")*1,SUBSTITUTE(BallwurfResultat[[#This Row],[Eingabe]],",",".")*1),"")</f>
        <v/>
      </c>
      <c r="CC48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8" s="96"/>
      <c r="CE48" s="91" t="str" cm="1">
        <f t="array" aca="1" ref="CE48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8" s="96" t="str">
        <f ca="1">LEFT(Geschlecht[[#This Row],[Geschlecht (Skala)]],1)&amp;CK$4</f>
        <v>2</v>
      </c>
      <c r="CG48" s="96" t="str">
        <f t="shared" ca="1" si="49"/>
        <v>Ballwurf_2[Resultat]</v>
      </c>
      <c r="CH48" s="97" t="str" cm="1">
        <f t="array" aca="1" ref="CH48" ca="1">IF(INDIRECT(CE$1)="","",IF(INDIRECT(CE$2)=0,0,IF(OR(INDIRECT(CE$1)=$A$2,INDIRECT(CE$1)=$A$3),$A$3,IFERROR(INDEX(INDIRECT(CG48),MATCH(INDIRECT(CE$3),INDIRECT(CG48),CG$25)),IFERROR(IF(CG$25=-1,MAX(INDIRECT(CG48)),IF(CG$25=1,MIN(INDIRECT(CG48)))),"")))))</f>
        <v/>
      </c>
      <c r="CJ48" s="91" t="str">
        <f t="shared" ca="1" si="50"/>
        <v>Ballwurf_2[Note]</v>
      </c>
      <c r="CK48" s="97" t="str" cm="1">
        <f t="array" aca="1" ref="CK48" ca="1">IFERROR(INDEX(INDIRECT(CJ48),MATCH(INDIRECT(CE$5),INDIRECT(CG48),0)),IF(INDIRECT(CE$5)=0,1,""))</f>
        <v/>
      </c>
      <c r="CL48" s="97"/>
      <c r="CM48" s="307"/>
      <c r="CN48" s="96" t="str">
        <f>IFERROR(IFERROR(SUBSTITUTE(KugelstossenResultat[[#This Row],[Eingabe]],".",",")*1,SUBSTITUTE(KugelstossenResultat[[#This Row],[Eingabe]],",",".")*1),"")</f>
        <v/>
      </c>
      <c r="CO48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8" s="96"/>
      <c r="CQ48" s="91" t="str" cm="1">
        <f t="array" aca="1" ref="CQ48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8" s="96" t="str">
        <f ca="1">LEFT(Geschlecht[[#This Row],[Geschlecht (Skala)]],1)&amp;CW$4</f>
        <v>2</v>
      </c>
      <c r="CS48" s="96" t="str">
        <f t="shared" ca="1" si="51"/>
        <v>Kugelstossen_2[Resultat]</v>
      </c>
      <c r="CT48" s="97" t="str" cm="1">
        <f t="array" aca="1" ref="CT48" ca="1">IF(INDIRECT(CQ$1)="","",IF(INDIRECT(CQ$2)=0,0,IF(OR(INDIRECT(CQ$1)=$A$2,INDIRECT(CQ$1)=$A$3),$A$3,IFERROR(INDEX(INDIRECT(CS48),MATCH(INDIRECT(CQ$3),INDIRECT(CS48),CS$25)),IFERROR(IF(CS$25=-1,MAX(INDIRECT(CS48)),IF(CS$25=1,MIN(INDIRECT(CS48)))),"")))))</f>
        <v/>
      </c>
      <c r="CV48" s="91" t="str">
        <f t="shared" ca="1" si="52"/>
        <v>Kugelstossen_2[Note]</v>
      </c>
      <c r="CW48" s="97" t="str" cm="1">
        <f t="array" aca="1" ref="CW48" ca="1">IFERROR(INDEX(INDIRECT(CV48),MATCH(INDIRECT(CQ$5),INDIRECT(CS48),0)),IF(INDIRECT(CQ$5)=0,1,""))</f>
        <v/>
      </c>
      <c r="CX48" s="97"/>
      <c r="CY48" s="307"/>
      <c r="CZ48" s="96" t="str">
        <f>IFERROR(IFERROR(SUBSTITUTE(SpeerwurfResultat[[#This Row],[Eingabe]],".",",")*1,SUBSTITUTE(SpeerwurfResultat[[#This Row],[Eingabe]],",",".")*1),"")</f>
        <v/>
      </c>
      <c r="DA48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8" s="96"/>
      <c r="DC48" s="91" t="str" cm="1">
        <f t="array" aca="1" ref="DC48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8" s="96" t="str">
        <f ca="1">LEFT(Geschlecht[[#This Row],[Geschlecht (Skala)]],1)&amp;DI$4</f>
        <v>2</v>
      </c>
      <c r="DE48" s="96" t="str">
        <f t="shared" ca="1" si="53"/>
        <v>Speerwurf_2[Resultat]</v>
      </c>
      <c r="DF48" s="97" t="str" cm="1">
        <f t="array" aca="1" ref="DF48" ca="1">IF(INDIRECT(DC$1)="","",IF(INDIRECT(DC$2)=0,0,IF(OR(INDIRECT(DC$1)=$A$2,INDIRECT(DC$1)=$A$3),$A$3,IFERROR(INDEX(INDIRECT(DE48),MATCH(INDIRECT(DC$3),INDIRECT(DE48),DE$25)),IFERROR(IF(DE$25=-1,MAX(INDIRECT(DE48)),IF(DE$25=1,MIN(INDIRECT(DE48)))),"")))))</f>
        <v/>
      </c>
      <c r="DH48" s="91" t="str">
        <f t="shared" ca="1" si="54"/>
        <v>Speerwurf_2[Note]</v>
      </c>
      <c r="DI48" s="97" t="str" cm="1">
        <f t="array" aca="1" ref="DI48" ca="1">IFERROR(INDEX(INDIRECT(DH48),MATCH(INDIRECT(DC$5),INDIRECT(DE48),0)),IF(INDIRECT(DC$5)=0,1,""))</f>
        <v/>
      </c>
      <c r="DJ48" s="97"/>
      <c r="DK48" s="97" t="str" cm="1">
        <f t="array" aca="1" ref="DK48" ca="1">INDIRECT(DK$5)</f>
        <v/>
      </c>
      <c r="DL48" s="97" t="str" cm="1">
        <f t="array" aca="1" ref="DL48" ca="1">INDIRECT(DL$5)</f>
        <v/>
      </c>
      <c r="DM48" s="97" t="str" cm="1">
        <f t="array" aca="1" ref="DM48" ca="1">INDIRECT(DM$5)</f>
        <v/>
      </c>
      <c r="DN48" s="97" t="str" cm="1">
        <f t="array" aca="1" ref="DN48" ca="1">INDIRECT(DN$5)</f>
        <v/>
      </c>
      <c r="DO48" s="97" t="str">
        <f t="shared" ca="1" si="135"/>
        <v>Sprintdisziplinen nicht durchgeführt</v>
      </c>
      <c r="DP48" s="97" t="str">
        <f t="shared" ca="1" si="136"/>
        <v/>
      </c>
      <c r="DQ48" s="108">
        <f t="shared" ca="1" si="137"/>
        <v>0</v>
      </c>
      <c r="DR48" s="108">
        <f t="shared" ca="1" si="138"/>
        <v>0</v>
      </c>
      <c r="DS48" s="108" t="str">
        <f t="shared" ca="1" si="139"/>
        <v/>
      </c>
      <c r="DT48" s="97" t="str">
        <f t="shared" ca="1" si="140"/>
        <v>Sprintdisziplinen nicht durchgeführt</v>
      </c>
      <c r="DU48" s="97" t="str">
        <f t="shared" ca="1" si="141"/>
        <v/>
      </c>
      <c r="DV48" s="97" t="str" cm="1">
        <f t="array" aca="1" ref="DV48" ca="1">IFERROR(IF(INDIRECT(INDEX(INDIRECT(DV$5),MATCH(DT48,INDIRECT(DV$4),0)))&lt;&gt;"",INDEX(INDIRECT(DV$5),MATCH(DT48,INDIRECT(DV$4),0)),INDEX(INDIRECT(DV$6),MATCH(DT48,INDIRECT(DV$4),0))),"")</f>
        <v/>
      </c>
      <c r="DW48" s="97" t="str">
        <f t="shared" ca="1" si="142"/>
        <v/>
      </c>
      <c r="DX48" s="97" t="str" cm="1">
        <f t="array" aca="1" ref="DX48" ca="1">IFERROR(INDIRECT(DV48),IF(NOT(ISERROR(FIND(Stammdaten!$CC$3,DT48,1))),$A$2,""))</f>
        <v/>
      </c>
      <c r="DY48" s="97" t="str">
        <f ca="1">IF(DX48="","",IF(AND(DU48=Stammdaten!$BX$20,DW48="0",DX48=1),SUBSTITUTE(TEXT(DX48,DW48)&amp;" "&amp;LEFT(DU48,LEN(DU48)-1),".",","),SUBSTITUTE(TEXT(DX48,DW48)&amp;" "&amp;DU48,".",",")))</f>
        <v/>
      </c>
      <c r="DZ48" s="97" t="str">
        <f t="shared" ca="1" si="55"/>
        <v/>
      </c>
      <c r="EA48" s="97" t="str" cm="1">
        <f t="array" aca="1" ref="EA48" ca="1">IFERROR(LEFT(INDIRECT(DZ48),1)&amp;"]","")</f>
        <v/>
      </c>
      <c r="EB48" s="97" t="str">
        <f t="shared" ca="1" si="56"/>
        <v/>
      </c>
      <c r="EC48" s="97" t="str">
        <f ca="1">IFERROR(LEFT(DT48,FIND(Stammdaten!$CA$4,DT48,1)-2),IFERROR(LEFT(DT48,FIND(Stammdaten!$CC$3,DT48,1)-2),DT48))</f>
        <v>Sprintdisziplinen</v>
      </c>
      <c r="ED48" s="97" t="str">
        <f ca="1">IF(NOT(ISERROR(FIND(Stammdaten!$CA$4,DT48,1))),Stammdaten!$CA$4,IF(EE48&lt;&gt;Stammdaten!$CC$3,EB48,""))</f>
        <v>nicht durchgeführt</v>
      </c>
      <c r="EE48" s="91" t="str">
        <f ca="1">IF(DX48=$A$2,Stammdaten!$CC$3,DY48)</f>
        <v/>
      </c>
      <c r="EF48" s="97" t="str" cm="1">
        <f t="array" aca="1" ref="EF48" ca="1">INDIRECT(EF$5)</f>
        <v/>
      </c>
      <c r="EG48" s="97" t="str" cm="1">
        <f t="array" aca="1" ref="EG48" ca="1">INDIRECT(EG$5)</f>
        <v/>
      </c>
      <c r="EH48" s="97" t="str" cm="1">
        <f t="array" aca="1" ref="EH48" ca="1">INDIRECT(EH$5)</f>
        <v/>
      </c>
      <c r="EI48" s="97" t="str" cm="1">
        <f t="array" aca="1" ref="EI48" ca="1">INDIRECT(EI$5)</f>
        <v/>
      </c>
      <c r="EJ48" s="97" t="str">
        <f t="shared" ca="1" si="143"/>
        <v>Ausdauerdisziplinen nicht durchgeführt</v>
      </c>
      <c r="EK48" s="97" t="str">
        <f t="shared" ca="1" si="144"/>
        <v/>
      </c>
      <c r="EL48" s="108">
        <f t="shared" ca="1" si="145"/>
        <v>0</v>
      </c>
      <c r="EM48" s="108">
        <f t="shared" ca="1" si="146"/>
        <v>0</v>
      </c>
      <c r="EN48" s="108" t="str">
        <f t="shared" ca="1" si="147"/>
        <v/>
      </c>
      <c r="EO48" s="97" t="str">
        <f t="shared" ca="1" si="148"/>
        <v>Ausdauerdisziplinen nicht durchgeführt</v>
      </c>
      <c r="EP48" s="97" t="str">
        <f t="shared" ca="1" si="149"/>
        <v/>
      </c>
      <c r="EQ48" s="97" t="str" cm="1">
        <f t="array" aca="1" ref="EQ48" ca="1">IFERROR(IF(INDIRECT(INDEX(INDIRECT(EQ$5),MATCH(EO48,INDIRECT(EQ$4),0)))&lt;&gt;"",INDEX(INDIRECT(EQ$5),MATCH(EO48,INDIRECT(EQ$4),0)),INDEX(INDIRECT(EQ$6),MATCH(EO48,INDIRECT(EQ$4),0))),"")</f>
        <v/>
      </c>
      <c r="ER48" s="97" t="str">
        <f t="shared" ca="1" si="150"/>
        <v/>
      </c>
      <c r="ES48" s="97" t="str" cm="1">
        <f t="array" aca="1" ref="ES48" ca="1">IFERROR(INDIRECT(EQ48),IF(NOT(ISERROR(FIND(Stammdaten!$CC$3,EO48,1))),$A$2,""))</f>
        <v/>
      </c>
      <c r="ET48" s="97" t="str">
        <f ca="1">IF(ES48="","",IF(AND(EP48=Stammdaten!$BX$20,ER48="0",ES48=1),SUBSTITUTE(TEXT(ES48,ER48)&amp;" "&amp;LEFT(EP48,LEN(EP48)-1),".",","),SUBSTITUTE(TEXT(ES48,ER48)&amp;" "&amp;EP48,".",",")))</f>
        <v/>
      </c>
      <c r="EU48" s="97" t="str">
        <f t="shared" ca="1" si="57"/>
        <v/>
      </c>
      <c r="EV48" s="97" t="str" cm="1">
        <f t="array" aca="1" ref="EV48" ca="1">IFERROR(LEFT(INDIRECT(EU48),1)&amp;"]","")</f>
        <v/>
      </c>
      <c r="EW48" s="97" t="str">
        <f t="shared" ca="1" si="58"/>
        <v/>
      </c>
      <c r="EX48" s="97" t="str">
        <f ca="1">IFERROR(LEFT(EO48,FIND(Stammdaten!$CA$4,EO48,1)-2),IFERROR(LEFT(EO48,FIND(Stammdaten!$CC$3,EO48,1)-2),EO48))</f>
        <v>Ausdauerdisziplinen</v>
      </c>
      <c r="EY48" s="97" t="str">
        <f ca="1">IF(NOT(ISERROR(FIND(Stammdaten!$CA$4,EO48,1))),Stammdaten!$CA$4,IF(EZ48&lt;&gt;Stammdaten!$CC$3,EW48,""))</f>
        <v>nicht durchgeführt</v>
      </c>
      <c r="EZ48" s="91" t="str">
        <f ca="1">IF(ES48=$A$2,Stammdaten!$CC$3,ET48)</f>
        <v/>
      </c>
      <c r="FA48" s="97" t="str" cm="1">
        <f t="array" aca="1" ref="FA48" ca="1">INDIRECT(FA$5)</f>
        <v/>
      </c>
      <c r="FB48" s="97" t="str" cm="1">
        <f t="array" aca="1" ref="FB48" ca="1">INDIRECT(FB$5)</f>
        <v/>
      </c>
      <c r="FC48" s="97" t="str" cm="1">
        <f t="array" aca="1" ref="FC48" ca="1">INDIRECT(FC$5)</f>
        <v/>
      </c>
      <c r="FD48" s="97" t="str" cm="1">
        <f t="array" aca="1" ref="FD48" ca="1">INDIRECT(FD$5)</f>
        <v/>
      </c>
      <c r="FE48" s="97" t="str">
        <f t="shared" ca="1" si="151"/>
        <v>Sprungdisziplinen nicht durchgeführt</v>
      </c>
      <c r="FF48" s="97" t="str">
        <f t="shared" ca="1" si="152"/>
        <v/>
      </c>
      <c r="FG48" s="108">
        <f t="shared" ca="1" si="153"/>
        <v>0</v>
      </c>
      <c r="FH48" s="108">
        <f t="shared" ca="1" si="154"/>
        <v>0</v>
      </c>
      <c r="FI48" s="108" t="str">
        <f t="shared" ca="1" si="155"/>
        <v/>
      </c>
      <c r="FJ48" s="97" t="str">
        <f t="shared" ca="1" si="156"/>
        <v>Sprungdisziplinen nicht durchgeführt</v>
      </c>
      <c r="FK48" s="97" t="str">
        <f t="shared" ca="1" si="157"/>
        <v/>
      </c>
      <c r="FL48" s="97" t="str" cm="1">
        <f t="array" aca="1" ref="FL48" ca="1">IFERROR(IF(INDIRECT(INDEX(INDIRECT(FL$5),MATCH(FJ48,INDIRECT(FL$4),0)))&lt;&gt;"",INDEX(INDIRECT(FL$5),MATCH(FJ48,INDIRECT(FL$4),0)),INDEX(INDIRECT(FL$6),MATCH(FJ48,INDIRECT(FL$4),0))),"")</f>
        <v/>
      </c>
      <c r="FM48" s="97" t="str">
        <f t="shared" ca="1" si="158"/>
        <v/>
      </c>
      <c r="FN48" s="97" t="str" cm="1">
        <f t="array" aca="1" ref="FN48" ca="1">IFERROR(INDIRECT(FL48),IF(NOT(ISERROR(FIND(Stammdaten!$CC$3,FJ48,1))),$A$2,""))</f>
        <v/>
      </c>
      <c r="FO48" s="97" t="str">
        <f ca="1">IF(FN48="","",IF(AND(FK48=Stammdaten!$BX$20,FM48="0",FN48=1),SUBSTITUTE(TEXT(FN48,FM48)&amp;" "&amp;LEFT(FK48,LEN(FK48)-1),".",","),SUBSTITUTE(TEXT(FN48,FM48)&amp;" "&amp;FK48,".",",")))</f>
        <v/>
      </c>
      <c r="FP48" s="97" t="str">
        <f t="shared" ca="1" si="59"/>
        <v/>
      </c>
      <c r="FQ48" s="97" t="str" cm="1">
        <f t="array" aca="1" ref="FQ48" ca="1">IFERROR(LEFT(INDIRECT(FP48),1)&amp;"]","")</f>
        <v/>
      </c>
      <c r="FR48" s="97" t="str">
        <f t="shared" ca="1" si="60"/>
        <v/>
      </c>
      <c r="FS48" s="97" t="str">
        <f ca="1">IFERROR(LEFT(FJ48,FIND(Stammdaten!$CA$4,FJ48,1)-2),IFERROR(LEFT(FJ48,FIND(Stammdaten!$CC$3,FJ48,1)-2),FJ48))</f>
        <v>Sprungdisziplinen</v>
      </c>
      <c r="FT48" s="97" t="str">
        <f ca="1">IF(NOT(ISERROR(FIND(Stammdaten!$CA$4,FJ48,1))),Stammdaten!$CA$4,IF(FU48&lt;&gt;Stammdaten!$CC$3,FR48,""))</f>
        <v>nicht durchgeführt</v>
      </c>
      <c r="FU48" s="91" t="str">
        <f ca="1">IF(FN48=$A$2,Stammdaten!$CC$3,FO48)</f>
        <v/>
      </c>
      <c r="FV48" s="97" t="str" cm="1">
        <f t="array" aca="1" ref="FV48" ca="1">INDIRECT(FV$5)</f>
        <v/>
      </c>
      <c r="FW48" s="97" t="str" cm="1">
        <f t="array" aca="1" ref="FW48" ca="1">INDIRECT(FW$5)</f>
        <v/>
      </c>
      <c r="FX48" s="97" t="str" cm="1">
        <f t="array" aca="1" ref="FX48" ca="1">INDIRECT(FX$5)</f>
        <v/>
      </c>
      <c r="FY48" s="97" t="str" cm="1">
        <f t="array" aca="1" ref="FY48" ca="1">INDIRECT(FY$5)</f>
        <v/>
      </c>
      <c r="FZ48" s="97" t="str" cm="1">
        <f t="array" aca="1" ref="FZ48" ca="1">INDIRECT(FZ$5)</f>
        <v/>
      </c>
      <c r="GA48" s="97" t="str" cm="1">
        <f t="array" aca="1" ref="GA48" ca="1">INDIRECT(GA$5)</f>
        <v/>
      </c>
      <c r="GB48" s="97" t="str">
        <f t="shared" ca="1" si="159"/>
        <v>Wurfdisziplinen nicht durchgeführt</v>
      </c>
      <c r="GC48" s="97" t="str">
        <f t="shared" ca="1" si="160"/>
        <v/>
      </c>
      <c r="GD48" s="108">
        <f t="shared" ca="1" si="161"/>
        <v>0</v>
      </c>
      <c r="GE48" s="108">
        <f t="shared" ca="1" si="162"/>
        <v>0</v>
      </c>
      <c r="GF48" s="108" t="str">
        <f t="shared" ca="1" si="163"/>
        <v/>
      </c>
      <c r="GG48" s="97" t="str">
        <f t="shared" ca="1" si="164"/>
        <v>Wurfdisziplinen nicht durchgeführt</v>
      </c>
      <c r="GH48" s="97" t="str">
        <f t="shared" ca="1" si="165"/>
        <v/>
      </c>
      <c r="GI48" s="97" t="str" cm="1">
        <f t="array" aca="1" ref="GI48" ca="1">IFERROR(IF(INDIRECT(INDEX(INDIRECT(GI$5),MATCH(GG48,INDIRECT(GI$4),0)))&lt;&gt;"",INDEX(INDIRECT(GI$5),MATCH(GG48,INDIRECT(GI$4),0)),INDEX(INDIRECT(GI$6),MATCH(GG48,INDIRECT(GI$4),0))),"")</f>
        <v/>
      </c>
      <c r="GJ48" s="97" t="str">
        <f t="shared" ca="1" si="166"/>
        <v/>
      </c>
      <c r="GK48" s="97" t="str" cm="1">
        <f t="array" aca="1" ref="GK48" ca="1">IFERROR(INDIRECT(GI48),IF(NOT(ISERROR(FIND(Stammdaten!$CC$3,GG48,1))),$A$2,""))</f>
        <v/>
      </c>
      <c r="GL48" s="97" t="str">
        <f ca="1">IF(GK48="","",IF(AND(GH48=Stammdaten!$BX$20,GJ48="0",GK48=1),SUBSTITUTE(TEXT(GK48,GJ48)&amp;" "&amp;LEFT(GH48,LEN(GH48)-1),".",","),SUBSTITUTE(TEXT(GK48,GJ48)&amp;" "&amp;GH48,".",",")))</f>
        <v/>
      </c>
      <c r="GM48" s="97" t="str">
        <f t="shared" ca="1" si="61"/>
        <v/>
      </c>
      <c r="GN48" s="97" t="str" cm="1">
        <f t="array" aca="1" ref="GN48" ca="1">IFERROR(LEFT(INDIRECT(GM48),1)&amp;"]","")</f>
        <v/>
      </c>
      <c r="GO48" s="97" t="str">
        <f t="shared" ca="1" si="62"/>
        <v/>
      </c>
      <c r="GP48" s="97" t="str">
        <f ca="1">IFERROR(LEFT(GG48,FIND(Stammdaten!$CA$4,GG48,1)-2),IFERROR(LEFT(GG48,FIND(Stammdaten!$CC$3,GG48,1)-2),GG48))</f>
        <v>Wurfdisziplinen</v>
      </c>
      <c r="GQ48" s="97" t="str">
        <f ca="1">IF(NOT(ISERROR(FIND(Stammdaten!$CA$4,GG48,1))),Stammdaten!$CA$4,IF(GR48&lt;&gt;Stammdaten!$CC$3,GO48,""))</f>
        <v>nicht durchgeführt</v>
      </c>
      <c r="GR48" s="91" t="str">
        <f ca="1">IF(GK48=$A$2,Stammdaten!$CC$3,GL48)</f>
        <v/>
      </c>
      <c r="GS48" s="97" t="str">
        <f t="shared" ca="1" si="63"/>
        <v/>
      </c>
      <c r="GT48" s="97" t="str">
        <f t="shared" ca="1" si="64"/>
        <v/>
      </c>
      <c r="GU48" s="97" t="str">
        <f t="shared" ca="1" si="65"/>
        <v/>
      </c>
      <c r="GV48" s="97" t="str">
        <f t="shared" ca="1" si="66"/>
        <v/>
      </c>
      <c r="GW48" s="97">
        <f t="shared" ca="1" si="167"/>
        <v>0</v>
      </c>
      <c r="GX48" s="108">
        <f t="shared" ca="1" si="168"/>
        <v>0</v>
      </c>
      <c r="GY48" s="108">
        <f t="shared" ca="1" si="169"/>
        <v>0</v>
      </c>
      <c r="GZ48" s="108" t="str">
        <f t="shared" ca="1" si="170"/>
        <v/>
      </c>
      <c r="HA48" s="97" t="str">
        <f ca="1">IF(GZ48="",Stammdaten!$BZ$1,IF(AND(GX48=0,GY48&gt;=GZ$25),$A$3,ROUND(SUM(GW48/GZ48)/HA$25,0)*HA$25))</f>
        <v>Zu wenige Werte</v>
      </c>
      <c r="HB48" s="108">
        <f t="shared" ca="1" si="171"/>
        <v>6</v>
      </c>
      <c r="HC48" s="97" t="str">
        <f t="shared" ca="1" si="172"/>
        <v/>
      </c>
      <c r="HD48" s="97" t="str">
        <f t="shared" ca="1" si="173"/>
        <v/>
      </c>
      <c r="HE48" s="97" t="str">
        <f t="shared" ca="1" si="174"/>
        <v/>
      </c>
      <c r="HF48" s="97" t="str">
        <f t="shared" ca="1" si="175"/>
        <v/>
      </c>
      <c r="HG48" s="97" t="str">
        <f t="shared" ca="1" si="176"/>
        <v/>
      </c>
      <c r="HH48" s="97" t="str">
        <f t="shared" ca="1" si="177"/>
        <v>g</v>
      </c>
      <c r="HI48" s="97" t="str">
        <f t="shared" ca="1" si="178"/>
        <v/>
      </c>
      <c r="HJ48" s="97">
        <f t="shared" ca="1" si="179"/>
        <v>1</v>
      </c>
      <c r="HK48" s="97" t="str">
        <f ca="1">IF(OR(Geschlecht[[#This Row],[Geschlecht (Skala)]]="",NOT(ISNUMBER(GZ48))),"",HJ48)</f>
        <v/>
      </c>
      <c r="HL48" s="97" t="str">
        <f t="shared" ca="1" si="180"/>
        <v/>
      </c>
      <c r="HM48" s="97"/>
      <c r="HN48" s="308" t="str">
        <f t="shared" ca="1" si="68"/>
        <v>Zu wenige Werte</v>
      </c>
      <c r="HO48" s="97"/>
      <c r="HP48" s="307"/>
      <c r="HQ48" s="96" t="str">
        <f>IFERROR(IFERROR(SUBSTITUTE(ReckResultat[[#This Row],[Eingabe]],".",",")*1,SUBSTITUTE(ReckResultat[[#This Row],[Eingabe]],",",".")*1),"")</f>
        <v/>
      </c>
      <c r="HR48" s="96" t="e">
        <f>INT(ReckResultat[[#This Row],[Resultat]])=ReckResultat[[#This Row],[Resultat]]</f>
        <v>#VALUE!</v>
      </c>
      <c r="HS48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8" s="96"/>
      <c r="HX48" s="97"/>
      <c r="HY48" s="307"/>
      <c r="HZ48" s="96" t="str">
        <f>IFERROR(IFERROR(SUBSTITUTE(BodenResultat[[#This Row],[Eingabe]],".",",")*1,SUBSTITUTE(BodenResultat[[#This Row],[Eingabe]],",",".")*1),"")</f>
        <v/>
      </c>
      <c r="IA48" s="96" t="e">
        <f>INT(BodenResultat[[#This Row],[Resultat]])=BodenResultat[[#This Row],[Resultat]]</f>
        <v>#VALUE!</v>
      </c>
      <c r="IB48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8" s="96"/>
      <c r="IG48" s="97"/>
      <c r="IH48" s="307"/>
      <c r="II48" s="96" t="str">
        <f>IFERROR(IFERROR(SUBSTITUTE(StufenbarrenResultat[[#This Row],[Eingabe]],".",",")*1,SUBSTITUTE(StufenbarrenResultat[[#This Row],[Eingabe]],",",".")*1),"")</f>
        <v/>
      </c>
      <c r="IJ48" s="96" t="e">
        <f>INT(StufenbarrenResultat[[#This Row],[Resultat]])=StufenbarrenResultat[[#This Row],[Resultat]]</f>
        <v>#VALUE!</v>
      </c>
      <c r="IK48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8" s="96"/>
      <c r="IP48" s="97"/>
      <c r="IQ48" s="307"/>
      <c r="IR48" s="96" t="str">
        <f>IFERROR(IFERROR(SUBSTITUTE(ParallelbarrenResultat[[#This Row],[Eingabe]],".",",")*1,SUBSTITUTE(ParallelbarrenResultat[[#This Row],[Eingabe]],",",".")*1),"")</f>
        <v/>
      </c>
      <c r="IS48" s="96" t="e">
        <f>INT(ParallelbarrenResultat[[#This Row],[Resultat]])=ParallelbarrenResultat[[#This Row],[Resultat]]</f>
        <v>#VALUE!</v>
      </c>
      <c r="IT48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8" s="96"/>
      <c r="IY48" s="97"/>
      <c r="IZ48" s="307"/>
      <c r="JA48" s="96" t="str">
        <f>IFERROR(IFERROR(SUBSTITUTE(SchaukelringeResultat[[#This Row],[Eingabe]],".",",")*1,SUBSTITUTE(SchaukelringeResultat[[#This Row],[Eingabe]],",",".")*1),"")</f>
        <v/>
      </c>
      <c r="JB48" s="96" t="e">
        <f>INT(SchaukelringeResultat[[#This Row],[Resultat]])=SchaukelringeResultat[[#This Row],[Resultat]]</f>
        <v>#VALUE!</v>
      </c>
      <c r="JC48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8" s="96"/>
      <c r="JH48" s="97"/>
      <c r="JI48" s="307"/>
      <c r="JJ48" s="96" t="str">
        <f>IFERROR(IFERROR(SUBSTITUTE(SprungResultat[[#This Row],[Eingabe]],".",",")*1,SUBSTITUTE(SprungResultat[[#This Row],[Eingabe]],",",".")*1),"")</f>
        <v/>
      </c>
      <c r="JK48" s="96" t="e">
        <f>INT(SprungResultat[[#This Row],[Resultat]])=SprungResultat[[#This Row],[Resultat]]</f>
        <v>#VALUE!</v>
      </c>
      <c r="JL48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8" s="96"/>
      <c r="JQ48" s="97"/>
      <c r="JR48" s="309" t="str" cm="1">
        <f t="array" aca="1" ref="JR48" ca="1">IF(AND(ISNUMBER(INDIRECT(JR$3)),INDIRECT(JR$3)&gt;0),INDIRECT(JR$3),"")</f>
        <v/>
      </c>
      <c r="JS48" s="309" t="str" cm="1">
        <f t="array" aca="1" ref="JS48" ca="1">IF(AND(ISNUMBER(INDIRECT(JS$3)),INDIRECT(JS$3)&gt;0),INDIRECT(JS$3),"")</f>
        <v/>
      </c>
      <c r="JT48" s="309" t="str" cm="1">
        <f t="array" aca="1" ref="JT48" ca="1">IF(AND(ISNUMBER(INDIRECT(JT$3)),INDIRECT(JT$3)&gt;0),INDIRECT(JT$3),"")</f>
        <v/>
      </c>
      <c r="JU48" s="309" t="str" cm="1">
        <f t="array" aca="1" ref="JU48" ca="1">IF(AND(ISNUMBER(INDIRECT(JU$3)),INDIRECT(JU$3)&gt;0),INDIRECT(JU$3),"")</f>
        <v/>
      </c>
      <c r="JV48" s="309" t="str" cm="1">
        <f t="array" aca="1" ref="JV48" ca="1">IF(AND(ISNUMBER(INDIRECT(JV$3)),INDIRECT(JV$3)&gt;0),INDIRECT(JV$3),"")</f>
        <v/>
      </c>
      <c r="JW48" s="309" t="str" cm="1">
        <f t="array" aca="1" ref="JW48" ca="1">IF(AND(ISNUMBER(INDIRECT(JW$3)),INDIRECT(JW$3)&gt;0),INDIRECT(JW$3),"")</f>
        <v/>
      </c>
      <c r="JX48" s="309" t="str">
        <f t="shared" ca="1" si="69"/>
        <v>x</v>
      </c>
      <c r="JY48" s="309" t="str">
        <f t="shared" ca="1" si="70"/>
        <v>y</v>
      </c>
      <c r="JZ48" s="309" t="str">
        <f t="shared" ca="1" si="71"/>
        <v>z</v>
      </c>
      <c r="KA48" s="309" t="str">
        <f t="shared" ca="1" si="181"/>
        <v>a</v>
      </c>
      <c r="KB48" s="309" t="str" cm="1">
        <f t="array" aca="1" ref="KB48" ca="1">IF(KA48="a","",INDEX($JR$23:$JW$23,,MATCH(KA48,$JR48:$JW48,0)))</f>
        <v/>
      </c>
      <c r="KC48" s="309" t="str" cm="1">
        <f t="array" aca="1" ref="KC48" ca="1">IF(OR(KB48="",KB48&gt;=$JW$23),"",INDEX(INDIRECT(ADDRESS(ROW($JR$23),KB48+1)):$JW$23,,MATCH(KA48,INDIRECT(ADDRESS(ROW(),KB48+1)):$JW48,0)))</f>
        <v/>
      </c>
      <c r="KD48" s="309" t="str" cm="1">
        <f t="array" aca="1" ref="KD48" ca="1">IF(OR(KC48="",KC48&gt;=$JW$23),"",INDEX(INDIRECT(ADDRESS(ROW($JR$23),KC48+1)):$JW$23,,MATCH(KA48,INDIRECT(ADDRESS(ROW(),KC48+1)):$JW48,0)))</f>
        <v/>
      </c>
      <c r="KE48" s="309" t="str">
        <f t="shared" ca="1" si="182"/>
        <v>c</v>
      </c>
      <c r="KF48" s="309" t="str" cm="1">
        <f t="array" aca="1" ref="KF48" ca="1">IF(OR(KE48="b",KE48="c"),"",INDEX($JR$23:$JW$23,,MATCH(KE48,$JR48:$JW48,0)))</f>
        <v/>
      </c>
      <c r="KG48" s="309" t="str" cm="1">
        <f t="array" aca="1" ref="KG48" ca="1">IF(OR(KF48="",KF48&gt;=$JW$23),"",INDEX(INDIRECT(ADDRESS(ROW($JR$23),KF48+1)):$JW$23,,MATCH(KE48,INDIRECT(ADDRESS(ROW(),KF48+1)):$JW48,0)))</f>
        <v/>
      </c>
      <c r="KH48" s="309" t="str">
        <f t="shared" ca="1" si="72"/>
        <v/>
      </c>
      <c r="KI48" s="309" t="str">
        <f t="shared" ca="1" si="183"/>
        <v>e</v>
      </c>
      <c r="KJ48" s="309" t="str">
        <f t="shared" ca="1" si="73"/>
        <v/>
      </c>
      <c r="KK48" s="309" t="str" cm="1">
        <f t="array" aca="1" ref="KK48" ca="1">IF(OR(KI48="d",KI48="e"),"",INDEX($JR$23:$JW$23,,MATCH(KI48,$JR48:$JW48,0)))</f>
        <v/>
      </c>
      <c r="KL48" s="309" t="str" cm="1">
        <f t="array" aca="1" ref="KL48" ca="1">IF(OR(KK48="",KK48&gt;=$JW$23),"",INDEX(INDIRECT(ADDRESS(ROW($JR$23),KK48+1)):$JW$23,,MATCH(KI48,INDIRECT(ADDRESS(ROW(),KK48+1)):$JW48,0)))</f>
        <v/>
      </c>
      <c r="KM48" s="309" t="str" cm="1">
        <f t="array" aca="1" ref="KM48" ca="1">IFERROR(IF(ISNUMBER(KB48),KB48,IF(ISNUMBER(KF48),KF48,IF(ISNUMBER(KJ48),KJ48,INDEX($JR$23:$JW$23,,MATCH(JX48,$JR48:$JW48,0))))),"x1")</f>
        <v>x1</v>
      </c>
      <c r="KN48" s="309" t="str" cm="1">
        <f t="array" aca="1" ref="KN48" ca="1">IFERROR(IF(ISNUMBER(KC48),KC48,IF(ISNUMBER(KG48),KG48,IF(ISNUMBER(KK48),KK48,INDEX($JR$23:$JW$23,,MATCH(JY48,$JR48:$JW48,0))))),IF(KM48="x1","x2","x1"))</f>
        <v>x2</v>
      </c>
      <c r="KO48" s="309" t="str" cm="1">
        <f t="array" aca="1" ref="KO48" ca="1">IFERROR(IF(ISNUMBER(KD48),KD48,IF(ISNUMBER(KH48),KH48,IF(ISNUMBER(KL48),KL48,INDEX($JR$23:$JW$23,,MATCH(JZ48,$JR48:$JW48,0))))),IF(KN48="x1","x2",IF(KN48="x2","x3","x1")))</f>
        <v>x3</v>
      </c>
      <c r="KP48" s="97" t="str" cm="1">
        <f t="array" aca="1" ref="KP48" ca="1">IF(OR(INDIRECT(KP$3)=$A$2,INDIRECT(KP$3)=$A$3),COLUMN(),"")</f>
        <v/>
      </c>
      <c r="KQ48" s="97" t="str" cm="1">
        <f t="array" aca="1" ref="KQ48" ca="1">IF(OR(INDIRECT(KQ$3)=$A$2,INDIRECT(KQ$3)=$A$3),COLUMN(),"")</f>
        <v/>
      </c>
      <c r="KR48" s="97" t="str" cm="1">
        <f t="array" aca="1" ref="KR48" ca="1">IF(OR(INDIRECT(KR$3)=$A$2,INDIRECT(KR$3)=$A$3),COLUMN(),"")</f>
        <v/>
      </c>
      <c r="KS48" s="97" t="str" cm="1">
        <f t="array" aca="1" ref="KS48" ca="1">IF(OR(INDIRECT(KS$3)=$A$2,INDIRECT(KS$3)=$A$3),COLUMN(),"")</f>
        <v/>
      </c>
      <c r="KT48" s="97" t="str" cm="1">
        <f t="array" aca="1" ref="KT48" ca="1">IF(OR(INDIRECT(KT$3)=$A$2,INDIRECT(KT$3)=$A$3),COLUMN(),"")</f>
        <v/>
      </c>
      <c r="KU48" s="97" t="str" cm="1">
        <f t="array" aca="1" ref="KU48" ca="1">IF(OR(INDIRECT(KU$3)=$A$2,INDIRECT(KU$3)=$A$3),COLUMN(),"")</f>
        <v/>
      </c>
      <c r="KV48" s="97" t="str" cm="1">
        <f t="array" aca="1" ref="KV48" ca="1">IF(AND(ISNUMBER(INDIRECT(KV$3)),INDIRECT(KV$3)=0),COLUMN(),"")</f>
        <v/>
      </c>
      <c r="KW48" s="97" t="str" cm="1">
        <f t="array" aca="1" ref="KW48" ca="1">IF(AND(ISNUMBER(INDIRECT(KW$3)),INDIRECT(KW$3)=0),COLUMN(),"")</f>
        <v/>
      </c>
      <c r="KX48" s="97" t="str" cm="1">
        <f t="array" aca="1" ref="KX48" ca="1">IF(AND(ISNUMBER(INDIRECT(KX$3)),INDIRECT(KX$3)=0),COLUMN(),"")</f>
        <v/>
      </c>
      <c r="KY48" s="97" t="str" cm="1">
        <f t="array" aca="1" ref="KY48" ca="1">IF(AND(ISNUMBER(INDIRECT(KY$3)),INDIRECT(KY$3)=0),COLUMN(),"")</f>
        <v/>
      </c>
      <c r="KZ48" s="97" t="str" cm="1">
        <f t="array" aca="1" ref="KZ48" ca="1">IF(AND(ISNUMBER(INDIRECT(KZ$3)),INDIRECT(KZ$3)=0),COLUMN(),"")</f>
        <v/>
      </c>
      <c r="LA48" s="97" t="str" cm="1">
        <f t="array" aca="1" ref="LA48" ca="1">IF(AND(ISNUMBER(INDIRECT(LA$3)),INDIRECT(LA$3)=0),COLUMN(),"")</f>
        <v/>
      </c>
      <c r="LB48" s="97" t="str">
        <f t="shared" ca="1" si="184"/>
        <v>x1</v>
      </c>
      <c r="LC48" s="97" t="str">
        <f t="shared" ca="1" si="185"/>
        <v>x2</v>
      </c>
      <c r="LD48" s="97" t="str">
        <f t="shared" ca="1" si="186"/>
        <v>x3</v>
      </c>
      <c r="LE48" s="97" t="str">
        <f ca="1">IFERROR(IF(ISNUMBER(LB48),LB48,SMALL($KV48:$LA48,VALUE(RIGHT(LB48,1)))),Stammdaten!$CA$17)</f>
        <v>Erstes Gerät nicht durchgeführt</v>
      </c>
      <c r="LF48" s="97" t="str">
        <f ca="1">IFERROR(IF(ISNUMBER(LC48),LC48,SMALL($KV48:$LA48,VALUE(RIGHT(LC48,1)))),Stammdaten!$CA$18)</f>
        <v>Zweites Gerät nicht durchgeführt</v>
      </c>
      <c r="LG48" s="97" t="str">
        <f ca="1">IFERROR(IF(ISNUMBER(LD48),LD48,SMALL($KV48:$LA48,VALUE(RIGHT(LD48,1)))),Stammdaten!$CA$19)</f>
        <v>Drittes Gerät nicht durchgeführt</v>
      </c>
      <c r="LH48" s="91" t="str" cm="1">
        <f t="array" aca="1" ref="LH48" ca="1">IFERROR(INDIRECT(ADDRESS(ROW($JR$5),LE48)),LE48)</f>
        <v>Erstes Gerät nicht durchgeführt</v>
      </c>
      <c r="LI48" s="97" t="str">
        <f t="shared" ca="1" si="187"/>
        <v/>
      </c>
      <c r="LJ48" s="97" t="str" cm="1">
        <f t="array" aca="1" ref="LJ48" ca="1">IFERROR(IF(INDIRECT(INDEX(INDIRECT(LJ$5),MATCH(LH48,INDIRECT(LJ$4),0)))&lt;&gt;"",INDEX(INDIRECT(LJ$5),MATCH(LH48,INDIRECT(LJ$4),0)),INDEX(INDIRECT(LJ$6),MATCH(LH48,INDIRECT(LJ$4),0))),"")</f>
        <v/>
      </c>
      <c r="LK48" s="97" t="str">
        <f t="shared" ca="1" si="188"/>
        <v/>
      </c>
      <c r="LL48" s="97" t="str" cm="1">
        <f t="array" aca="1" ref="LL48" ca="1">IFERROR(INDIRECT(LJ48),"")</f>
        <v/>
      </c>
      <c r="LM48" s="97" t="str">
        <f ca="1">IF(LL48="","",IF(AND(LI48=Stammdaten!$BX$20,LK48="0",LL48=1),SUBSTITUTE(TEXT(LL48,LK48)&amp;" "&amp;LEFT(LI48,LEN(LI48)-1),".",","),SUBSTITUTE(TEXT(LL48,LK48)&amp;" "&amp;LI48,".",",")))</f>
        <v/>
      </c>
      <c r="LN48" s="97" t="str">
        <f t="shared" ca="1" si="74"/>
        <v/>
      </c>
      <c r="LO48" s="97" t="str" cm="1">
        <f t="array" aca="1" ref="LO48" ca="1">IFERROR(LEFT(INDIRECT(LN48),1)&amp;"]","")</f>
        <v/>
      </c>
      <c r="LP48" s="97" t="str">
        <f t="shared" ca="1" si="75"/>
        <v/>
      </c>
      <c r="LQ48" s="97" t="str">
        <f ca="1">IFERROR(LEFT(LH48,FIND(Stammdaten!$CA$4,LH48,1)-2),IFERROR(LEFT(LH48,FIND(Stammdaten!$CC$3,LH48,1)-2),LH48))</f>
        <v>Erstes Gerät</v>
      </c>
      <c r="LR48" s="97" t="str">
        <f ca="1">IF(NOT(ISERROR(FIND(Stammdaten!$CA$4,LH48,1))),Stammdaten!$CA$4,IF(LS48&lt;&gt;Stammdaten!$CC$3,LP48,""))</f>
        <v>nicht durchgeführt</v>
      </c>
      <c r="LS48" s="91" t="str">
        <f ca="1">IF(LL48=$A$2,Stammdaten!$CC$3,LM48)</f>
        <v/>
      </c>
      <c r="LT48" s="91" t="str" cm="1">
        <f t="array" aca="1" ref="LT48" ca="1">IFERROR(INDIRECT(ADDRESS(ROW($JR$5),LF48)),LF48)</f>
        <v>Zweites Gerät nicht durchgeführt</v>
      </c>
      <c r="LU48" s="97" t="str">
        <f t="shared" ca="1" si="189"/>
        <v/>
      </c>
      <c r="LV48" s="97" t="str" cm="1">
        <f t="array" aca="1" ref="LV48" ca="1">IFERROR(IF(INDIRECT(INDEX(INDIRECT(LV$5),MATCH(LT48,INDIRECT(LV$4),0)))&lt;&gt;"",INDEX(INDIRECT(LV$5),MATCH(LT48,INDIRECT(LV$4),0)),INDEX(INDIRECT(LV$6),MATCH(LT48,INDIRECT(LV$4),0))),"")</f>
        <v/>
      </c>
      <c r="LW48" s="97" t="str">
        <f t="shared" ca="1" si="190"/>
        <v/>
      </c>
      <c r="LX48" s="97" t="str" cm="1">
        <f t="array" aca="1" ref="LX48" ca="1">IFERROR(INDIRECT(LV48),"")</f>
        <v/>
      </c>
      <c r="LY48" s="97" t="str">
        <f ca="1">IF(LX48="","",IF(AND(LU48=Stammdaten!$BX$20,LW48="0",LX48=1),SUBSTITUTE(TEXT(LX48,LW48)&amp;" "&amp;LEFT(LU48,LEN(LU48)-1),".",","),SUBSTITUTE(TEXT(LX48,LW48)&amp;" "&amp;LU48,".",",")))</f>
        <v/>
      </c>
      <c r="LZ48" s="97" t="str">
        <f t="shared" ca="1" si="76"/>
        <v/>
      </c>
      <c r="MA48" s="97" t="str" cm="1">
        <f t="array" aca="1" ref="MA48" ca="1">IFERROR(LEFT(INDIRECT(LZ48),1)&amp;"]","")</f>
        <v/>
      </c>
      <c r="MB48" s="97" t="str">
        <f t="shared" ca="1" si="77"/>
        <v/>
      </c>
      <c r="MC48" s="97" t="str">
        <f ca="1">IFERROR(LEFT(LT48,FIND(Stammdaten!$CA$4,LT48,1)-2),IFERROR(LEFT(LT48,FIND(Stammdaten!$CC$3,LT48,1)-2),LT48))</f>
        <v>Zweites Gerät</v>
      </c>
      <c r="MD48" s="97" t="str">
        <f ca="1">IF(NOT(ISERROR(FIND(Stammdaten!$CA$4,LT48,1))),Stammdaten!$CA$4,IF(ME48&lt;&gt;Stammdaten!$CC$3,MB48,""))</f>
        <v>nicht durchgeführt</v>
      </c>
      <c r="ME48" s="91" t="str">
        <f ca="1">IF(LX48=$A$2,Stammdaten!$CC$3,LY48)</f>
        <v/>
      </c>
      <c r="MF48" s="91" t="str" cm="1">
        <f t="array" aca="1" ref="MF48" ca="1">IFERROR(INDIRECT(ADDRESS(ROW($JR$5),LG48)),LG48)</f>
        <v>Drittes Gerät nicht durchgeführt</v>
      </c>
      <c r="MG48" s="97" t="str">
        <f t="shared" ca="1" si="191"/>
        <v/>
      </c>
      <c r="MH48" s="97" t="str" cm="1">
        <f t="array" aca="1" ref="MH48" ca="1">IFERROR(IF(INDIRECT(INDEX(INDIRECT(MH$5),MATCH(MF48,INDIRECT(MH$4),0)))&lt;&gt;"",INDEX(INDIRECT(MH$5),MATCH(MF48,INDIRECT(MH$4),0)),INDEX(INDIRECT(MH$6),MATCH(MF48,INDIRECT(MH$4),0))),"")</f>
        <v/>
      </c>
      <c r="MI48" s="97" t="str">
        <f t="shared" ca="1" si="192"/>
        <v/>
      </c>
      <c r="MJ48" s="97" t="str" cm="1">
        <f t="array" aca="1" ref="MJ48" ca="1">IFERROR(INDIRECT(MH48),"")</f>
        <v/>
      </c>
      <c r="MK48" s="97" t="str">
        <f ca="1">IF(MJ48="","",IF(AND(MG48=Stammdaten!$BX$20,MI48="0",MJ48=1),SUBSTITUTE(TEXT(MJ48,MI48)&amp;" "&amp;LEFT(MG48,LEN(MG48)-1),".",","),SUBSTITUTE(TEXT(MJ48,MI48)&amp;" "&amp;MG48,".",",")))</f>
        <v/>
      </c>
      <c r="ML48" s="97" t="str">
        <f t="shared" ca="1" si="78"/>
        <v/>
      </c>
      <c r="MM48" s="97" t="str" cm="1">
        <f t="array" aca="1" ref="MM48" ca="1">IFERROR(LEFT(INDIRECT(ML48),1)&amp;"]","")</f>
        <v/>
      </c>
      <c r="MN48" s="97" t="str">
        <f t="shared" ca="1" si="79"/>
        <v/>
      </c>
      <c r="MO48" s="97" t="str">
        <f ca="1">IFERROR(LEFT(MF48,FIND(Stammdaten!$CA$4,MF48,1)-2),IFERROR(LEFT(MF48,FIND(Stammdaten!$CC$3,MF48,1)-2),MF48))</f>
        <v>Drittes Gerät</v>
      </c>
      <c r="MP48" s="97" t="str">
        <f ca="1">IF(NOT(ISERROR(FIND(Stammdaten!$CA$4,MF48,1))),Stammdaten!$CA$4,IF(MQ48&lt;&gt;Stammdaten!$CC$3,MN48,""))</f>
        <v>nicht durchgeführt</v>
      </c>
      <c r="MQ48" s="91" t="str">
        <f ca="1">IF(MJ48=$A$2,Stammdaten!$CC$3,MK48)</f>
        <v/>
      </c>
      <c r="MR48" s="97">
        <f t="shared" ca="1" si="80"/>
        <v>0</v>
      </c>
      <c r="MS48" s="108">
        <f t="shared" ca="1" si="193"/>
        <v>0</v>
      </c>
      <c r="MT48" s="108">
        <f t="shared" ca="1" si="194"/>
        <v>0</v>
      </c>
      <c r="MU48" s="108">
        <f t="shared" ca="1" si="195"/>
        <v>0</v>
      </c>
      <c r="MV48" s="108" t="str">
        <f t="shared" ca="1" si="196"/>
        <v/>
      </c>
      <c r="MW48" s="97" t="str">
        <f ca="1">IF(MV48="",Stammdaten!$BZ$1,IF(AND(MS48+MT48=0,MU48&gt;=MV$25),$A$3,MR48))</f>
        <v>Zu wenige Werte</v>
      </c>
      <c r="MX48" s="97"/>
      <c r="MY48" s="91" t="str">
        <f t="shared" ca="1" si="81"/>
        <v/>
      </c>
      <c r="MZ48" s="96" t="str">
        <f>LEFT(Geschlecht[[#This Row],[Geschlecht (Skala)]],1)&amp;$MZ$27</f>
        <v>2</v>
      </c>
      <c r="NA48" s="96" t="str">
        <f t="shared" ca="1" si="82"/>
        <v>Geräteturnen_2[Resultat]</v>
      </c>
      <c r="NB48" s="97" t="str" cm="1">
        <f t="array" aca="1" ref="NB48" ca="1">IF(OR($MW48="",$MW48=Stammdaten!$BZ$1),"",IF($MW48=0,0,IF(OR($MW48=$A$2,$MW48=$A$3),$A$3,IFERROR(INDEX(INDIRECT(NA48),MATCH(INDIRECT(MY$3),INDIRECT(NA48),NA$25)),IFERROR(IF(NA$25=-1,MAX(INDIRECT(NA48)),IF(NA$25=1,MIN(INDIRECT(NA48)))),"")))))</f>
        <v/>
      </c>
      <c r="ND48" s="91" t="str">
        <f t="shared" ca="1" si="83"/>
        <v>Geräteturnen_2[Note]</v>
      </c>
      <c r="NE48" s="97" t="str" cm="1">
        <f t="array" aca="1" ref="NE48" ca="1">IFERROR(INDEX(INDIRECT(ND48),MATCH(INDIRECT(MY$5),INDIRECT(NA48),0)),IF(INDIRECT(MY$5)=0,1,""))</f>
        <v/>
      </c>
      <c r="NF48" s="97"/>
      <c r="NG48" s="307"/>
      <c r="NH48" s="96" t="str">
        <f>IFERROR(IFERROR(SUBSTITUTE(ParkourResultat[[#This Row],[Eingabe]],".",",")*1,SUBSTITUTE(ParkourResultat[[#This Row],[Eingabe]],",",".")*1),"")</f>
        <v/>
      </c>
      <c r="NI48" s="96" t="e">
        <f>INT(ParkourResultat[[#This Row],[Resultat]])=ParkourResultat[[#This Row],[Resultat]]</f>
        <v>#VALUE!</v>
      </c>
      <c r="NJ48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8" s="96"/>
      <c r="NL48" s="91" t="str" cm="1">
        <f t="array" aca="1" ref="NL48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8" s="96" t="str">
        <f ca="1">LEFT(Geschlecht[[#This Row],[Geschlecht (Skala)]],1)&amp;NR$4</f>
        <v>2</v>
      </c>
      <c r="NN48" s="96" t="str">
        <f t="shared" ca="1" si="84"/>
        <v>Parkour_2[Resultat]</v>
      </c>
      <c r="NO48" s="97" t="str" cm="1">
        <f t="array" aca="1" ref="NO48" ca="1">IF(INDIRECT(NL$1)="","",IF(INDIRECT(NL$2)=0,0,IF(OR(INDIRECT(NL$1)=$A$2,INDIRECT(NL$1)=$A$3),$A$3,IFERROR(INDEX(INDIRECT(NN48),MATCH(INDIRECT(NL$3),INDIRECT(NN48),NN$25)),IFERROR(IF(NN$25=-1,MAX(INDIRECT(NN48)),IF(NN$25=1,MIN(INDIRECT(NN48)))),"")))))</f>
        <v/>
      </c>
      <c r="NQ48" s="91" t="str">
        <f t="shared" ca="1" si="85"/>
        <v>Parkour_2[Note]</v>
      </c>
      <c r="NR48" s="97" t="str" cm="1">
        <f t="array" aca="1" ref="NR48" ca="1">IFERROR(INDEX(INDIRECT(NQ48),MATCH(INDIRECT(NL$5),INDIRECT(NN48),0)),IF(INDIRECT(NL$5)=0,1,""))</f>
        <v/>
      </c>
      <c r="NS48" s="97"/>
      <c r="NT48" s="97" t="str" cm="1">
        <f t="array" aca="1" ref="NT48" ca="1">INDIRECT(NT$5)</f>
        <v/>
      </c>
      <c r="NU48" s="97" t="str" cm="1">
        <f t="array" aca="1" ref="NU48" ca="1">INDIRECT(NU$5)</f>
        <v/>
      </c>
      <c r="NV48" s="97" t="str" cm="1">
        <f t="array" aca="1" ref="NV48" ca="1">INDIRECT(NV$5)</f>
        <v/>
      </c>
      <c r="NW48" s="97" t="str" cm="1">
        <f t="array" aca="1" ref="NW48" ca="1">INDIRECT(NW$5)</f>
        <v/>
      </c>
      <c r="NX48" s="97" t="str">
        <f t="shared" ca="1" si="86"/>
        <v>Parkour nicht durchgeführt</v>
      </c>
      <c r="NY48" s="97" t="str">
        <f t="shared" ca="1" si="197"/>
        <v/>
      </c>
      <c r="NZ48" s="97" t="str" cm="1">
        <f t="array" aca="1" ref="NZ48" ca="1">IFERROR(IF(INDIRECT(INDEX(INDIRECT(NZ$5),MATCH(NX48,INDIRECT(NZ$4),0)))&lt;&gt;"",INDEX(INDIRECT(NZ$5),MATCH(NX48,INDIRECT(NZ$4),0)),INDEX(INDIRECT(NZ$6),MATCH(NX48,INDIRECT(NZ$4),0))),"")</f>
        <v/>
      </c>
      <c r="OA48" s="97" t="str">
        <f t="shared" ca="1" si="198"/>
        <v/>
      </c>
      <c r="OB48" s="97" t="str" cm="1">
        <f t="array" aca="1" ref="OB48" ca="1">IFERROR(INDIRECT(NZ48),IF(NOT(ISERROR(FIND(Stammdaten!$CC$3,NX48,1))),$A$2,""))</f>
        <v/>
      </c>
      <c r="OC48" s="97" t="str">
        <f ca="1">IF(OB48="","",IF(AND(NY48=Stammdaten!$BX$20,OA48="0",OB48=1),SUBSTITUTE(TEXT(OB48,OA48)&amp;" "&amp;LEFT(NY48,LEN(NY48)-1),".",","),SUBSTITUTE(TEXT(OB48,OA48)&amp;" "&amp;NY48,".",",")))</f>
        <v/>
      </c>
      <c r="OD48" s="97" t="str">
        <f t="shared" ca="1" si="87"/>
        <v/>
      </c>
      <c r="OE48" s="97" t="str" cm="1">
        <f t="array" aca="1" ref="OE48" ca="1">IFERROR(LEFT(INDIRECT(OD48),1)&amp;"]","")</f>
        <v/>
      </c>
      <c r="OF48" s="97" t="str">
        <f t="shared" ca="1" si="88"/>
        <v/>
      </c>
      <c r="OG48" s="97" t="str">
        <f ca="1">IFERROR(LEFT(NX48,FIND(Stammdaten!$CA$4,NX48,1)-2),IFERROR(LEFT(NX48,FIND(Stammdaten!$CC$3,NX48,1)-2),NX48))</f>
        <v>Parkour</v>
      </c>
      <c r="OH48" s="97" t="str">
        <f ca="1">IF(NOT(ISERROR(FIND(Stammdaten!$CA$4,NX48,1))),Stammdaten!$CA$4,IF(OI48&lt;&gt;Stammdaten!$CC$3,OF48,""))</f>
        <v>nicht durchgeführt</v>
      </c>
      <c r="OI48" s="91" t="str">
        <f ca="1">IF(OB48=$A$2,Stammdaten!$CC$3,OC48)</f>
        <v/>
      </c>
      <c r="OJ48" s="97" t="str">
        <f t="shared" ca="1" si="89"/>
        <v/>
      </c>
      <c r="OK48" s="97" t="str">
        <f t="shared" ca="1" si="90"/>
        <v/>
      </c>
      <c r="OL48" s="97">
        <f t="shared" ca="1" si="199"/>
        <v>0</v>
      </c>
      <c r="OM48" s="108">
        <f t="shared" ca="1" si="91"/>
        <v>0</v>
      </c>
      <c r="ON48" s="108">
        <f t="shared" ca="1" si="92"/>
        <v>0</v>
      </c>
      <c r="OO48" s="108" t="str">
        <f t="shared" ca="1" si="200"/>
        <v/>
      </c>
      <c r="OP48" s="97" t="str">
        <f ca="1">IF(OO48="",Stammdaten!$BZ$1,IF(AND(OM48=0,ON48&gt;=OO$25),$A$3,ROUND(SUM(OL48/OO48)/OP$25,0)*OP$25))</f>
        <v>Zu wenige Werte</v>
      </c>
      <c r="OQ48" s="108">
        <f t="shared" ca="1" si="201"/>
        <v>6</v>
      </c>
      <c r="OR48" s="97" t="str">
        <f t="shared" ca="1" si="202"/>
        <v/>
      </c>
      <c r="OS48" s="97" t="str">
        <f t="shared" ca="1" si="203"/>
        <v/>
      </c>
      <c r="OT48" s="97" t="str">
        <f t="shared" ca="1" si="204"/>
        <v/>
      </c>
      <c r="OU48" s="97" t="str">
        <f t="shared" ca="1" si="205"/>
        <v>g</v>
      </c>
      <c r="OV48" s="97" t="str">
        <f t="shared" ca="1" si="206"/>
        <v/>
      </c>
      <c r="OW48" s="97">
        <f t="shared" ca="1" si="207"/>
        <v>1</v>
      </c>
      <c r="OX48" s="97" t="str">
        <f ca="1">IF(OR(Geschlecht[[#This Row],[Geschlecht (Skala)]]="",NOT(ISNUMBER(OO48))),"",OW48)</f>
        <v/>
      </c>
      <c r="OY48" s="97" t="str">
        <f t="shared" ca="1" si="208"/>
        <v/>
      </c>
      <c r="OZ48" s="97"/>
      <c r="PA48" s="308" t="str">
        <f t="shared" ca="1" si="209"/>
        <v>Zu wenige Werte</v>
      </c>
      <c r="PB48" s="97"/>
      <c r="PC48" s="307"/>
      <c r="PD48" s="96" t="str">
        <f>IFERROR(IFERROR(SUBSTITUTE(TanzenResultat[[#This Row],[Eingabe]],".",",")*1,SUBSTITUTE(TanzenResultat[[#This Row],[Eingabe]],",",".")*1),"")</f>
        <v/>
      </c>
      <c r="PE48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8" s="96"/>
      <c r="PG48" s="91" t="str" cm="1">
        <f t="array" aca="1" ref="PG48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8" s="96" t="str">
        <f ca="1">LEFT(Geschlecht[[#This Row],[Geschlecht (Skala)]],1)&amp;PM$4</f>
        <v>2</v>
      </c>
      <c r="PI48" s="96" t="str">
        <f t="shared" ca="1" si="93"/>
        <v>Tanzen_2[Resultat]</v>
      </c>
      <c r="PJ48" s="97" t="str" cm="1">
        <f t="array" aca="1" ref="PJ48" ca="1">IF(INDIRECT(PG$1)="","",IF(INDIRECT(PG$2)=0,0,IF(OR(INDIRECT(PG$1)=$A$2,INDIRECT(PG$1)=$A$3),$A$3,IFERROR(INDEX(INDIRECT(PI48),MATCH(INDIRECT(PG$3),INDIRECT(PI48),PI$25)),IFERROR(IF(PI$25=-1,MAX(INDIRECT(PI48)),IF(PI$25=1,MIN(INDIRECT(PI48)))),"")))))</f>
        <v/>
      </c>
      <c r="PL48" s="91" t="str">
        <f t="shared" ca="1" si="94"/>
        <v>Tanzen_2[Note]</v>
      </c>
      <c r="PM48" s="97" t="str" cm="1">
        <f t="array" aca="1" ref="PM48" ca="1">IFERROR(INDEX(INDIRECT(PL48),MATCH(INDIRECT(PG$5),INDIRECT(PI48),0)),IF(INDIRECT(PG$5)=0,1,""))</f>
        <v/>
      </c>
      <c r="PN48" s="97"/>
      <c r="PO48" s="307"/>
      <c r="PP48" s="96" t="str">
        <f>IFERROR(IFERROR(SUBSTITUTE(RopeSkippingResultat[[#This Row],[Eingabe]],".",",")*1,SUBSTITUTE(RopeSkippingResultat[[#This Row],[Eingabe]],",",".")*1),"")</f>
        <v/>
      </c>
      <c r="PQ48" s="96" t="e">
        <f>INT(RopeSkippingResultat[[#This Row],[Resultat]])=RopeSkippingResultat[[#This Row],[Resultat]]</f>
        <v>#VALUE!</v>
      </c>
      <c r="PR48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8" s="96"/>
      <c r="PT48" s="91" t="str" cm="1">
        <f t="array" aca="1" ref="PT48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8" s="96" t="str">
        <f ca="1">LEFT(Geschlecht[[#This Row],[Geschlecht (Skala)]],1)&amp;PZ$4</f>
        <v>2</v>
      </c>
      <c r="PV48" s="96" t="str">
        <f t="shared" ca="1" si="95"/>
        <v>RopeSkipping_2[Resultat]</v>
      </c>
      <c r="PW48" s="97" t="str" cm="1">
        <f t="array" aca="1" ref="PW48" ca="1">IF(INDIRECT(PT$1)="","",IF(INDIRECT(PT$2)=0,0,IF(OR(INDIRECT(PT$1)=$A$2,INDIRECT(PT$1)=$A$3),$A$3,IFERROR(INDEX(INDIRECT(PV48),MATCH(INDIRECT(PT$3),INDIRECT(PV48),PV$25)),IFERROR(IF(PV$25=-1,MAX(INDIRECT(PV48)),IF(PV$25=1,MIN(INDIRECT(PV48)))),"")))))</f>
        <v/>
      </c>
      <c r="PY48" s="91" t="str">
        <f t="shared" ca="1" si="96"/>
        <v>RopeSkipping_2[Note]</v>
      </c>
      <c r="PZ48" s="97" t="str" cm="1">
        <f t="array" aca="1" ref="PZ48" ca="1">IFERROR(INDEX(INDIRECT(PY48),MATCH(INDIRECT(PT$5),INDIRECT(PV48),0)),IF(INDIRECT(PT$5)=0,1,""))</f>
        <v/>
      </c>
      <c r="QA48" s="97"/>
      <c r="QB48" s="307"/>
      <c r="QC48" s="96" t="str">
        <f>IFERROR(IFERROR(SUBSTITUTE(AerobicResultat[[#This Row],[Eingabe]],".",",")*1,SUBSTITUTE(AerobicResultat[[#This Row],[Eingabe]],",",".")*1),"")</f>
        <v/>
      </c>
      <c r="QD48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8" s="96"/>
      <c r="QF48" s="91" t="str" cm="1">
        <f t="array" aca="1" ref="QF48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8" s="96" t="str">
        <f ca="1">LEFT(Geschlecht[[#This Row],[Geschlecht (Skala)]],1)&amp;QL$4</f>
        <v>2</v>
      </c>
      <c r="QH48" s="96" t="str">
        <f t="shared" ca="1" si="97"/>
        <v>Aerobic_2[Resultat]</v>
      </c>
      <c r="QI48" s="97" t="str" cm="1">
        <f t="array" aca="1" ref="QI48" ca="1">IF(INDIRECT(QF$1)="","",IF(INDIRECT(QF$2)=0,0,IF(OR(INDIRECT(QF$1)=$A$2,INDIRECT(QF$1)=$A$3),$A$3,IFERROR(INDEX(INDIRECT(QH48),MATCH(INDIRECT(QF$3),INDIRECT(QH48),QH$25)),IFERROR(IF(QH$25=-1,MAX(INDIRECT(QH48)),IF(QH$25=1,MIN(INDIRECT(QH48)))),"")))))</f>
        <v/>
      </c>
      <c r="QK48" s="91" t="str">
        <f t="shared" ca="1" si="98"/>
        <v>Aerobic_2[Note]</v>
      </c>
      <c r="QL48" s="97" t="str" cm="1">
        <f t="array" aca="1" ref="QL48" ca="1">IFERROR(INDEX(INDIRECT(QK48),MATCH(INDIRECT(QF$5),INDIRECT(QH48),0)),IF(INDIRECT(QF$5)=0,1,""))</f>
        <v/>
      </c>
      <c r="QM48" s="97"/>
      <c r="QN48" s="97" t="str" cm="1">
        <f t="array" aca="1" ref="QN48" ca="1">INDIRECT(QN$5)</f>
        <v/>
      </c>
      <c r="QO48" s="97" t="str" cm="1">
        <f t="array" aca="1" ref="QO48" ca="1">INDIRECT(QO$5)</f>
        <v/>
      </c>
      <c r="QP48" s="97" t="str" cm="1">
        <f t="array" aca="1" ref="QP48" ca="1">INDIRECT(QP$5)</f>
        <v/>
      </c>
      <c r="QQ48" s="97" t="str" cm="1">
        <f t="array" aca="1" ref="QQ48" ca="1">INDIRECT(QQ$5)</f>
        <v/>
      </c>
      <c r="QR48" s="97" t="str" cm="1">
        <f t="array" aca="1" ref="QR48" ca="1">INDIRECT(QR$5)</f>
        <v/>
      </c>
      <c r="QS48" s="97" t="str" cm="1">
        <f t="array" aca="1" ref="QS48" ca="1">INDIRECT(QS$5)</f>
        <v/>
      </c>
      <c r="QT48" s="97" t="str">
        <f t="shared" ca="1" si="99"/>
        <v>Darstellen und Tanzen nicht durchgeführt</v>
      </c>
      <c r="QU48" s="108">
        <f t="shared" ca="1" si="100"/>
        <v>0</v>
      </c>
      <c r="QV48" s="108">
        <f t="shared" ca="1" si="101"/>
        <v>0</v>
      </c>
      <c r="QW48" s="108" t="str">
        <f t="shared" ca="1" si="210"/>
        <v/>
      </c>
      <c r="QX48" s="97" t="str">
        <f t="shared" ca="1" si="211"/>
        <v>Darstellen und Tanzen nicht durchgeführt</v>
      </c>
      <c r="QY48" s="97" t="str">
        <f t="shared" ca="1" si="212"/>
        <v/>
      </c>
      <c r="QZ48" s="97" t="str" cm="1">
        <f t="array" aca="1" ref="QZ48" ca="1">IFERROR(IF(INDIRECT(INDEX(INDIRECT(QZ$5),MATCH(QX48,INDIRECT(QZ$4),0)))&lt;&gt;"",INDEX(INDIRECT(QZ$5),MATCH(QX48,INDIRECT(QZ$4),0)),INDEX(INDIRECT(QZ$6),MATCH(QX48,INDIRECT(QZ$4),0))),"")</f>
        <v/>
      </c>
      <c r="RA48" s="97" t="str">
        <f t="shared" ca="1" si="213"/>
        <v/>
      </c>
      <c r="RB48" s="97" t="str" cm="1">
        <f t="array" aca="1" ref="RB48" ca="1">IFERROR(INDIRECT(QZ48),IF(NOT(ISERROR(FIND(Stammdaten!$CC$3,QX48,1))),$A$2,""))</f>
        <v/>
      </c>
      <c r="RC48" s="97" t="str">
        <f ca="1">IF(RB48="","",IF(AND(QY48=Stammdaten!$BX$20,RA48="0",RB48=1),SUBSTITUTE(TEXT(RB48,RA48)&amp;" "&amp;LEFT(QY48,LEN(QY48)-1),".",","),SUBSTITUTE(TEXT(RB48,RA48)&amp;" "&amp;QY48,".",",")))</f>
        <v/>
      </c>
      <c r="RD48" s="97" t="str">
        <f t="shared" ca="1" si="102"/>
        <v/>
      </c>
      <c r="RE48" s="97" t="str" cm="1">
        <f t="array" aca="1" ref="RE48" ca="1">IFERROR(LEFT(INDIRECT(RD48),1)&amp;"]","")</f>
        <v/>
      </c>
      <c r="RF48" s="97" t="str">
        <f t="shared" ca="1" si="103"/>
        <v/>
      </c>
      <c r="RG48" s="97" t="str">
        <f ca="1">IFERROR(LEFT(QX48,FIND(Stammdaten!$CA$4,QX48,1)-2),IFERROR(LEFT(QX48,FIND(Stammdaten!$CC$3,QX48,1)-2),QX48))</f>
        <v>Darstellen und Tanzen</v>
      </c>
      <c r="RH48" s="97" t="str">
        <f ca="1">IF(NOT(ISERROR(FIND(Stammdaten!$CA$4,QX48,1))),Stammdaten!$CA$4,IF(RI48&lt;&gt;Stammdaten!$CC$3,RF48,""))</f>
        <v>nicht durchgeführt</v>
      </c>
      <c r="RI48" s="91" t="str">
        <f ca="1">IF(RB48=$A$2,Stammdaten!$CC$3,RC48)</f>
        <v/>
      </c>
      <c r="RJ48" s="108">
        <f t="shared" ca="1" si="214"/>
        <v>6</v>
      </c>
      <c r="RK48" s="97"/>
      <c r="RL48" s="308" t="str">
        <f ca="1">IF(QT48=$QT$4,Stammdaten!$BZ$1,IF(QT48=$QT$5,$A$3,QT48))</f>
        <v>Zu wenige Werte</v>
      </c>
      <c r="RM48" s="97"/>
      <c r="RN48" s="307"/>
      <c r="RO48" s="96" t="str">
        <f>IFERROR(IFERROR(SUBSTITUTE(BasketballResultat[[#This Row],[Eingabe]],".",",")*1,SUBSTITUTE(BasketballResultat[[#This Row],[Eingabe]],",",".")*1),"")</f>
        <v/>
      </c>
      <c r="RP48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8" s="96"/>
      <c r="RR48" s="91" t="str" cm="1">
        <f t="array" aca="1" ref="RR48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8" s="96" t="str">
        <f ca="1">LEFT(Geschlecht[[#This Row],[Geschlecht (Skala)]],1)&amp;RX$4</f>
        <v>2</v>
      </c>
      <c r="RT48" s="96" t="str">
        <f t="shared" ca="1" si="104"/>
        <v>Basketball_2[Resultat]</v>
      </c>
      <c r="RU48" s="97" t="str" cm="1">
        <f t="array" aca="1" ref="RU48" ca="1">IF(INDIRECT(RR$1)="","",IF(INDIRECT(RR$2)=0,0,IF(OR(INDIRECT(RR$1)=$A$2,INDIRECT(RR$1)=$A$3),$A$3,IFERROR(INDEX(INDIRECT(RT48),MATCH(INDIRECT(RR$3),INDIRECT(RT48),RT$25)),IFERROR(IF(RT$25=-1,MAX(INDIRECT(RT48)),IF(RT$25=1,MIN(INDIRECT(RT48)))),"")))))</f>
        <v/>
      </c>
      <c r="RW48" s="91" t="str">
        <f t="shared" ca="1" si="105"/>
        <v>Basketball_2[Note]</v>
      </c>
      <c r="RX48" s="97" t="str" cm="1">
        <f t="array" aca="1" ref="RX48" ca="1">IFERROR(INDEX(INDIRECT(RW48),MATCH(INDIRECT(RR$5),INDIRECT(RT48),0)),IF(INDIRECT(RR$5)=0,1,""))</f>
        <v/>
      </c>
      <c r="RY48" s="97"/>
      <c r="RZ48" s="307"/>
      <c r="SA48" s="96" t="str">
        <f>IFERROR(IFERROR(SUBSTITUTE(FussballResultat[[#This Row],[Eingabe]],".",",")*1,SUBSTITUTE(FussballResultat[[#This Row],[Eingabe]],",",".")*1),"")</f>
        <v/>
      </c>
      <c r="SB48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8" s="96"/>
      <c r="SD48" s="316" t="str" cm="1">
        <f t="array" aca="1" ref="SD48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8" s="96" t="str">
        <f ca="1">LEFT(Geschlecht[[#This Row],[Geschlecht (Skala)]],1)&amp;SJ$4</f>
        <v>2</v>
      </c>
      <c r="SF48" s="96" t="str">
        <f t="shared" ca="1" si="106"/>
        <v>Fussball_2[Resultat]</v>
      </c>
      <c r="SG48" s="97" t="str" cm="1">
        <f t="array" aca="1" ref="SG48" ca="1">IF(INDIRECT(SD$1)="","",IF(INDIRECT(SD$2)=0,0,IF(OR(INDIRECT(SD$1)=$A$2,INDIRECT(SD$1)=$A$3),$A$3,IFERROR(INDEX(INDIRECT(SF48),MATCH(INDIRECT(SD$3),INDIRECT(SF48),SF$25)),IFERROR(IF(SF$25=-1,MAX(INDIRECT(SF48)),IF(SF$25=1,MIN(INDIRECT(SF48)))),"")))))</f>
        <v/>
      </c>
      <c r="SI48" s="91" t="str">
        <f t="shared" ca="1" si="107"/>
        <v>Fussball_2[Note]</v>
      </c>
      <c r="SJ48" s="97" t="str" cm="1">
        <f t="array" aca="1" ref="SJ48" ca="1">IFERROR(INDEX(INDIRECT(SI48),MATCH(INDIRECT(SD$5),INDIRECT(SF48),0)),IF(INDIRECT(SD$5)=0,1,""))</f>
        <v/>
      </c>
      <c r="SK48" s="97"/>
      <c r="SL48" s="307"/>
      <c r="SM48" s="96" t="str">
        <f>IFERROR(IFERROR(SUBSTITUTE(HandballResultat[[#This Row],[Eingabe]],".",",")*1,SUBSTITUTE(HandballResultat[[#This Row],[Eingabe]],",",".")*1),"")</f>
        <v/>
      </c>
      <c r="SN48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8" s="96"/>
      <c r="SP48" s="91" t="str" cm="1">
        <f t="array" aca="1" ref="SP48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8" s="96" t="str">
        <f ca="1">LEFT(Geschlecht[[#This Row],[Geschlecht (Skala)]],1)&amp;SV$4</f>
        <v>2</v>
      </c>
      <c r="SR48" s="96" t="str">
        <f t="shared" ca="1" si="108"/>
        <v>Handball_2[Resultat]</v>
      </c>
      <c r="SS48" s="97" t="str" cm="1">
        <f t="array" aca="1" ref="SS48" ca="1">IF(INDIRECT(SP$1)="","",IF(INDIRECT(SP$2)=0,0,IF(OR(INDIRECT(SP$1)=$A$2,INDIRECT(SP$1)=$A$3),$A$3,IFERROR(INDEX(INDIRECT(SR48),MATCH(INDIRECT(SP$3),INDIRECT(SR48),SR$25)),IFERROR(IF(SR$25=-1,MAX(INDIRECT(SR48)),IF(SR$25=1,MIN(INDIRECT(SR48)))),"")))))</f>
        <v/>
      </c>
      <c r="SU48" s="91" t="str">
        <f t="shared" ca="1" si="109"/>
        <v>Handball_2[Note]</v>
      </c>
      <c r="SV48" s="97" t="str" cm="1">
        <f t="array" aca="1" ref="SV48" ca="1">IFERROR(INDEX(INDIRECT(SU48),MATCH(INDIRECT(SP$5),INDIRECT(SR48),0)),IF(INDIRECT(SP$5)=0,1,""))</f>
        <v/>
      </c>
      <c r="SW48" s="97"/>
      <c r="SX48" s="307"/>
      <c r="SY48" s="96" t="str">
        <f>IFERROR(IFERROR(SUBSTITUTE(UnihockeyResultat[[#This Row],[Eingabe]],".",",")*1,SUBSTITUTE(UnihockeyResultat[[#This Row],[Eingabe]],",",".")*1),"")</f>
        <v/>
      </c>
      <c r="SZ48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8" s="96"/>
      <c r="TB48" s="91" t="str" cm="1">
        <f t="array" aca="1" ref="TB48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8" s="96" t="str">
        <f ca="1">LEFT(Geschlecht[[#This Row],[Geschlecht (Skala)]],1)&amp;TH$4</f>
        <v>2</v>
      </c>
      <c r="TD48" s="96" t="str">
        <f t="shared" ca="1" si="110"/>
        <v>Unihockey_2[Resultat]</v>
      </c>
      <c r="TE48" s="97" t="str" cm="1">
        <f t="array" aca="1" ref="TE48" ca="1">IF(INDIRECT(TB$1)="","",IF(INDIRECT(TB$2)=0,0,IF(OR(INDIRECT(TB$1)=$A$2,INDIRECT(TB$1)=$A$3),$A$3,IFERROR(INDEX(INDIRECT(TD48),MATCH(INDIRECT(TB$3),INDIRECT(TD48),TD$25)),IFERROR(IF(TD$25=-1,MAX(INDIRECT(TD48)),IF(TD$25=1,MIN(INDIRECT(TD48)))),"")))))</f>
        <v/>
      </c>
      <c r="TG48" s="91" t="str">
        <f t="shared" ca="1" si="111"/>
        <v>Unihockey_2[Note]</v>
      </c>
      <c r="TH48" s="97" t="str" cm="1">
        <f t="array" aca="1" ref="TH48" ca="1">IFERROR(INDEX(INDIRECT(TG48),MATCH(INDIRECT(TB$5),INDIRECT(TD48),0)),IF(INDIRECT(TB$5)=0,1,""))</f>
        <v/>
      </c>
      <c r="TI48" s="97"/>
      <c r="TJ48" s="307"/>
      <c r="TK48" s="96" t="str">
        <f>IFERROR(IFERROR(SUBSTITUTE(VolleyballResultat[[#This Row],[Eingabe]],".",",")*1,SUBSTITUTE(VolleyballResultat[[#This Row],[Eingabe]],",",".")*1),"")</f>
        <v/>
      </c>
      <c r="TL48" s="96" t="e">
        <f>INT(VolleyballResultat[[#This Row],[Resultat]])=VolleyballResultat[[#This Row],[Resultat]]</f>
        <v>#VALUE!</v>
      </c>
      <c r="TM48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8" s="96"/>
      <c r="TO48" s="91" t="str" cm="1">
        <f t="array" aca="1" ref="TO48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8" s="96" t="str">
        <f ca="1">LEFT(Geschlecht[[#This Row],[Geschlecht (Skala)]],1)&amp;TU$4</f>
        <v>2</v>
      </c>
      <c r="TQ48" s="96" t="str">
        <f t="shared" ca="1" si="112"/>
        <v>Volleyball_2[Resultat]</v>
      </c>
      <c r="TR48" s="97" t="str" cm="1">
        <f t="array" aca="1" ref="TR48" ca="1">IF(INDIRECT(TO$1)="","",IF(INDIRECT(TO$2)=0,0,IF(OR(INDIRECT(TO$1)=$A$2,INDIRECT(TO$1)=$A$3),$A$3,IFERROR(INDEX(INDIRECT(TQ48),MATCH(INDIRECT(TO$3),INDIRECT(TQ48),TQ$25)),IFERROR(IF(TQ$25=-1,MAX(INDIRECT(TQ48)),IF(TQ$25=1,MIN(INDIRECT(TQ48)))),"")))))</f>
        <v/>
      </c>
      <c r="TT48" s="91" t="str">
        <f t="shared" ca="1" si="113"/>
        <v>Volleyball_2[Note]</v>
      </c>
      <c r="TU48" s="97" t="str" cm="1">
        <f t="array" aca="1" ref="TU48" ca="1">IFERROR(INDEX(INDIRECT(TT48),MATCH(INDIRECT(TO$5),INDIRECT(TQ48),0)),IF(INDIRECT(TO$5)=0,1,""))</f>
        <v/>
      </c>
      <c r="TV48" s="97"/>
      <c r="TW48" s="309" t="str" cm="1">
        <f t="array" aca="1" ref="TW48" ca="1">IF(AND(ISNUMBER(INDIRECT(TW$3)),INDIRECT(TW$3)&gt;1),INDIRECT(TW$3),"")</f>
        <v/>
      </c>
      <c r="TX48" s="309" t="str" cm="1">
        <f t="array" aca="1" ref="TX48" ca="1">IF(AND(ISNUMBER(INDIRECT(TX$3)),INDIRECT(TX$3)&gt;1),INDIRECT(TX$3),"")</f>
        <v/>
      </c>
      <c r="TY48" s="309" t="str" cm="1">
        <f t="array" aca="1" ref="TY48" ca="1">IF(AND(ISNUMBER(INDIRECT(TY$3)),INDIRECT(TY$3)&gt;1),INDIRECT(TY$3),"")</f>
        <v/>
      </c>
      <c r="TZ48" s="309" t="str" cm="1">
        <f t="array" aca="1" ref="TZ48" ca="1">IF(AND(ISNUMBER(INDIRECT(TZ$3)),INDIRECT(TZ$3)&gt;1),INDIRECT(TZ$3),"")</f>
        <v/>
      </c>
      <c r="UA48" s="309" t="str" cm="1">
        <f t="array" aca="1" ref="UA48" ca="1">IF(AND(ISNUMBER(INDIRECT(UA$3)),INDIRECT(UA$3)&gt;1),INDIRECT(UA$3),"")</f>
        <v/>
      </c>
      <c r="UB48" s="309" t="str">
        <f t="shared" ca="1" si="114"/>
        <v>x</v>
      </c>
      <c r="UC48" s="309" t="str">
        <f t="shared" ca="1" si="115"/>
        <v>y</v>
      </c>
      <c r="UD48" s="309" t="str">
        <f t="shared" ca="1" si="116"/>
        <v>z</v>
      </c>
      <c r="UE48" s="309" t="str">
        <f t="shared" ca="1" si="215"/>
        <v>a</v>
      </c>
      <c r="UF48" s="309" t="str" cm="1">
        <f t="array" aca="1" ref="UF48" ca="1">IF(UE48="a","",INDEX($TW$23:$UA$23,,MATCH(UE48,$TW48:$UA48,0)))</f>
        <v/>
      </c>
      <c r="UG48" s="309" t="str" cm="1">
        <f t="array" aca="1" ref="UG48" ca="1">IF(OR(UF48="",UF48&gt;=$UA$23),"",INDEX(INDIRECT(ADDRESS(ROW($TW$23),UF48+1)):$UA$23,,MATCH(UE48,INDIRECT(ADDRESS(ROW(),UF48+1)):$UA48,0)))</f>
        <v/>
      </c>
      <c r="UH48" s="309" t="str" cm="1">
        <f t="array" aca="1" ref="UH48" ca="1">IF(OR(UG48="",UG48&gt;=$UA$23),"",INDEX(INDIRECT(ADDRESS(ROW($TW$23),UG48+1)):$UA$23,,MATCH(UE48,INDIRECT(ADDRESS(ROW(),UG48+1)):$UA48,0)))</f>
        <v/>
      </c>
      <c r="UI48" s="309" t="str">
        <f t="shared" ca="1" si="216"/>
        <v>c</v>
      </c>
      <c r="UJ48" s="309" t="str" cm="1">
        <f t="array" aca="1" ref="UJ48" ca="1">IF(OR(UI48="b",UI48="c"),"",INDEX($TW$23:$UA$23,,MATCH(UI48,$TW48:$UA48,0)))</f>
        <v/>
      </c>
      <c r="UK48" s="309" t="str" cm="1">
        <f t="array" aca="1" ref="UK48" ca="1">IF(OR(UJ48="",UJ48&gt;=$UA$23),"",INDEX(INDIRECT(ADDRESS(ROW($TW$23),UJ48+1)):$UA$23,,MATCH(UI48,INDIRECT(ADDRESS(ROW(),UJ48+1)):$UA48,0)))</f>
        <v/>
      </c>
      <c r="UL48" s="309" t="str">
        <f t="shared" ca="1" si="117"/>
        <v/>
      </c>
      <c r="UM48" s="309" t="str">
        <f t="shared" ca="1" si="217"/>
        <v>e</v>
      </c>
      <c r="UN48" s="309" t="str">
        <f t="shared" ca="1" si="118"/>
        <v/>
      </c>
      <c r="UO48" s="309" t="str" cm="1">
        <f t="array" aca="1" ref="UO48" ca="1">IF(OR(UM48="d",UM48="e"),"",INDEX($TW$23:$UA$23,,MATCH(UM48,$TW48:$UA48,0)))</f>
        <v/>
      </c>
      <c r="UP48" s="309" t="str" cm="1">
        <f t="array" aca="1" ref="UP48" ca="1">IF(OR(UO48="",UO48&gt;=$UA$23),"",INDEX(INDIRECT(ADDRESS(ROW($TW$23),UO48+1)):$UA$23,,MATCH(UM48,INDIRECT(ADDRESS(ROW(),UO48+1)):$UA48,0)))</f>
        <v/>
      </c>
      <c r="UQ48" s="309" t="str" cm="1">
        <f t="array" aca="1" ref="UQ48" ca="1">IFERROR(IF(ISNUMBER(UF48),UF48,IF(ISNUMBER(UJ48),UJ48,IF(ISNUMBER(UN48),UN48,INDEX($TW$23:$UA$23,,MATCH(UB48,$TW48:$UA48,0))))),"x1")</f>
        <v>x1</v>
      </c>
      <c r="UR48" s="309" t="str" cm="1">
        <f t="array" aca="1" ref="UR48" ca="1">IFERROR(IF(ISNUMBER(UG48),UG48,IF(ISNUMBER(UK48),UK48,IF(ISNUMBER(UO48),UO48,INDEX($TW$23:$UA$23,,MATCH(UC48,$TW48:$UA48,0))))),IF(UQ48="x1","x2","x1"))</f>
        <v>x2</v>
      </c>
      <c r="US48" s="309" t="str" cm="1">
        <f t="array" aca="1" ref="US48" ca="1">IFERROR(IF(ISNUMBER(UH48),UH48,IF(ISNUMBER(UL48),UL48,IF(ISNUMBER(UP48),UP48,INDEX($TW$23:$UA$23,,MATCH(UD48,$TW48:$UA48,0))))),IF(UR48="x1","x2",IF(UR48="x2","x3","x1")))</f>
        <v>x3</v>
      </c>
      <c r="UT48" s="97" t="str" cm="1">
        <f t="array" aca="1" ref="UT48" ca="1">IF(OR(INDIRECT(UT$3)=$A$2,INDIRECT(UT$3)=$A$3),COLUMN(),"")</f>
        <v/>
      </c>
      <c r="UU48" s="97" t="str" cm="1">
        <f t="array" aca="1" ref="UU48" ca="1">IF(OR(INDIRECT(UU$3)=$A$2,INDIRECT(UU$3)=$A$3),COLUMN(),"")</f>
        <v/>
      </c>
      <c r="UV48" s="97" t="str" cm="1">
        <f t="array" aca="1" ref="UV48" ca="1">IF(OR(INDIRECT(UV$3)=$A$2,INDIRECT(UV$3)=$A$3),COLUMN(),"")</f>
        <v/>
      </c>
      <c r="UW48" s="97" t="str" cm="1">
        <f t="array" aca="1" ref="UW48" ca="1">IF(OR(INDIRECT(UW$3)=$A$2,INDIRECT(UW$3)=$A$3),COLUMN(),"")</f>
        <v/>
      </c>
      <c r="UX48" s="97" t="str" cm="1">
        <f t="array" aca="1" ref="UX48" ca="1">IF(OR(INDIRECT(UX$3)=$A$2,INDIRECT(UX$3)=$A$3),COLUMN(),"")</f>
        <v/>
      </c>
      <c r="UY48" s="97" t="str" cm="1">
        <f t="array" aca="1" ref="UY48" ca="1">IF(AND(ISNUMBER(INDIRECT(UY$3)),INDIRECT(UY$3)=0),COLUMN(),"")</f>
        <v/>
      </c>
      <c r="UZ48" s="97" t="str" cm="1">
        <f t="array" aca="1" ref="UZ48" ca="1">IF(AND(ISNUMBER(INDIRECT(UZ$3)),INDIRECT(UZ$3)=0),COLUMN(),"")</f>
        <v/>
      </c>
      <c r="VA48" s="97" t="str" cm="1">
        <f t="array" aca="1" ref="VA48" ca="1">IF(AND(ISNUMBER(INDIRECT(VA$3)),INDIRECT(VA$3)=0),COLUMN(),"")</f>
        <v/>
      </c>
      <c r="VB48" s="97" t="str" cm="1">
        <f t="array" aca="1" ref="VB48" ca="1">IF(AND(ISNUMBER(INDIRECT(VB$3)),INDIRECT(VB$3)=0),COLUMN(),"")</f>
        <v/>
      </c>
      <c r="VC48" s="97" t="str" cm="1">
        <f t="array" aca="1" ref="VC48" ca="1">IF(AND(ISNUMBER(INDIRECT(VC$3)),INDIRECT(VC$3)=0),COLUMN(),"")</f>
        <v/>
      </c>
      <c r="VD48" s="97" t="str">
        <f t="shared" ca="1" si="218"/>
        <v>x1</v>
      </c>
      <c r="VE48" s="97" t="str">
        <f t="shared" ca="1" si="219"/>
        <v>x2</v>
      </c>
      <c r="VF48" s="97" t="str">
        <f t="shared" ca="1" si="220"/>
        <v>x3</v>
      </c>
      <c r="VG48" s="97" t="str">
        <f ca="1">IFERROR(IF(ISNUMBER(VD48),VD48,SMALL($UY48:$VC48,VALUE(RIGHT(VD48,1)))),Stammdaten!$CB$17)</f>
        <v>Erste Spielsportart nicht durchgeführt</v>
      </c>
      <c r="VH48" s="97" t="str">
        <f ca="1">IFERROR(IF(ISNUMBER(VE48),VE48,SMALL($UY48:$VC48,VALUE(RIGHT(VE48,1)))),Stammdaten!$CB$18)</f>
        <v>Zweite Spielsportart nicht durchgeführt</v>
      </c>
      <c r="VI48" s="97" t="str">
        <f ca="1">IFERROR(IF(ISNUMBER(VF48),VF48,SMALL($UY48:$VC48,VALUE(RIGHT(VF48,1)))),Stammdaten!$CB$19)</f>
        <v>Dritte Spielsportart nicht durchgeführt</v>
      </c>
      <c r="VJ48" s="91" t="str" cm="1">
        <f t="array" aca="1" ref="VJ48" ca="1">IFERROR(INDIRECT(ADDRESS(ROW($TW$5),VG48)),VG48)</f>
        <v>Erste Spielsportart nicht durchgeführt</v>
      </c>
      <c r="VK48" s="97" t="str">
        <f t="shared" ca="1" si="221"/>
        <v/>
      </c>
      <c r="VL48" s="97" t="str" cm="1">
        <f t="array" aca="1" ref="VL48" ca="1">IFERROR(IF(INDIRECT(INDEX(INDIRECT(VL$5),MATCH(VJ48,INDIRECT(VL$4),0)))&lt;&gt;"",INDEX(INDIRECT(VL$5),MATCH(VJ48,INDIRECT(VL$4),0)),INDEX(INDIRECT(VL$6),MATCH(VJ48,INDIRECT(VL$4),0))),"")</f>
        <v/>
      </c>
      <c r="VM48" s="97" t="str">
        <f t="shared" ca="1" si="222"/>
        <v/>
      </c>
      <c r="VN48" s="97" t="str" cm="1">
        <f t="array" aca="1" ref="VN48" ca="1">IFERROR(INDIRECT(VL48),"")</f>
        <v/>
      </c>
      <c r="VO48" s="97" t="str">
        <f ca="1">IF(VN48="","",IF(AND(VK48=Stammdaten!$BX$20,VM48="0",VN48=1),SUBSTITUTE(TEXT(VN48,VM48)&amp;" "&amp;LEFT(VK48,LEN(VK48)-1),".",","),SUBSTITUTE(TEXT(VN48,VM48)&amp;" "&amp;VK48,".",",")))</f>
        <v/>
      </c>
      <c r="VP48" s="97" t="str">
        <f t="shared" ca="1" si="119"/>
        <v/>
      </c>
      <c r="VQ48" s="97" t="str" cm="1">
        <f t="array" aca="1" ref="VQ48" ca="1">IFERROR(LEFT(INDIRECT(VP48),1)&amp;"]","")</f>
        <v/>
      </c>
      <c r="VR48" s="97" t="str">
        <f t="shared" ca="1" si="120"/>
        <v/>
      </c>
      <c r="VS48" s="97" t="str">
        <f ca="1">IFERROR(LEFT(VJ48,FIND(Stammdaten!$CA$4,VJ48,1)-2),IFERROR(LEFT(VJ48,FIND(Stammdaten!$CC$3,VJ48,1)-2),VJ48))</f>
        <v>Erste Spielsportart</v>
      </c>
      <c r="VT48" s="97" t="str">
        <f ca="1">IF(NOT(ISERROR(FIND(Stammdaten!$CA$4,VJ48,1))),Stammdaten!$CA$4,IF(VU48&lt;&gt;Stammdaten!$CC$3,VR48,""))</f>
        <v>nicht durchgeführt</v>
      </c>
      <c r="VU48" s="91" t="str">
        <f ca="1">IF(VN48=$A$2,Stammdaten!$CC$3,VO48)</f>
        <v/>
      </c>
      <c r="VV48" s="91" t="str" cm="1">
        <f t="array" aca="1" ref="VV48" ca="1">IFERROR(INDIRECT(ADDRESS(ROW($TW$5),VH48)),VH48)</f>
        <v>Zweite Spielsportart nicht durchgeführt</v>
      </c>
      <c r="VW48" s="97" t="str">
        <f t="shared" ca="1" si="223"/>
        <v/>
      </c>
      <c r="VX48" s="97" t="str" cm="1">
        <f t="array" aca="1" ref="VX48" ca="1">IFERROR(IF(INDIRECT(INDEX(INDIRECT(VX$5),MATCH(VV48,INDIRECT(VX$4),0)))&lt;&gt;"",INDEX(INDIRECT(VX$5),MATCH(VV48,INDIRECT(VX$4),0)),INDEX(INDIRECT(VX$6),MATCH(VV48,INDIRECT(VX$4),0))),"")</f>
        <v/>
      </c>
      <c r="VY48" s="97" t="str">
        <f t="shared" ca="1" si="224"/>
        <v/>
      </c>
      <c r="VZ48" s="97" t="str" cm="1">
        <f t="array" aca="1" ref="VZ48" ca="1">IFERROR(INDIRECT(VX48),"")</f>
        <v/>
      </c>
      <c r="WA48" s="97" t="str">
        <f ca="1">IF(VZ48="","",IF(AND(VW48=Stammdaten!$BX$20,VY48="0",VZ48=1),SUBSTITUTE(TEXT(VZ48,VY48)&amp;" "&amp;LEFT(VW48,LEN(VW48)-1),".",","),SUBSTITUTE(TEXT(VZ48,VY48)&amp;" "&amp;VW48,".",",")))</f>
        <v/>
      </c>
      <c r="WB48" s="97" t="str">
        <f t="shared" ca="1" si="121"/>
        <v/>
      </c>
      <c r="WC48" s="97" t="str" cm="1">
        <f t="array" aca="1" ref="WC48" ca="1">IFERROR(LEFT(INDIRECT(WB48),1)&amp;"]","")</f>
        <v/>
      </c>
      <c r="WD48" s="97" t="str">
        <f t="shared" ca="1" si="122"/>
        <v/>
      </c>
      <c r="WE48" s="97" t="str">
        <f ca="1">IFERROR(LEFT(VV48,FIND(Stammdaten!$CA$4,VV48,1)-2),IFERROR(LEFT(VV48,FIND(Stammdaten!$CC$3,VV48,1)-2),VV48))</f>
        <v>Zweite Spielsportart</v>
      </c>
      <c r="WF48" s="97" t="str">
        <f ca="1">IF(NOT(ISERROR(FIND(Stammdaten!$CA$4,VV48,1))),Stammdaten!$CA$4,IF(WG48&lt;&gt;Stammdaten!$CC$3,WD48,""))</f>
        <v>nicht durchgeführt</v>
      </c>
      <c r="WG48" s="91" t="str">
        <f ca="1">IF(VZ48=$A$2,Stammdaten!$CC$3,WA48)</f>
        <v/>
      </c>
      <c r="WH48" s="91" t="str" cm="1">
        <f t="array" aca="1" ref="WH48" ca="1">IFERROR(INDIRECT(ADDRESS(ROW($TW$5),VI48)),VI48)</f>
        <v>Dritte Spielsportart nicht durchgeführt</v>
      </c>
      <c r="WI48" s="97" t="str">
        <f t="shared" ca="1" si="225"/>
        <v/>
      </c>
      <c r="WJ48" s="97" t="str" cm="1">
        <f t="array" aca="1" ref="WJ48" ca="1">IFERROR(IF(INDIRECT(INDEX(INDIRECT(WJ$5),MATCH(WH48,INDIRECT(WJ$4),0)))&lt;&gt;"",INDEX(INDIRECT(WJ$5),MATCH(WH48,INDIRECT(WJ$4),0)),INDEX(INDIRECT(WJ$6),MATCH(WH48,INDIRECT(WJ$4),0))),"")</f>
        <v/>
      </c>
      <c r="WK48" s="97" t="str">
        <f t="shared" ca="1" si="226"/>
        <v/>
      </c>
      <c r="WL48" s="97" t="str" cm="1">
        <f t="array" aca="1" ref="WL48" ca="1">IFERROR(INDIRECT(WJ48),"")</f>
        <v/>
      </c>
      <c r="WM48" s="97" t="str">
        <f ca="1">IF(WL48="","",IF(AND(WI48=Stammdaten!$BX$20,WK48="0",WL48=1),SUBSTITUTE(TEXT(WL48,WK48)&amp;" "&amp;LEFT(WI48,LEN(WI48)-1),".",","),SUBSTITUTE(TEXT(WL48,WK48)&amp;" "&amp;WI48,".",",")))</f>
        <v/>
      </c>
      <c r="WN48" s="97" t="str">
        <f t="shared" ca="1" si="123"/>
        <v/>
      </c>
      <c r="WO48" s="97" t="str" cm="1">
        <f t="array" aca="1" ref="WO48" ca="1">IFERROR(LEFT(INDIRECT(WN48),1)&amp;"]","")</f>
        <v/>
      </c>
      <c r="WP48" s="97" t="str">
        <f t="shared" ca="1" si="124"/>
        <v/>
      </c>
      <c r="WQ48" s="97" t="str">
        <f ca="1">IFERROR(LEFT(WH48,FIND(Stammdaten!$CA$4,WH48,1)-2),IFERROR(LEFT(WH48,FIND(Stammdaten!$CC$3,WH48,1)-2),WH48))</f>
        <v>Dritte Spielsportart</v>
      </c>
      <c r="WR48" s="97" t="str">
        <f ca="1">IF(NOT(ISERROR(FIND(Stammdaten!$CA$4,WH48,1))),Stammdaten!$CA$4,IF(WS48&lt;&gt;Stammdaten!$CC$3,WP48,""))</f>
        <v>nicht durchgeführt</v>
      </c>
      <c r="WS48" s="91" t="str">
        <f ca="1">IF(WL48=$A$2,Stammdaten!$CC$3,WM48)</f>
        <v/>
      </c>
      <c r="WT48" s="97" t="str" cm="1">
        <f t="array" aca="1" ref="WT48" ca="1">INDIRECT(WT$5)</f>
        <v/>
      </c>
      <c r="WU48" s="97" t="str" cm="1">
        <f t="array" aca="1" ref="WU48" ca="1">INDIRECT(WU$5)</f>
        <v/>
      </c>
      <c r="WV48" s="97" t="str" cm="1">
        <f t="array" aca="1" ref="WV48" ca="1">INDIRECT(WV$5)</f>
        <v/>
      </c>
      <c r="WW48" s="97" t="str" cm="1">
        <f t="array" aca="1" ref="WW48" ca="1">INDIRECT(WW$5)</f>
        <v/>
      </c>
      <c r="WX48" s="97" t="str" cm="1">
        <f t="array" aca="1" ref="WX48" ca="1">INDIRECT(WX$5)</f>
        <v/>
      </c>
      <c r="WY48" s="97" cm="1">
        <f t="array" aca="1" ref="WY48" ca="1">IF(INDIRECT(WY$5)&lt;&gt;"",INDIRECT(WY$5),0)</f>
        <v>0</v>
      </c>
      <c r="WZ48" s="97" cm="1">
        <f t="array" aca="1" ref="WZ48" ca="1">IF(INDIRECT(WZ$5)&lt;&gt;"",INDIRECT(WZ$5),0)</f>
        <v>0</v>
      </c>
      <c r="XA48" s="97" cm="1">
        <f t="array" aca="1" ref="XA48" ca="1">IF(INDIRECT(XA$5)&lt;&gt;"",INDIRECT(XA$5),0)</f>
        <v>0</v>
      </c>
      <c r="XB48" s="97" cm="1">
        <f t="array" aca="1" ref="XB48" ca="1">IF(INDIRECT(XB$5)&lt;&gt;"",INDIRECT(XB$5),0)</f>
        <v>0</v>
      </c>
      <c r="XC48" s="97" cm="1">
        <f t="array" aca="1" ref="XC48" ca="1">IF(INDIRECT(XC$5)&lt;&gt;"",INDIRECT(XC$5),0)</f>
        <v>0</v>
      </c>
      <c r="XD48" s="97">
        <f t="shared" ca="1" si="125"/>
        <v>0</v>
      </c>
      <c r="XE48" s="97">
        <f t="shared" ca="1" si="125"/>
        <v>0</v>
      </c>
      <c r="XF48" s="97">
        <f t="shared" ca="1" si="125"/>
        <v>0</v>
      </c>
      <c r="XG48" s="97">
        <f t="shared" ca="1" si="227"/>
        <v>0</v>
      </c>
      <c r="XH48" s="108">
        <f t="shared" ca="1" si="228"/>
        <v>0</v>
      </c>
      <c r="XI48" s="108">
        <f t="shared" ca="1" si="126"/>
        <v>0</v>
      </c>
      <c r="XJ48" s="108" t="str">
        <f t="shared" ca="1" si="229"/>
        <v/>
      </c>
      <c r="XK48" s="97" t="str">
        <f ca="1">IF(XJ48="",Stammdaten!$BZ$1,IF(AND(XH48=0,XI48&gt;=XJ$25),$A$3,ROUND(SUM(XG48/XJ48)/XK$25,0)*XK$25))</f>
        <v>Zu wenige Werte</v>
      </c>
      <c r="XL48" s="108">
        <f t="shared" ca="1" si="230"/>
        <v>6</v>
      </c>
      <c r="XM48" s="97" t="str">
        <f t="shared" ca="1" si="231"/>
        <v/>
      </c>
      <c r="XN48" s="97" t="str">
        <f t="shared" ca="1" si="232"/>
        <v/>
      </c>
      <c r="XO48" s="97" t="str">
        <f t="shared" ca="1" si="233"/>
        <v/>
      </c>
      <c r="XP48" s="97" t="str">
        <f t="shared" ca="1" si="234"/>
        <v/>
      </c>
      <c r="XQ48" s="97" t="str">
        <f t="shared" ca="1" si="235"/>
        <v>g</v>
      </c>
      <c r="XR48" s="97" t="str">
        <f t="shared" ca="1" si="236"/>
        <v/>
      </c>
      <c r="XS48" s="97">
        <f t="shared" ca="1" si="237"/>
        <v>1</v>
      </c>
      <c r="XT48" s="97" t="str">
        <f ca="1">IF(OR(Geschlecht[[#This Row],[Geschlecht (Skala)]]="",NOT(ISNUMBER(XJ48))),"",XS48)</f>
        <v/>
      </c>
      <c r="XU48" s="97" t="str">
        <f t="shared" ca="1" si="238"/>
        <v/>
      </c>
      <c r="XV48" s="97"/>
      <c r="XW48" s="308" t="str">
        <f t="shared" ca="1" si="127"/>
        <v>Zu wenige Werte</v>
      </c>
      <c r="XX48" s="97"/>
      <c r="XY48" s="97" t="str">
        <f t="shared" ca="1" si="128"/>
        <v>Zu wenige Werte</v>
      </c>
      <c r="XZ48" s="97" t="str">
        <f t="shared" ca="1" si="129"/>
        <v>Zu wenige Werte</v>
      </c>
      <c r="YA48" s="97" t="str">
        <f t="shared" ca="1" si="130"/>
        <v>Zu wenige Werte</v>
      </c>
      <c r="YB48" s="97" t="str">
        <f t="shared" ca="1" si="131"/>
        <v>Zu wenige Werte</v>
      </c>
      <c r="YC48" s="97">
        <f t="shared" ca="1" si="239"/>
        <v>0</v>
      </c>
      <c r="YD48" s="108">
        <f t="shared" ca="1" si="240"/>
        <v>0</v>
      </c>
      <c r="YE48" s="108">
        <f t="shared" ca="1" si="241"/>
        <v>0</v>
      </c>
      <c r="YF48" s="108" t="str">
        <f t="shared" ca="1" si="242"/>
        <v/>
      </c>
      <c r="YG48" s="97" t="str">
        <f ca="1">IF(YF48="",Stammdaten!$BZ$1,IF(YE48=YF$25,$A$3,ROUND(SUM(YC48/YF48)/YG$25,0)*YG$25))</f>
        <v>Zu wenige Werte</v>
      </c>
      <c r="YH48" s="97" t="str">
        <f ca="1">IF(NOT(ISNUMBER(XY48)),"",IF(YH$11&lt;&gt;"2+",TEXT(XY48,YH$11)&amp;" / ",IF(RIGHT(XY48*100,2)="00",TEXT(XY48,"0"&amp;Stammdaten!$AZ$3&amp;"0")&amp;" / ",XY48&amp;" / ")))</f>
        <v/>
      </c>
      <c r="YI48" s="97" t="str">
        <f ca="1">IF(NOT(ISNUMBER(XZ48)),"",IF(YI$11&lt;&gt;"2+",TEXT(XZ48,YI$11)&amp;" / ",IF(RIGHT(XZ48*100,2)="00",TEXT(XZ48,"0"&amp;Stammdaten!$AZ$3&amp;"0")&amp;" / ",XZ48&amp;" / ")))</f>
        <v/>
      </c>
      <c r="YJ48" s="97" t="str">
        <f ca="1">IF(NOT(ISNUMBER(YA48)),"",IF(YJ$11&lt;&gt;"2+",TEXT(YA48,YJ$11)&amp;" / ",IF(RIGHT(YA48*100,2)="00",TEXT(YA48,"0"&amp;Stammdaten!$AZ$3&amp;"0")&amp;" / ",YA48&amp;" / ")))</f>
        <v/>
      </c>
      <c r="YK48" s="97" t="str">
        <f ca="1">IF(NOT(ISNUMBER(YB48)),"",IF(YK$11&lt;&gt;"2+",TEXT(YB48,YK$11)&amp;" / ",IF(RIGHT(YB48*100,2)="00",TEXT(YB48,"0"&amp;Stammdaten!$AZ$3&amp;"0")&amp;" / ",YB48&amp;" / ")))</f>
        <v/>
      </c>
      <c r="YL48" s="97" t="str">
        <f t="shared" ca="1" si="243"/>
        <v/>
      </c>
      <c r="YM48" s="97" t="str">
        <f>IF(Geschlecht[[#This Row],[Geschlecht (Skala)]]="","",IF(ISNUMBER(XY48),1,IF(XY48=$A$3,$A$2,"R")))</f>
        <v/>
      </c>
      <c r="YN48" s="97" t="str">
        <f>IF(Geschlecht[[#This Row],[Geschlecht (Skala)]]="","",IF(ISNUMBER(XZ48),1,IF(XZ48=$A$3,$A$2,"R")))</f>
        <v/>
      </c>
      <c r="YO48" s="97" t="str">
        <f>IF(Geschlecht[[#This Row],[Geschlecht (Skala)]]="","",IF(ISNUMBER(YA48),1,IF(YA48=$A$3,$A$2,"R")))</f>
        <v/>
      </c>
      <c r="YP48" s="97" t="str">
        <f>IF(Geschlecht[[#This Row],[Geschlecht (Skala)]]="","",IF(ISNUMBER(YB48),1,IF(YB48=$A$3,$A$2,"R")))</f>
        <v/>
      </c>
      <c r="YQ48" s="97" t="str">
        <f t="shared" si="244"/>
        <v>g</v>
      </c>
      <c r="YR48" s="97" t="str">
        <f t="shared" ca="1" si="245"/>
        <v/>
      </c>
      <c r="YS48" s="97">
        <f t="shared" ca="1" si="246"/>
        <v>1</v>
      </c>
      <c r="YT48" s="97" t="str">
        <f ca="1">IF(OR(Geschlecht[[#This Row],[Geschlecht (Skala)]]="",NOT(ISNUMBER(YG48))),"",YS48)</f>
        <v/>
      </c>
      <c r="YU48" s="97"/>
      <c r="YV48" s="311" t="str">
        <f t="shared" si="247"/>
        <v>D</v>
      </c>
      <c r="YW48" s="302"/>
      <c r="YX48" s="311" t="str">
        <f t="shared" si="248"/>
        <v>D</v>
      </c>
      <c r="YY48" s="302"/>
      <c r="YZ48" s="311" t="str">
        <f t="shared" si="249"/>
        <v>D</v>
      </c>
      <c r="ZA48" s="302"/>
      <c r="ZB48" s="311" t="str">
        <f t="shared" si="250"/>
        <v>D</v>
      </c>
      <c r="ZC48" s="97"/>
      <c r="ZD48" s="97" t="str">
        <f t="shared" ca="1" si="132"/>
        <v/>
      </c>
      <c r="ZE48" s="97"/>
      <c r="ZF48" s="308" t="str">
        <f t="shared" ca="1" si="251"/>
        <v>Zu wenige Werte</v>
      </c>
      <c r="ZH48" s="317" t="s">
        <v>134</v>
      </c>
      <c r="ZJ48" s="91" t="str" cm="1">
        <f t="array" ref="ZJ48">IF(OR(Geschlecht[[#This Row],[Geschlecht (Skala)]]="",ZH48="",ZH48=Stammdaten!$BZ$5),"",REPLACE(INDEX(StdDisziplinen[TabÜberschriftNote],ZH$3),FIND("X",INDEX(StdDisziplinen[TabÜberschriftNote],ZH$3),1),1,Geschlecht[[#This Row],[Geschlecht (Skala)]]))</f>
        <v/>
      </c>
      <c r="ZK48" s="314"/>
      <c r="ZM48" s="315"/>
      <c r="ZN48" s="97" t="str">
        <f>IFERROR(IFERROR(SUBSTITUTE(SchwimmenResultatMin[[#This Row],[Min]],".",",")*1,SUBSTITUTE(SchwimmenResultatMin[[#This Row],[Min]],",",".")*1),"")</f>
        <v/>
      </c>
      <c r="ZO48" s="91" t="e">
        <f>INT(SchwimmenResultatMin[[#This Row],[Resultat]])=SchwimmenResultatMin[[#This Row],[Resultat]]</f>
        <v>#VALUE!</v>
      </c>
      <c r="ZP48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8" s="315"/>
      <c r="ZS48" s="97" t="str">
        <f>IFERROR(IFERROR(SUBSTITUTE(SchwimmenResultatSek[[#This Row],[Sek]],".",",")*1,SUBSTITUTE(SchwimmenResultatSek[[#This Row],[Sek]],",",".")*1),"")</f>
        <v/>
      </c>
      <c r="ZT48" s="108" t="e">
        <f>INT(SchwimmenResultatSek[[#This Row],[Resultat]])=SchwimmenResultatSek[[#This Row],[Resultat]]</f>
        <v>#VALUE!</v>
      </c>
      <c r="ZU48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8" s="97" t="str" cm="1">
        <f t="array" aca="1" ref="ZW48" ca="1">IF(AND(INDIRECT(ZW$2)="",INDIRECT(ZX$2)=""),"",IFERROR((INDIRECT(ZW$2)*$ZW$25)+INDIRECT(ZX$2),""))</f>
        <v/>
      </c>
      <c r="ZX48" s="91" t="str">
        <f ca="1">REPLACE(ZW$4,ZX$6,1,Geschlecht[[#This Row],[Geschlecht (Skala)]])</f>
        <v>Schwimmen_[Resultat]</v>
      </c>
      <c r="ZY48" s="91" t="str">
        <f ca="1">IFERROR(REPLACE($ZX48,FIND(Stammdaten!$V$2,$ZX48,1),LEN(Stammdaten!$V$2),Stammdaten!$BZ$9),"")</f>
        <v>Schwimmen_[Anzeige]</v>
      </c>
      <c r="ZZ48" s="97" t="str" cm="1">
        <f t="array" aca="1" ref="ZZ48" ca="1">IF(INDIRECT(ZW$3)="","",IF(INDIRECT(ZW$3)=0,0,IF(OR(INDIRECT(ZW$1)=$A$2,INDIRECT(ZW$1)=$A$3),$A$3,IFERROR(INDEX(INDIRECT(ZX48),MATCH(INDIRECT(ZW$3),INDIRECT(ZX48),ZY$25)),IFERROR(IF(ZY$25=-1,MAX(INDIRECT(ZX48)),IF(ZY$25=1,MIN(INDIRECT(ZX48)))),"")))))</f>
        <v/>
      </c>
      <c r="AAA48" s="97" t="str" cm="1">
        <f t="array" aca="1" ref="AAA48" ca="1">IF(INDIRECT(ZX$5)=0,0,IF(OR(INDIRECT(ZW$1)=$A$2,INDIRECT(ZW$1)=$A$3),$A$3,IFERROR(INDEX(INDIRECT($ZY48),MATCH(INDIRECT(ZX$5),INDIRECT($ZX48),0)),"")))</f>
        <v/>
      </c>
      <c r="AAC48" s="91" t="str">
        <f ca="1">REPLACE(ZW$6,ZX$6,1,Geschlecht[[#This Row],[Geschlecht (Skala)]])</f>
        <v>Schwimmen_[Note]</v>
      </c>
      <c r="AAD48" s="97" t="str" cm="1">
        <f t="array" aca="1" ref="AAD48" ca="1">IFERROR(INDEX(INDIRECT(AAC48),MATCH(INDIRECT(ZX$5),INDIRECT(ZX48),0)),IF(INDIRECT(ZX$5)=0,1,""))</f>
        <v/>
      </c>
      <c r="AAE48" s="97"/>
      <c r="AAF48" s="96" t="str">
        <f>ZwölfMinLaufHalleResultat[[#This Row],[Resultat]]</f>
        <v/>
      </c>
      <c r="AAG48" s="96"/>
      <c r="AAH48" s="97" t="str">
        <f ca="1">ZwölfMinLaufHalleSkalawert[[#This Row],[Skala-Wert]]</f>
        <v/>
      </c>
      <c r="AAJ48" s="97" t="str">
        <f ca="1">ZwölfMinLaufHalleNote[[#This Row],[Note]]</f>
        <v/>
      </c>
      <c r="AAK48" s="97"/>
      <c r="AAL48" s="96" t="str">
        <f>ZwölfMinLaufimFreienResultat[[#This Row],[Resultat]]</f>
        <v/>
      </c>
      <c r="AAM48" s="96"/>
      <c r="AAN48" s="97" t="str">
        <f ca="1">ZwölfMinLaufimFreienSkalawert[[#This Row],[Skala-Wert]]</f>
        <v/>
      </c>
      <c r="AAP48" s="97" t="str">
        <f ca="1">ZwölfMinLaufimFreienNote[[#This Row],[Note]]</f>
        <v/>
      </c>
      <c r="AAQ48" s="97"/>
      <c r="AAR48" s="307"/>
      <c r="AAS48" s="96" t="str">
        <f>IFERROR(IFERROR(SUBSTITUTE(BeweglichkeitResultat[[#This Row],[Eingabe]],".",",")*1,SUBSTITUTE(BeweglichkeitResultat[[#This Row],[Eingabe]],",",".")*1),"")</f>
        <v/>
      </c>
      <c r="AAT48" s="96" t="e">
        <f>INT(BeweglichkeitResultat[[#This Row],[Resultat]])=BeweglichkeitResultat[[#This Row],[Resultat]]</f>
        <v>#VALUE!</v>
      </c>
      <c r="AAU48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8" s="96"/>
      <c r="AAW48" s="91" t="str" cm="1">
        <f t="array" aca="1" ref="AAW48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8" s="96" t="str">
        <f ca="1">REPLACE(AAW$4,AAX$6,1,Geschlecht[[#This Row],[Geschlecht (Skala)]])</f>
        <v>Beweglichkeit_[Resultat]</v>
      </c>
      <c r="AAY48" s="96" t="str" cm="1">
        <f t="array" aca="1" ref="AAY48" ca="1">IF(OR(INDIRECT(AAW$1)=$A$2,INDIRECT(AAW$1)=$A$3),$A$3,IF(OR(INDIRECT(AAW$2)="",AND(Geschlecht[[#This Row],[Geschlecht (Skala)]]=Stammdaten!$D$7,INDIRECT(AAW$2)&lt;0)),"",IFERROR(INDEX(INDIRECT(AAX48),MATCH(INDIRECT(AAW$3),INDIRECT(AAX48),AAX$25)),IFERROR(IF(AAX$25=-1,MAX(INDIRECT(AAX48)),IF(AAX$25=1,MIN(INDIRECT(AAX48)))),""))))</f>
        <v/>
      </c>
      <c r="AAZ48" s="97" t="str" cm="1">
        <f t="array" aca="1" ref="AAZ48" ca="1">IF(INDIRECT(AAW$1)="","",IF(INDIRECT(AAW$1)=0,0,IF(OR(INDIRECT(AAW$1)=$A$2,INDIRECT(AAW$1)=$A$3),$A$3,IFERROR(INDEX(INDIRECT(AAY48),MATCH(INDIRECT(AAW$3),INDIRECT(AAY48),AAY$27)),IFERROR(IF(AAY$27=-1,MAX(INDIRECT(AAY48)),IF(AAY$27=1,MIN(INDIRECT(AAY48)))),"")))))</f>
        <v/>
      </c>
      <c r="ABA48" s="96" t="str">
        <f ca="1">REPLACE(AAW$6,AAX$6,1,Geschlecht[[#This Row],[Geschlecht (Skala)]])</f>
        <v>Beweglichkeit_[Note]</v>
      </c>
      <c r="ABB48" s="91" t="str" cm="1">
        <f t="array" aca="1" ref="ABB48" ca="1">IFERROR(INDEX(INDIRECT(ABA48),MATCH(INDIRECT(AAW$5),INDIRECT(AAX48),0)),"")</f>
        <v/>
      </c>
      <c r="ABC48" s="97" t="str" cm="1">
        <f t="array" aca="1" ref="ABC48" ca="1">IFERROR(INDEX(INDIRECT(ABB48),MATCH(INDIRECT(AAW$5),INDIRECT(AAY48),0)),"")</f>
        <v/>
      </c>
      <c r="ABD48" s="307"/>
      <c r="ABE48" s="96" t="str">
        <f>IFERROR(IFERROR(SUBSTITUTE(RumpfkraftResultat[[#This Row],[Eingabe]],".",",")*1,SUBSTITUTE(RumpfkraftResultat[[#This Row],[Eingabe]],",",".")*1),"")</f>
        <v/>
      </c>
      <c r="ABF48" s="96" t="e">
        <f>INT(RumpfkraftResultat[[#This Row],[Resultat]])=RumpfkraftResultat[[#This Row],[Resultat]]</f>
        <v>#VALUE!</v>
      </c>
      <c r="ABG48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8" s="96"/>
      <c r="ABI48" s="91" t="str" cm="1">
        <f t="array" aca="1" ref="ABI48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8" s="96" t="str">
        <f ca="1">REPLACE(ABI$4,ABJ$6,1,Geschlecht[[#This Row],[Geschlecht (Skala)]])</f>
        <v>Rumpfkraft_[Resultat]</v>
      </c>
      <c r="ABK48" s="97" t="str" cm="1">
        <f t="array" aca="1" ref="ABK48" ca="1">IF(INDIRECT(ABI$1)="","",IF(OR(INDIRECT(ABI$1)=$A$2,INDIRECT(ABI$1)=$A$3),$A$3,IFERROR(INDEX(INDIRECT(ABJ48),MATCH(INDIRECT(ABI$3),INDIRECT(ABJ48),ABJ$25)),IFERROR(IF(ABJ$25=-1,MAX(INDIRECT(ABJ48)),IF(ABJ$25=1,MIN(INDIRECT(ABJ48)))),""))))</f>
        <v/>
      </c>
      <c r="ABM48" s="91" t="str">
        <f ca="1">REPLACE(ABI$6,ABJ$6,1,Geschlecht[[#This Row],[Geschlecht (Skala)]])</f>
        <v>Rumpfkraft_[Note]</v>
      </c>
      <c r="ABN48" s="97" t="str" cm="1">
        <f t="array" aca="1" ref="ABN48" ca="1">IFERROR(INDEX(INDIRECT(ABM48),MATCH(INDIRECT(ABI$5),INDIRECT(ABJ48),0)),"")</f>
        <v/>
      </c>
      <c r="ABO48" s="97"/>
      <c r="ABP48" s="96" t="str">
        <f>SechzigmLaufResultat[[#This Row],[Resultat]]</f>
        <v/>
      </c>
      <c r="ABQ48" s="96"/>
      <c r="ABR48" s="97" t="str">
        <f ca="1">SechzigmLaufSkalawert[[#This Row],[Skala-Wert]]</f>
        <v/>
      </c>
      <c r="ABT48" s="97" t="str">
        <f ca="1">SechzigmLaufNote[[#This Row],[Note]]</f>
        <v/>
      </c>
      <c r="ABU48" s="97"/>
      <c r="ABV48" s="96" t="str">
        <f>AchtzigmLaufResultat[[#This Row],[Resultat]]</f>
        <v/>
      </c>
      <c r="ABW48" s="96"/>
      <c r="ABX48" s="97" t="str">
        <f ca="1">AchtzigmLaufSkalawert[[#This Row],[Skala-Wert]]</f>
        <v/>
      </c>
      <c r="ABZ48" s="97" t="str">
        <f ca="1">AchtzigmLaufNote[[#This Row],[Note]]</f>
        <v/>
      </c>
      <c r="ACA48" s="97"/>
      <c r="ACB48" s="307"/>
      <c r="ACC48" s="96" t="str">
        <f>IFERROR(IFERROR(SUBSTITUTE(KonditionsparcoursResultat[[#This Row],[Eingabe]],".",",")*1,SUBSTITUTE(KonditionsparcoursResultat[[#This Row],[Eingabe]],",",".")*1),"")</f>
        <v/>
      </c>
      <c r="ACD48" s="96" t="e">
        <f>INT(KonditionsparcoursResultat[[#This Row],[Resultat]])=KonditionsparcoursResultat[[#This Row],[Resultat]]</f>
        <v>#VALUE!</v>
      </c>
      <c r="ACE48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8" s="96"/>
      <c r="ACG48" s="91" t="str" cm="1">
        <f t="array" aca="1" ref="ACG48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8" s="96" t="str">
        <f ca="1">LEFT(Geschlecht[[#This Row],[Geschlecht (Skala)]],1)&amp;ACM$4</f>
        <v>2</v>
      </c>
      <c r="ACI48" s="96" t="str">
        <f t="shared" ca="1" si="133"/>
        <v>Konditionsparcours_2[Resultat]</v>
      </c>
      <c r="ACJ48" s="97" t="str" cm="1">
        <f t="array" aca="1" ref="ACJ48" ca="1">IF(INDIRECT(ACG$1)="","",IF(OR(INDIRECT(ACG$1)=$A$2,INDIRECT(ACG$1)=$A$3),$A$3,IFERROR(INDEX(INDIRECT(ACI48),MATCH(INDIRECT(ACG$3),INDIRECT(ACI48),ACI$25)),IFERROR(IF(ACI$25=-1,MAX(INDIRECT(ACI48)),IF(ACI$25=1,MIN(INDIRECT(ACI48)))),""))))</f>
        <v/>
      </c>
      <c r="ACL48" s="91" t="str">
        <f t="shared" ca="1" si="134"/>
        <v>Konditionsparcours_2[Note]</v>
      </c>
      <c r="ACM48" s="97" t="str" cm="1">
        <f t="array" aca="1" ref="ACM48" ca="1">IFERROR(INDEX(INDIRECT(ACL48),MATCH(INDIRECT(ACG$5),INDIRECT(ACI48),0)),"")</f>
        <v/>
      </c>
      <c r="ACN48" s="102"/>
    </row>
    <row r="49" spans="1:768">
      <c r="A49" s="305">
        <v>22</v>
      </c>
      <c r="B49" s="133"/>
      <c r="C49" s="133"/>
      <c r="E49" s="306"/>
      <c r="G49" s="307"/>
      <c r="H49" s="96" t="str">
        <f>IFERROR(IFERROR(SUBSTITUTE(SechzigmLaufResultat[[#This Row],[Eingabe]],".",",")*1,SUBSTITUTE(SechzigmLaufResultat[[#This Row],[Eingabe]],",",".")*1),"")</f>
        <v/>
      </c>
      <c r="I49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49" s="96"/>
      <c r="K49" s="91" t="str" cm="1">
        <f t="array" aca="1" ref="K49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49" s="96" t="str">
        <f ca="1">LEFT(Geschlecht[[#This Row],[Geschlecht (Skala)]],1)&amp;Q$4</f>
        <v>2</v>
      </c>
      <c r="M49" s="96" t="str">
        <f t="shared" ca="1" si="37"/>
        <v>SechzigmLauf_2[Resultat]</v>
      </c>
      <c r="N49" s="97" t="str" cm="1">
        <f t="array" aca="1" ref="N49" ca="1">IF(INDIRECT(K$1)="","",IF(INDIRECT(K$2)=0,0,IF(OR(INDIRECT(K$1)=$A$2,INDIRECT(K$1)=$A$3),$A$3,IFERROR(INDEX(INDIRECT(M49),MATCH(INDIRECT(K$3),INDIRECT(M49),M$25)),IFERROR(IF(M$25=-1,MAX(INDIRECT(M49)),IF(M$25=1,MIN(INDIRECT(M49)))),"")))))</f>
        <v/>
      </c>
      <c r="P49" s="91" t="str">
        <f t="shared" ca="1" si="38"/>
        <v>SechzigmLauf_2[Note]</v>
      </c>
      <c r="Q49" s="97" t="str" cm="1">
        <f t="array" aca="1" ref="Q49" ca="1">IFERROR(INDEX(INDIRECT(P49),MATCH(INDIRECT(K$5),INDIRECT(M49),0)),IF(INDIRECT(K$5)=0,1,""))</f>
        <v/>
      </c>
      <c r="R49" s="97"/>
      <c r="S49" s="307"/>
      <c r="T49" s="96" t="str">
        <f>IFERROR(IFERROR(SUBSTITUTE(AchtzigmLaufResultat[[#This Row],[Eingabe]],".",",")*1,SUBSTITUTE(AchtzigmLaufResultat[[#This Row],[Eingabe]],",",".")*1),"")</f>
        <v/>
      </c>
      <c r="U49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49" s="96"/>
      <c r="W49" s="91" t="str" cm="1">
        <f t="array" aca="1" ref="W49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49" s="96" t="str">
        <f ca="1">LEFT(Geschlecht[[#This Row],[Geschlecht (Skala)]],1)&amp;AC$4</f>
        <v>2</v>
      </c>
      <c r="Y49" s="96" t="str">
        <f t="shared" ca="1" si="39"/>
        <v>AchtzigmLauf_2[Resultat]</v>
      </c>
      <c r="Z49" s="97" t="str" cm="1">
        <f t="array" aca="1" ref="Z49" ca="1">IF(INDIRECT(W$1)="","",IF(INDIRECT(W$2)=0,0,IF(OR(INDIRECT(W$1)=$A$2,INDIRECT(W$1)=$A$3),$A$3,IFERROR(INDEX(INDIRECT(Y49),MATCH(INDIRECT(W$3),INDIRECT(Y49),Y$25)),IFERROR(IF(Y$25=-1,MAX(INDIRECT(Y49)),IF(Y$25=1,MIN(INDIRECT(Y49)))),"")))))</f>
        <v/>
      </c>
      <c r="AB49" s="91" t="str">
        <f t="shared" ca="1" si="40"/>
        <v>AchtzigmLauf_2[Note]</v>
      </c>
      <c r="AC49" s="97" t="str" cm="1">
        <f t="array" aca="1" ref="AC49" ca="1">IFERROR(INDEX(INDIRECT(AB49),MATCH(INDIRECT(W$5),INDIRECT(Y49),0)),IF(INDIRECT(W$5)=0,1,""))</f>
        <v/>
      </c>
      <c r="AD49" s="97"/>
      <c r="AE49" s="307"/>
      <c r="AF49" s="96" t="str">
        <f>IFERROR(IFERROR(SUBSTITUTE(ZwölfMinLaufHalleResultat[[#This Row],[Eingabe]],".",",")*1,SUBSTITUTE(ZwölfMinLaufHalleResultat[[#This Row],[Eingabe]],",",".")*1),"")</f>
        <v/>
      </c>
      <c r="AG49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49" s="96"/>
      <c r="AI49" s="91" t="str" cm="1">
        <f t="array" aca="1" ref="AI49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49" s="96" t="str">
        <f ca="1">LEFT(Geschlecht[[#This Row],[Geschlecht (Skala)]],1)&amp;AO$4</f>
        <v>2</v>
      </c>
      <c r="AK49" s="96" t="str">
        <f t="shared" ca="1" si="41"/>
        <v>ZwölfMinLaufHalle_2[Resultat]</v>
      </c>
      <c r="AL49" s="97" t="str" cm="1">
        <f t="array" aca="1" ref="AL49" ca="1">IF(INDIRECT(AI$1)="","",IF(INDIRECT(AI$2)=0,0,IF(OR(INDIRECT(AI$1)=$A$2,INDIRECT(AI$1)=$A$3),$A$3,IFERROR(INDEX(INDIRECT(AK49),MATCH(INDIRECT(AI$3),INDIRECT(AK49),AK$25)),IFERROR(IF(AK$25=-1,MAX(INDIRECT(AK49)),IF(AK$25=1,MIN(INDIRECT(AK49)))),"")))))</f>
        <v/>
      </c>
      <c r="AN49" s="91" t="str">
        <f t="shared" ca="1" si="42"/>
        <v>ZwölfMinLaufHalle_2[Note]</v>
      </c>
      <c r="AO49" s="97" t="str" cm="1">
        <f t="array" aca="1" ref="AO49" ca="1">IFERROR(INDEX(INDIRECT(AN49),MATCH(INDIRECT(AI$5),INDIRECT(AK49),0)),IF(INDIRECT(AI$5)=0,1,""))</f>
        <v/>
      </c>
      <c r="AP49" s="97"/>
      <c r="AQ49" s="307"/>
      <c r="AR49" s="96" t="str">
        <f>IFERROR(IFERROR(SUBSTITUTE(ZwölfMinLaufimFreienResultat[[#This Row],[Eingabe]],".",",")*1,SUBSTITUTE(ZwölfMinLaufimFreienResultat[[#This Row],[Eingabe]],",",".")*1),"")</f>
        <v/>
      </c>
      <c r="AS49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49" s="96"/>
      <c r="AU49" s="91" t="str" cm="1">
        <f t="array" aca="1" ref="AU49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49" s="96" t="str">
        <f ca="1">LEFT(Geschlecht[[#This Row],[Geschlecht (Skala)]],1)&amp;BA$4</f>
        <v>2</v>
      </c>
      <c r="AW49" s="96" t="str">
        <f t="shared" ca="1" si="43"/>
        <v>ZwölfMinLaufimFreien_2[Resultat]</v>
      </c>
      <c r="AX49" s="97" t="str" cm="1">
        <f t="array" aca="1" ref="AX49" ca="1">IF(INDIRECT(AU$1)="","",IF(INDIRECT(AU$2)=0,0,IF(OR(INDIRECT(AU$1)=$A$2,INDIRECT(AU$1)=$A$3),$A$3,IFERROR(INDEX(INDIRECT(AW49),MATCH(INDIRECT(AU$3),INDIRECT(AW49),AW$25)),IFERROR(IF(AW$25=-1,MAX(INDIRECT(AW49)),IF(AW$25=1,MIN(INDIRECT(AW49)))),"")))))</f>
        <v/>
      </c>
      <c r="AZ49" s="91" t="str">
        <f t="shared" ca="1" si="44"/>
        <v>ZwölfMinLaufimFreien_2[Note]</v>
      </c>
      <c r="BA49" s="97" t="str" cm="1">
        <f t="array" aca="1" ref="BA49" ca="1">IFERROR(INDEX(INDIRECT(AZ49),MATCH(INDIRECT(AU$5),INDIRECT(AW49),0)),IF(INDIRECT(AU$5)=0,1,""))</f>
        <v/>
      </c>
      <c r="BB49" s="97"/>
      <c r="BC49" s="307"/>
      <c r="BD49" s="96" t="str">
        <f>IFERROR(IFERROR(SUBSTITUTE(HochsprungResultat[[#This Row],[Eingabe]],".",",")*1,SUBSTITUTE(HochsprungResultat[[#This Row],[Eingabe]],",",".")*1),"")</f>
        <v/>
      </c>
      <c r="BE49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49" s="96"/>
      <c r="BG49" s="91" t="str" cm="1">
        <f t="array" aca="1" ref="BG49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49" s="96" t="str">
        <f ca="1">LEFT(Geschlecht[[#This Row],[Geschlecht (Skala)]],1)&amp;BM$4</f>
        <v>2</v>
      </c>
      <c r="BI49" s="96" t="str">
        <f t="shared" ca="1" si="45"/>
        <v>Hochsprung_2[Resultat]</v>
      </c>
      <c r="BJ49" s="97" t="str" cm="1">
        <f t="array" aca="1" ref="BJ49" ca="1">IF(INDIRECT(BG$1)="","",IF(INDIRECT(BG$2)=0,0,IF(OR(INDIRECT(BG$1)=$A$2,INDIRECT(BG$1)=$A$3),$A$3,IFERROR(INDEX(INDIRECT(BI49),MATCH(INDIRECT(BG$3),INDIRECT(BI49),BI$25)),IFERROR(IF(BI$25=-1,MAX(INDIRECT(BI49)),IF(BI$25=1,MIN(INDIRECT(BI49)))),"")))))</f>
        <v/>
      </c>
      <c r="BL49" s="91" t="str">
        <f t="shared" ca="1" si="46"/>
        <v>Hochsprung_2[Note]</v>
      </c>
      <c r="BM49" s="97" t="str" cm="1">
        <f t="array" aca="1" ref="BM49" ca="1">IFERROR(INDEX(INDIRECT(BL49),MATCH(INDIRECT(BG$5),INDIRECT(BI49),0)),IF(INDIRECT(BG$5)=0,1,""))</f>
        <v/>
      </c>
      <c r="BN49" s="97"/>
      <c r="BO49" s="307"/>
      <c r="BP49" s="96" t="str">
        <f>IFERROR(IFERROR(SUBSTITUTE(WeitsprungResultat[[#This Row],[Eingabe]],".",",")*1,SUBSTITUTE(WeitsprungResultat[[#This Row],[Eingabe]],",",".")*1),"")</f>
        <v/>
      </c>
      <c r="BQ49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49" s="96"/>
      <c r="BS49" s="91" t="str" cm="1">
        <f t="array" aca="1" ref="BS49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49" s="96" t="str">
        <f ca="1">LEFT(Geschlecht[[#This Row],[Geschlecht (Skala)]],1)&amp;BY$4</f>
        <v>2</v>
      </c>
      <c r="BU49" s="96" t="str">
        <f t="shared" ca="1" si="47"/>
        <v>Weitsprung_2[Resultat]</v>
      </c>
      <c r="BV49" s="97" t="str" cm="1">
        <f t="array" aca="1" ref="BV49" ca="1">IF(INDIRECT(BS$1)="","",IF(INDIRECT(BS$2)=0,0,IF(OR(INDIRECT(BS$1)=$A$2,INDIRECT(BS$1)=$A$3),$A$3,IFERROR(INDEX(INDIRECT(BU49),MATCH(INDIRECT(BS$3),INDIRECT(BU49),BU$25)),IFERROR(IF(BU$25=-1,MAX(INDIRECT(BU49)),IF(BU$25=1,MIN(INDIRECT(BU49)))),"")))))</f>
        <v/>
      </c>
      <c r="BX49" s="91" t="str">
        <f t="shared" ca="1" si="48"/>
        <v>Weitsprung_2[Note]</v>
      </c>
      <c r="BY49" s="97" t="str" cm="1">
        <f t="array" aca="1" ref="BY49" ca="1">IFERROR(INDEX(INDIRECT(BX49),MATCH(INDIRECT(BS$5),INDIRECT(BU49),0)),IF(INDIRECT(BS$5)=0,1,""))</f>
        <v/>
      </c>
      <c r="BZ49" s="97"/>
      <c r="CA49" s="307"/>
      <c r="CB49" s="96" t="str">
        <f>IFERROR(IFERROR(SUBSTITUTE(BallwurfResultat[[#This Row],[Eingabe]],".",",")*1,SUBSTITUTE(BallwurfResultat[[#This Row],[Eingabe]],",",".")*1),"")</f>
        <v/>
      </c>
      <c r="CC49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49" s="96"/>
      <c r="CE49" s="91" t="str" cm="1">
        <f t="array" aca="1" ref="CE49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49" s="96" t="str">
        <f ca="1">LEFT(Geschlecht[[#This Row],[Geschlecht (Skala)]],1)&amp;CK$4</f>
        <v>2</v>
      </c>
      <c r="CG49" s="96" t="str">
        <f t="shared" ca="1" si="49"/>
        <v>Ballwurf_2[Resultat]</v>
      </c>
      <c r="CH49" s="97" t="str" cm="1">
        <f t="array" aca="1" ref="CH49" ca="1">IF(INDIRECT(CE$1)="","",IF(INDIRECT(CE$2)=0,0,IF(OR(INDIRECT(CE$1)=$A$2,INDIRECT(CE$1)=$A$3),$A$3,IFERROR(INDEX(INDIRECT(CG49),MATCH(INDIRECT(CE$3),INDIRECT(CG49),CG$25)),IFERROR(IF(CG$25=-1,MAX(INDIRECT(CG49)),IF(CG$25=1,MIN(INDIRECT(CG49)))),"")))))</f>
        <v/>
      </c>
      <c r="CJ49" s="91" t="str">
        <f t="shared" ca="1" si="50"/>
        <v>Ballwurf_2[Note]</v>
      </c>
      <c r="CK49" s="97" t="str" cm="1">
        <f t="array" aca="1" ref="CK49" ca="1">IFERROR(INDEX(INDIRECT(CJ49),MATCH(INDIRECT(CE$5),INDIRECT(CG49),0)),IF(INDIRECT(CE$5)=0,1,""))</f>
        <v/>
      </c>
      <c r="CL49" s="97"/>
      <c r="CM49" s="307"/>
      <c r="CN49" s="96" t="str">
        <f>IFERROR(IFERROR(SUBSTITUTE(KugelstossenResultat[[#This Row],[Eingabe]],".",",")*1,SUBSTITUTE(KugelstossenResultat[[#This Row],[Eingabe]],",",".")*1),"")</f>
        <v/>
      </c>
      <c r="CO49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49" s="96"/>
      <c r="CQ49" s="91" t="str" cm="1">
        <f t="array" aca="1" ref="CQ49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49" s="96" t="str">
        <f ca="1">LEFT(Geschlecht[[#This Row],[Geschlecht (Skala)]],1)&amp;CW$4</f>
        <v>2</v>
      </c>
      <c r="CS49" s="96" t="str">
        <f t="shared" ca="1" si="51"/>
        <v>Kugelstossen_2[Resultat]</v>
      </c>
      <c r="CT49" s="97" t="str" cm="1">
        <f t="array" aca="1" ref="CT49" ca="1">IF(INDIRECT(CQ$1)="","",IF(INDIRECT(CQ$2)=0,0,IF(OR(INDIRECT(CQ$1)=$A$2,INDIRECT(CQ$1)=$A$3),$A$3,IFERROR(INDEX(INDIRECT(CS49),MATCH(INDIRECT(CQ$3),INDIRECT(CS49),CS$25)),IFERROR(IF(CS$25=-1,MAX(INDIRECT(CS49)),IF(CS$25=1,MIN(INDIRECT(CS49)))),"")))))</f>
        <v/>
      </c>
      <c r="CV49" s="91" t="str">
        <f t="shared" ca="1" si="52"/>
        <v>Kugelstossen_2[Note]</v>
      </c>
      <c r="CW49" s="97" t="str" cm="1">
        <f t="array" aca="1" ref="CW49" ca="1">IFERROR(INDEX(INDIRECT(CV49),MATCH(INDIRECT(CQ$5),INDIRECT(CS49),0)),IF(INDIRECT(CQ$5)=0,1,""))</f>
        <v/>
      </c>
      <c r="CX49" s="97"/>
      <c r="CY49" s="307"/>
      <c r="CZ49" s="96" t="str">
        <f>IFERROR(IFERROR(SUBSTITUTE(SpeerwurfResultat[[#This Row],[Eingabe]],".",",")*1,SUBSTITUTE(SpeerwurfResultat[[#This Row],[Eingabe]],",",".")*1),"")</f>
        <v/>
      </c>
      <c r="DA49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49" s="96"/>
      <c r="DC49" s="91" t="str" cm="1">
        <f t="array" aca="1" ref="DC49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49" s="96" t="str">
        <f ca="1">LEFT(Geschlecht[[#This Row],[Geschlecht (Skala)]],1)&amp;DI$4</f>
        <v>2</v>
      </c>
      <c r="DE49" s="96" t="str">
        <f t="shared" ca="1" si="53"/>
        <v>Speerwurf_2[Resultat]</v>
      </c>
      <c r="DF49" s="97" t="str" cm="1">
        <f t="array" aca="1" ref="DF49" ca="1">IF(INDIRECT(DC$1)="","",IF(INDIRECT(DC$2)=0,0,IF(OR(INDIRECT(DC$1)=$A$2,INDIRECT(DC$1)=$A$3),$A$3,IFERROR(INDEX(INDIRECT(DE49),MATCH(INDIRECT(DC$3),INDIRECT(DE49),DE$25)),IFERROR(IF(DE$25=-1,MAX(INDIRECT(DE49)),IF(DE$25=1,MIN(INDIRECT(DE49)))),"")))))</f>
        <v/>
      </c>
      <c r="DH49" s="91" t="str">
        <f t="shared" ca="1" si="54"/>
        <v>Speerwurf_2[Note]</v>
      </c>
      <c r="DI49" s="97" t="str" cm="1">
        <f t="array" aca="1" ref="DI49" ca="1">IFERROR(INDEX(INDIRECT(DH49),MATCH(INDIRECT(DC$5),INDIRECT(DE49),0)),IF(INDIRECT(DC$5)=0,1,""))</f>
        <v/>
      </c>
      <c r="DJ49" s="97"/>
      <c r="DK49" s="97" t="str" cm="1">
        <f t="array" aca="1" ref="DK49" ca="1">INDIRECT(DK$5)</f>
        <v/>
      </c>
      <c r="DL49" s="97" t="str" cm="1">
        <f t="array" aca="1" ref="DL49" ca="1">INDIRECT(DL$5)</f>
        <v/>
      </c>
      <c r="DM49" s="97" t="str" cm="1">
        <f t="array" aca="1" ref="DM49" ca="1">INDIRECT(DM$5)</f>
        <v/>
      </c>
      <c r="DN49" s="97" t="str" cm="1">
        <f t="array" aca="1" ref="DN49" ca="1">INDIRECT(DN$5)</f>
        <v/>
      </c>
      <c r="DO49" s="97" t="str">
        <f t="shared" ca="1" si="135"/>
        <v>Sprintdisziplinen nicht durchgeführt</v>
      </c>
      <c r="DP49" s="97" t="str">
        <f t="shared" ca="1" si="136"/>
        <v/>
      </c>
      <c r="DQ49" s="108">
        <f t="shared" ca="1" si="137"/>
        <v>0</v>
      </c>
      <c r="DR49" s="108">
        <f t="shared" ca="1" si="138"/>
        <v>0</v>
      </c>
      <c r="DS49" s="108" t="str">
        <f t="shared" ca="1" si="139"/>
        <v/>
      </c>
      <c r="DT49" s="97" t="str">
        <f t="shared" ca="1" si="140"/>
        <v>Sprintdisziplinen nicht durchgeführt</v>
      </c>
      <c r="DU49" s="97" t="str">
        <f t="shared" ca="1" si="141"/>
        <v/>
      </c>
      <c r="DV49" s="97" t="str" cm="1">
        <f t="array" aca="1" ref="DV49" ca="1">IFERROR(IF(INDIRECT(INDEX(INDIRECT(DV$5),MATCH(DT49,INDIRECT(DV$4),0)))&lt;&gt;"",INDEX(INDIRECT(DV$5),MATCH(DT49,INDIRECT(DV$4),0)),INDEX(INDIRECT(DV$6),MATCH(DT49,INDIRECT(DV$4),0))),"")</f>
        <v/>
      </c>
      <c r="DW49" s="97" t="str">
        <f t="shared" ca="1" si="142"/>
        <v/>
      </c>
      <c r="DX49" s="97" t="str" cm="1">
        <f t="array" aca="1" ref="DX49" ca="1">IFERROR(INDIRECT(DV49),IF(NOT(ISERROR(FIND(Stammdaten!$CC$3,DT49,1))),$A$2,""))</f>
        <v/>
      </c>
      <c r="DY49" s="97" t="str">
        <f ca="1">IF(DX49="","",IF(AND(DU49=Stammdaten!$BX$20,DW49="0",DX49=1),SUBSTITUTE(TEXT(DX49,DW49)&amp;" "&amp;LEFT(DU49,LEN(DU49)-1),".",","),SUBSTITUTE(TEXT(DX49,DW49)&amp;" "&amp;DU49,".",",")))</f>
        <v/>
      </c>
      <c r="DZ49" s="97" t="str">
        <f t="shared" ca="1" si="55"/>
        <v/>
      </c>
      <c r="EA49" s="97" t="str" cm="1">
        <f t="array" aca="1" ref="EA49" ca="1">IFERROR(LEFT(INDIRECT(DZ49),1)&amp;"]","")</f>
        <v/>
      </c>
      <c r="EB49" s="97" t="str">
        <f t="shared" ca="1" si="56"/>
        <v/>
      </c>
      <c r="EC49" s="97" t="str">
        <f ca="1">IFERROR(LEFT(DT49,FIND(Stammdaten!$CA$4,DT49,1)-2),IFERROR(LEFT(DT49,FIND(Stammdaten!$CC$3,DT49,1)-2),DT49))</f>
        <v>Sprintdisziplinen</v>
      </c>
      <c r="ED49" s="97" t="str">
        <f ca="1">IF(NOT(ISERROR(FIND(Stammdaten!$CA$4,DT49,1))),Stammdaten!$CA$4,IF(EE49&lt;&gt;Stammdaten!$CC$3,EB49,""))</f>
        <v>nicht durchgeführt</v>
      </c>
      <c r="EE49" s="91" t="str">
        <f ca="1">IF(DX49=$A$2,Stammdaten!$CC$3,DY49)</f>
        <v/>
      </c>
      <c r="EF49" s="97" t="str" cm="1">
        <f t="array" aca="1" ref="EF49" ca="1">INDIRECT(EF$5)</f>
        <v/>
      </c>
      <c r="EG49" s="97" t="str" cm="1">
        <f t="array" aca="1" ref="EG49" ca="1">INDIRECT(EG$5)</f>
        <v/>
      </c>
      <c r="EH49" s="97" t="str" cm="1">
        <f t="array" aca="1" ref="EH49" ca="1">INDIRECT(EH$5)</f>
        <v/>
      </c>
      <c r="EI49" s="97" t="str" cm="1">
        <f t="array" aca="1" ref="EI49" ca="1">INDIRECT(EI$5)</f>
        <v/>
      </c>
      <c r="EJ49" s="97" t="str">
        <f t="shared" ca="1" si="143"/>
        <v>Ausdauerdisziplinen nicht durchgeführt</v>
      </c>
      <c r="EK49" s="97" t="str">
        <f t="shared" ca="1" si="144"/>
        <v/>
      </c>
      <c r="EL49" s="108">
        <f t="shared" ca="1" si="145"/>
        <v>0</v>
      </c>
      <c r="EM49" s="108">
        <f t="shared" ca="1" si="146"/>
        <v>0</v>
      </c>
      <c r="EN49" s="108" t="str">
        <f t="shared" ca="1" si="147"/>
        <v/>
      </c>
      <c r="EO49" s="97" t="str">
        <f t="shared" ca="1" si="148"/>
        <v>Ausdauerdisziplinen nicht durchgeführt</v>
      </c>
      <c r="EP49" s="97" t="str">
        <f t="shared" ca="1" si="149"/>
        <v/>
      </c>
      <c r="EQ49" s="97" t="str" cm="1">
        <f t="array" aca="1" ref="EQ49" ca="1">IFERROR(IF(INDIRECT(INDEX(INDIRECT(EQ$5),MATCH(EO49,INDIRECT(EQ$4),0)))&lt;&gt;"",INDEX(INDIRECT(EQ$5),MATCH(EO49,INDIRECT(EQ$4),0)),INDEX(INDIRECT(EQ$6),MATCH(EO49,INDIRECT(EQ$4),0))),"")</f>
        <v/>
      </c>
      <c r="ER49" s="97" t="str">
        <f t="shared" ca="1" si="150"/>
        <v/>
      </c>
      <c r="ES49" s="97" t="str" cm="1">
        <f t="array" aca="1" ref="ES49" ca="1">IFERROR(INDIRECT(EQ49),IF(NOT(ISERROR(FIND(Stammdaten!$CC$3,EO49,1))),$A$2,""))</f>
        <v/>
      </c>
      <c r="ET49" s="97" t="str">
        <f ca="1">IF(ES49="","",IF(AND(EP49=Stammdaten!$BX$20,ER49="0",ES49=1),SUBSTITUTE(TEXT(ES49,ER49)&amp;" "&amp;LEFT(EP49,LEN(EP49)-1),".",","),SUBSTITUTE(TEXT(ES49,ER49)&amp;" "&amp;EP49,".",",")))</f>
        <v/>
      </c>
      <c r="EU49" s="97" t="str">
        <f t="shared" ca="1" si="57"/>
        <v/>
      </c>
      <c r="EV49" s="97" t="str" cm="1">
        <f t="array" aca="1" ref="EV49" ca="1">IFERROR(LEFT(INDIRECT(EU49),1)&amp;"]","")</f>
        <v/>
      </c>
      <c r="EW49" s="97" t="str">
        <f t="shared" ca="1" si="58"/>
        <v/>
      </c>
      <c r="EX49" s="97" t="str">
        <f ca="1">IFERROR(LEFT(EO49,FIND(Stammdaten!$CA$4,EO49,1)-2),IFERROR(LEFT(EO49,FIND(Stammdaten!$CC$3,EO49,1)-2),EO49))</f>
        <v>Ausdauerdisziplinen</v>
      </c>
      <c r="EY49" s="97" t="str">
        <f ca="1">IF(NOT(ISERROR(FIND(Stammdaten!$CA$4,EO49,1))),Stammdaten!$CA$4,IF(EZ49&lt;&gt;Stammdaten!$CC$3,EW49,""))</f>
        <v>nicht durchgeführt</v>
      </c>
      <c r="EZ49" s="91" t="str">
        <f ca="1">IF(ES49=$A$2,Stammdaten!$CC$3,ET49)</f>
        <v/>
      </c>
      <c r="FA49" s="97" t="str" cm="1">
        <f t="array" aca="1" ref="FA49" ca="1">INDIRECT(FA$5)</f>
        <v/>
      </c>
      <c r="FB49" s="97" t="str" cm="1">
        <f t="array" aca="1" ref="FB49" ca="1">INDIRECT(FB$5)</f>
        <v/>
      </c>
      <c r="FC49" s="97" t="str" cm="1">
        <f t="array" aca="1" ref="FC49" ca="1">INDIRECT(FC$5)</f>
        <v/>
      </c>
      <c r="FD49" s="97" t="str" cm="1">
        <f t="array" aca="1" ref="FD49" ca="1">INDIRECT(FD$5)</f>
        <v/>
      </c>
      <c r="FE49" s="97" t="str">
        <f t="shared" ca="1" si="151"/>
        <v>Sprungdisziplinen nicht durchgeführt</v>
      </c>
      <c r="FF49" s="97" t="str">
        <f t="shared" ca="1" si="152"/>
        <v/>
      </c>
      <c r="FG49" s="108">
        <f t="shared" ca="1" si="153"/>
        <v>0</v>
      </c>
      <c r="FH49" s="108">
        <f t="shared" ca="1" si="154"/>
        <v>0</v>
      </c>
      <c r="FI49" s="108" t="str">
        <f t="shared" ca="1" si="155"/>
        <v/>
      </c>
      <c r="FJ49" s="97" t="str">
        <f t="shared" ca="1" si="156"/>
        <v>Sprungdisziplinen nicht durchgeführt</v>
      </c>
      <c r="FK49" s="97" t="str">
        <f t="shared" ca="1" si="157"/>
        <v/>
      </c>
      <c r="FL49" s="97" t="str" cm="1">
        <f t="array" aca="1" ref="FL49" ca="1">IFERROR(IF(INDIRECT(INDEX(INDIRECT(FL$5),MATCH(FJ49,INDIRECT(FL$4),0)))&lt;&gt;"",INDEX(INDIRECT(FL$5),MATCH(FJ49,INDIRECT(FL$4),0)),INDEX(INDIRECT(FL$6),MATCH(FJ49,INDIRECT(FL$4),0))),"")</f>
        <v/>
      </c>
      <c r="FM49" s="97" t="str">
        <f t="shared" ca="1" si="158"/>
        <v/>
      </c>
      <c r="FN49" s="97" t="str" cm="1">
        <f t="array" aca="1" ref="FN49" ca="1">IFERROR(INDIRECT(FL49),IF(NOT(ISERROR(FIND(Stammdaten!$CC$3,FJ49,1))),$A$2,""))</f>
        <v/>
      </c>
      <c r="FO49" s="97" t="str">
        <f ca="1">IF(FN49="","",IF(AND(FK49=Stammdaten!$BX$20,FM49="0",FN49=1),SUBSTITUTE(TEXT(FN49,FM49)&amp;" "&amp;LEFT(FK49,LEN(FK49)-1),".",","),SUBSTITUTE(TEXT(FN49,FM49)&amp;" "&amp;FK49,".",",")))</f>
        <v/>
      </c>
      <c r="FP49" s="97" t="str">
        <f t="shared" ca="1" si="59"/>
        <v/>
      </c>
      <c r="FQ49" s="97" t="str" cm="1">
        <f t="array" aca="1" ref="FQ49" ca="1">IFERROR(LEFT(INDIRECT(FP49),1)&amp;"]","")</f>
        <v/>
      </c>
      <c r="FR49" s="97" t="str">
        <f t="shared" ca="1" si="60"/>
        <v/>
      </c>
      <c r="FS49" s="97" t="str">
        <f ca="1">IFERROR(LEFT(FJ49,FIND(Stammdaten!$CA$4,FJ49,1)-2),IFERROR(LEFT(FJ49,FIND(Stammdaten!$CC$3,FJ49,1)-2),FJ49))</f>
        <v>Sprungdisziplinen</v>
      </c>
      <c r="FT49" s="97" t="str">
        <f ca="1">IF(NOT(ISERROR(FIND(Stammdaten!$CA$4,FJ49,1))),Stammdaten!$CA$4,IF(FU49&lt;&gt;Stammdaten!$CC$3,FR49,""))</f>
        <v>nicht durchgeführt</v>
      </c>
      <c r="FU49" s="91" t="str">
        <f ca="1">IF(FN49=$A$2,Stammdaten!$CC$3,FO49)</f>
        <v/>
      </c>
      <c r="FV49" s="97" t="str" cm="1">
        <f t="array" aca="1" ref="FV49" ca="1">INDIRECT(FV$5)</f>
        <v/>
      </c>
      <c r="FW49" s="97" t="str" cm="1">
        <f t="array" aca="1" ref="FW49" ca="1">INDIRECT(FW$5)</f>
        <v/>
      </c>
      <c r="FX49" s="97" t="str" cm="1">
        <f t="array" aca="1" ref="FX49" ca="1">INDIRECT(FX$5)</f>
        <v/>
      </c>
      <c r="FY49" s="97" t="str" cm="1">
        <f t="array" aca="1" ref="FY49" ca="1">INDIRECT(FY$5)</f>
        <v/>
      </c>
      <c r="FZ49" s="97" t="str" cm="1">
        <f t="array" aca="1" ref="FZ49" ca="1">INDIRECT(FZ$5)</f>
        <v/>
      </c>
      <c r="GA49" s="97" t="str" cm="1">
        <f t="array" aca="1" ref="GA49" ca="1">INDIRECT(GA$5)</f>
        <v/>
      </c>
      <c r="GB49" s="97" t="str">
        <f t="shared" ca="1" si="159"/>
        <v>Wurfdisziplinen nicht durchgeführt</v>
      </c>
      <c r="GC49" s="97" t="str">
        <f t="shared" ca="1" si="160"/>
        <v/>
      </c>
      <c r="GD49" s="108">
        <f t="shared" ca="1" si="161"/>
        <v>0</v>
      </c>
      <c r="GE49" s="108">
        <f t="shared" ca="1" si="162"/>
        <v>0</v>
      </c>
      <c r="GF49" s="108" t="str">
        <f t="shared" ca="1" si="163"/>
        <v/>
      </c>
      <c r="GG49" s="97" t="str">
        <f t="shared" ca="1" si="164"/>
        <v>Wurfdisziplinen nicht durchgeführt</v>
      </c>
      <c r="GH49" s="97" t="str">
        <f t="shared" ca="1" si="165"/>
        <v/>
      </c>
      <c r="GI49" s="97" t="str" cm="1">
        <f t="array" aca="1" ref="GI49" ca="1">IFERROR(IF(INDIRECT(INDEX(INDIRECT(GI$5),MATCH(GG49,INDIRECT(GI$4),0)))&lt;&gt;"",INDEX(INDIRECT(GI$5),MATCH(GG49,INDIRECT(GI$4),0)),INDEX(INDIRECT(GI$6),MATCH(GG49,INDIRECT(GI$4),0))),"")</f>
        <v/>
      </c>
      <c r="GJ49" s="97" t="str">
        <f t="shared" ca="1" si="166"/>
        <v/>
      </c>
      <c r="GK49" s="97" t="str" cm="1">
        <f t="array" aca="1" ref="GK49" ca="1">IFERROR(INDIRECT(GI49),IF(NOT(ISERROR(FIND(Stammdaten!$CC$3,GG49,1))),$A$2,""))</f>
        <v/>
      </c>
      <c r="GL49" s="97" t="str">
        <f ca="1">IF(GK49="","",IF(AND(GH49=Stammdaten!$BX$20,GJ49="0",GK49=1),SUBSTITUTE(TEXT(GK49,GJ49)&amp;" "&amp;LEFT(GH49,LEN(GH49)-1),".",","),SUBSTITUTE(TEXT(GK49,GJ49)&amp;" "&amp;GH49,".",",")))</f>
        <v/>
      </c>
      <c r="GM49" s="97" t="str">
        <f t="shared" ca="1" si="61"/>
        <v/>
      </c>
      <c r="GN49" s="97" t="str" cm="1">
        <f t="array" aca="1" ref="GN49" ca="1">IFERROR(LEFT(INDIRECT(GM49),1)&amp;"]","")</f>
        <v/>
      </c>
      <c r="GO49" s="97" t="str">
        <f t="shared" ca="1" si="62"/>
        <v/>
      </c>
      <c r="GP49" s="97" t="str">
        <f ca="1">IFERROR(LEFT(GG49,FIND(Stammdaten!$CA$4,GG49,1)-2),IFERROR(LEFT(GG49,FIND(Stammdaten!$CC$3,GG49,1)-2),GG49))</f>
        <v>Wurfdisziplinen</v>
      </c>
      <c r="GQ49" s="97" t="str">
        <f ca="1">IF(NOT(ISERROR(FIND(Stammdaten!$CA$4,GG49,1))),Stammdaten!$CA$4,IF(GR49&lt;&gt;Stammdaten!$CC$3,GO49,""))</f>
        <v>nicht durchgeführt</v>
      </c>
      <c r="GR49" s="91" t="str">
        <f ca="1">IF(GK49=$A$2,Stammdaten!$CC$3,GL49)</f>
        <v/>
      </c>
      <c r="GS49" s="97" t="str">
        <f t="shared" ca="1" si="63"/>
        <v/>
      </c>
      <c r="GT49" s="97" t="str">
        <f t="shared" ca="1" si="64"/>
        <v/>
      </c>
      <c r="GU49" s="97" t="str">
        <f t="shared" ca="1" si="65"/>
        <v/>
      </c>
      <c r="GV49" s="97" t="str">
        <f t="shared" ca="1" si="66"/>
        <v/>
      </c>
      <c r="GW49" s="97">
        <f t="shared" ca="1" si="167"/>
        <v>0</v>
      </c>
      <c r="GX49" s="108">
        <f t="shared" ca="1" si="168"/>
        <v>0</v>
      </c>
      <c r="GY49" s="108">
        <f t="shared" ca="1" si="169"/>
        <v>0</v>
      </c>
      <c r="GZ49" s="108" t="str">
        <f t="shared" ca="1" si="170"/>
        <v/>
      </c>
      <c r="HA49" s="97" t="str">
        <f ca="1">IF(GZ49="",Stammdaten!$BZ$1,IF(AND(GX49=0,GY49&gt;=GZ$25),$A$3,ROUND(SUM(GW49/GZ49)/HA$25,0)*HA$25))</f>
        <v>Zu wenige Werte</v>
      </c>
      <c r="HB49" s="108">
        <f t="shared" ca="1" si="171"/>
        <v>6</v>
      </c>
      <c r="HC49" s="97" t="str">
        <f t="shared" ca="1" si="172"/>
        <v/>
      </c>
      <c r="HD49" s="97" t="str">
        <f t="shared" ca="1" si="173"/>
        <v/>
      </c>
      <c r="HE49" s="97" t="str">
        <f t="shared" ca="1" si="174"/>
        <v/>
      </c>
      <c r="HF49" s="97" t="str">
        <f t="shared" ca="1" si="175"/>
        <v/>
      </c>
      <c r="HG49" s="97" t="str">
        <f t="shared" ca="1" si="176"/>
        <v/>
      </c>
      <c r="HH49" s="97" t="str">
        <f t="shared" ca="1" si="177"/>
        <v>g</v>
      </c>
      <c r="HI49" s="97" t="str">
        <f t="shared" ca="1" si="178"/>
        <v/>
      </c>
      <c r="HJ49" s="97">
        <f t="shared" ca="1" si="179"/>
        <v>1</v>
      </c>
      <c r="HK49" s="97" t="str">
        <f ca="1">IF(OR(Geschlecht[[#This Row],[Geschlecht (Skala)]]="",NOT(ISNUMBER(GZ49))),"",HJ49)</f>
        <v/>
      </c>
      <c r="HL49" s="97" t="str">
        <f t="shared" ca="1" si="180"/>
        <v/>
      </c>
      <c r="HM49" s="97"/>
      <c r="HN49" s="308" t="str">
        <f t="shared" ca="1" si="68"/>
        <v>Zu wenige Werte</v>
      </c>
      <c r="HO49" s="97"/>
      <c r="HP49" s="307"/>
      <c r="HQ49" s="96" t="str">
        <f>IFERROR(IFERROR(SUBSTITUTE(ReckResultat[[#This Row],[Eingabe]],".",",")*1,SUBSTITUTE(ReckResultat[[#This Row],[Eingabe]],",",".")*1),"")</f>
        <v/>
      </c>
      <c r="HR49" s="96" t="e">
        <f>INT(ReckResultat[[#This Row],[Resultat]])=ReckResultat[[#This Row],[Resultat]]</f>
        <v>#VALUE!</v>
      </c>
      <c r="HS49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49" s="96"/>
      <c r="HX49" s="97"/>
      <c r="HY49" s="307"/>
      <c r="HZ49" s="96" t="str">
        <f>IFERROR(IFERROR(SUBSTITUTE(BodenResultat[[#This Row],[Eingabe]],".",",")*1,SUBSTITUTE(BodenResultat[[#This Row],[Eingabe]],",",".")*1),"")</f>
        <v/>
      </c>
      <c r="IA49" s="96" t="e">
        <f>INT(BodenResultat[[#This Row],[Resultat]])=BodenResultat[[#This Row],[Resultat]]</f>
        <v>#VALUE!</v>
      </c>
      <c r="IB49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49" s="96"/>
      <c r="IG49" s="97"/>
      <c r="IH49" s="307"/>
      <c r="II49" s="96" t="str">
        <f>IFERROR(IFERROR(SUBSTITUTE(StufenbarrenResultat[[#This Row],[Eingabe]],".",",")*1,SUBSTITUTE(StufenbarrenResultat[[#This Row],[Eingabe]],",",".")*1),"")</f>
        <v/>
      </c>
      <c r="IJ49" s="96" t="e">
        <f>INT(StufenbarrenResultat[[#This Row],[Resultat]])=StufenbarrenResultat[[#This Row],[Resultat]]</f>
        <v>#VALUE!</v>
      </c>
      <c r="IK49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49" s="96"/>
      <c r="IP49" s="97"/>
      <c r="IQ49" s="307"/>
      <c r="IR49" s="96" t="str">
        <f>IFERROR(IFERROR(SUBSTITUTE(ParallelbarrenResultat[[#This Row],[Eingabe]],".",",")*1,SUBSTITUTE(ParallelbarrenResultat[[#This Row],[Eingabe]],",",".")*1),"")</f>
        <v/>
      </c>
      <c r="IS49" s="96" t="e">
        <f>INT(ParallelbarrenResultat[[#This Row],[Resultat]])=ParallelbarrenResultat[[#This Row],[Resultat]]</f>
        <v>#VALUE!</v>
      </c>
      <c r="IT49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49" s="96"/>
      <c r="IY49" s="97"/>
      <c r="IZ49" s="307"/>
      <c r="JA49" s="96" t="str">
        <f>IFERROR(IFERROR(SUBSTITUTE(SchaukelringeResultat[[#This Row],[Eingabe]],".",",")*1,SUBSTITUTE(SchaukelringeResultat[[#This Row],[Eingabe]],",",".")*1),"")</f>
        <v/>
      </c>
      <c r="JB49" s="96" t="e">
        <f>INT(SchaukelringeResultat[[#This Row],[Resultat]])=SchaukelringeResultat[[#This Row],[Resultat]]</f>
        <v>#VALUE!</v>
      </c>
      <c r="JC49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49" s="96"/>
      <c r="JH49" s="97"/>
      <c r="JI49" s="307"/>
      <c r="JJ49" s="96" t="str">
        <f>IFERROR(IFERROR(SUBSTITUTE(SprungResultat[[#This Row],[Eingabe]],".",",")*1,SUBSTITUTE(SprungResultat[[#This Row],[Eingabe]],",",".")*1),"")</f>
        <v/>
      </c>
      <c r="JK49" s="96" t="e">
        <f>INT(SprungResultat[[#This Row],[Resultat]])=SprungResultat[[#This Row],[Resultat]]</f>
        <v>#VALUE!</v>
      </c>
      <c r="JL49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49" s="96"/>
      <c r="JQ49" s="97"/>
      <c r="JR49" s="309" t="str" cm="1">
        <f t="array" aca="1" ref="JR49" ca="1">IF(AND(ISNUMBER(INDIRECT(JR$3)),INDIRECT(JR$3)&gt;0),INDIRECT(JR$3),"")</f>
        <v/>
      </c>
      <c r="JS49" s="309" t="str" cm="1">
        <f t="array" aca="1" ref="JS49" ca="1">IF(AND(ISNUMBER(INDIRECT(JS$3)),INDIRECT(JS$3)&gt;0),INDIRECT(JS$3),"")</f>
        <v/>
      </c>
      <c r="JT49" s="309" t="str" cm="1">
        <f t="array" aca="1" ref="JT49" ca="1">IF(AND(ISNUMBER(INDIRECT(JT$3)),INDIRECT(JT$3)&gt;0),INDIRECT(JT$3),"")</f>
        <v/>
      </c>
      <c r="JU49" s="309" t="str" cm="1">
        <f t="array" aca="1" ref="JU49" ca="1">IF(AND(ISNUMBER(INDIRECT(JU$3)),INDIRECT(JU$3)&gt;0),INDIRECT(JU$3),"")</f>
        <v/>
      </c>
      <c r="JV49" s="309" t="str" cm="1">
        <f t="array" aca="1" ref="JV49" ca="1">IF(AND(ISNUMBER(INDIRECT(JV$3)),INDIRECT(JV$3)&gt;0),INDIRECT(JV$3),"")</f>
        <v/>
      </c>
      <c r="JW49" s="309" t="str" cm="1">
        <f t="array" aca="1" ref="JW49" ca="1">IF(AND(ISNUMBER(INDIRECT(JW$3)),INDIRECT(JW$3)&gt;0),INDIRECT(JW$3),"")</f>
        <v/>
      </c>
      <c r="JX49" s="309" t="str">
        <f t="shared" ca="1" si="69"/>
        <v>x</v>
      </c>
      <c r="JY49" s="309" t="str">
        <f t="shared" ca="1" si="70"/>
        <v>y</v>
      </c>
      <c r="JZ49" s="309" t="str">
        <f t="shared" ca="1" si="71"/>
        <v>z</v>
      </c>
      <c r="KA49" s="309" t="str">
        <f t="shared" ca="1" si="181"/>
        <v>a</v>
      </c>
      <c r="KB49" s="309" t="str" cm="1">
        <f t="array" aca="1" ref="KB49" ca="1">IF(KA49="a","",INDEX($JR$23:$JW$23,,MATCH(KA49,$JR49:$JW49,0)))</f>
        <v/>
      </c>
      <c r="KC49" s="309" t="str" cm="1">
        <f t="array" aca="1" ref="KC49" ca="1">IF(OR(KB49="",KB49&gt;=$JW$23),"",INDEX(INDIRECT(ADDRESS(ROW($JR$23),KB49+1)):$JW$23,,MATCH(KA49,INDIRECT(ADDRESS(ROW(),KB49+1)):$JW49,0)))</f>
        <v/>
      </c>
      <c r="KD49" s="309" t="str" cm="1">
        <f t="array" aca="1" ref="KD49" ca="1">IF(OR(KC49="",KC49&gt;=$JW$23),"",INDEX(INDIRECT(ADDRESS(ROW($JR$23),KC49+1)):$JW$23,,MATCH(KA49,INDIRECT(ADDRESS(ROW(),KC49+1)):$JW49,0)))</f>
        <v/>
      </c>
      <c r="KE49" s="309" t="str">
        <f t="shared" ca="1" si="182"/>
        <v>c</v>
      </c>
      <c r="KF49" s="309" t="str" cm="1">
        <f t="array" aca="1" ref="KF49" ca="1">IF(OR(KE49="b",KE49="c"),"",INDEX($JR$23:$JW$23,,MATCH(KE49,$JR49:$JW49,0)))</f>
        <v/>
      </c>
      <c r="KG49" s="309" t="str" cm="1">
        <f t="array" aca="1" ref="KG49" ca="1">IF(OR(KF49="",KF49&gt;=$JW$23),"",INDEX(INDIRECT(ADDRESS(ROW($JR$23),KF49+1)):$JW$23,,MATCH(KE49,INDIRECT(ADDRESS(ROW(),KF49+1)):$JW49,0)))</f>
        <v/>
      </c>
      <c r="KH49" s="309" t="str">
        <f t="shared" ca="1" si="72"/>
        <v/>
      </c>
      <c r="KI49" s="309" t="str">
        <f t="shared" ca="1" si="183"/>
        <v>e</v>
      </c>
      <c r="KJ49" s="309" t="str">
        <f t="shared" ca="1" si="73"/>
        <v/>
      </c>
      <c r="KK49" s="309" t="str" cm="1">
        <f t="array" aca="1" ref="KK49" ca="1">IF(OR(KI49="d",KI49="e"),"",INDEX($JR$23:$JW$23,,MATCH(KI49,$JR49:$JW49,0)))</f>
        <v/>
      </c>
      <c r="KL49" s="309" t="str" cm="1">
        <f t="array" aca="1" ref="KL49" ca="1">IF(OR(KK49="",KK49&gt;=$JW$23),"",INDEX(INDIRECT(ADDRESS(ROW($JR$23),KK49+1)):$JW$23,,MATCH(KI49,INDIRECT(ADDRESS(ROW(),KK49+1)):$JW49,0)))</f>
        <v/>
      </c>
      <c r="KM49" s="309" t="str" cm="1">
        <f t="array" aca="1" ref="KM49" ca="1">IFERROR(IF(ISNUMBER(KB49),KB49,IF(ISNUMBER(KF49),KF49,IF(ISNUMBER(KJ49),KJ49,INDEX($JR$23:$JW$23,,MATCH(JX49,$JR49:$JW49,0))))),"x1")</f>
        <v>x1</v>
      </c>
      <c r="KN49" s="309" t="str" cm="1">
        <f t="array" aca="1" ref="KN49" ca="1">IFERROR(IF(ISNUMBER(KC49),KC49,IF(ISNUMBER(KG49),KG49,IF(ISNUMBER(KK49),KK49,INDEX($JR$23:$JW$23,,MATCH(JY49,$JR49:$JW49,0))))),IF(KM49="x1","x2","x1"))</f>
        <v>x2</v>
      </c>
      <c r="KO49" s="309" t="str" cm="1">
        <f t="array" aca="1" ref="KO49" ca="1">IFERROR(IF(ISNUMBER(KD49),KD49,IF(ISNUMBER(KH49),KH49,IF(ISNUMBER(KL49),KL49,INDEX($JR$23:$JW$23,,MATCH(JZ49,$JR49:$JW49,0))))),IF(KN49="x1","x2",IF(KN49="x2","x3","x1")))</f>
        <v>x3</v>
      </c>
      <c r="KP49" s="97" t="str" cm="1">
        <f t="array" aca="1" ref="KP49" ca="1">IF(OR(INDIRECT(KP$3)=$A$2,INDIRECT(KP$3)=$A$3),COLUMN(),"")</f>
        <v/>
      </c>
      <c r="KQ49" s="97" t="str" cm="1">
        <f t="array" aca="1" ref="KQ49" ca="1">IF(OR(INDIRECT(KQ$3)=$A$2,INDIRECT(KQ$3)=$A$3),COLUMN(),"")</f>
        <v/>
      </c>
      <c r="KR49" s="97" t="str" cm="1">
        <f t="array" aca="1" ref="KR49" ca="1">IF(OR(INDIRECT(KR$3)=$A$2,INDIRECT(KR$3)=$A$3),COLUMN(),"")</f>
        <v/>
      </c>
      <c r="KS49" s="97" t="str" cm="1">
        <f t="array" aca="1" ref="KS49" ca="1">IF(OR(INDIRECT(KS$3)=$A$2,INDIRECT(KS$3)=$A$3),COLUMN(),"")</f>
        <v/>
      </c>
      <c r="KT49" s="97" t="str" cm="1">
        <f t="array" aca="1" ref="KT49" ca="1">IF(OR(INDIRECT(KT$3)=$A$2,INDIRECT(KT$3)=$A$3),COLUMN(),"")</f>
        <v/>
      </c>
      <c r="KU49" s="97" t="str" cm="1">
        <f t="array" aca="1" ref="KU49" ca="1">IF(OR(INDIRECT(KU$3)=$A$2,INDIRECT(KU$3)=$A$3),COLUMN(),"")</f>
        <v/>
      </c>
      <c r="KV49" s="97" t="str" cm="1">
        <f t="array" aca="1" ref="KV49" ca="1">IF(AND(ISNUMBER(INDIRECT(KV$3)),INDIRECT(KV$3)=0),COLUMN(),"")</f>
        <v/>
      </c>
      <c r="KW49" s="97" t="str" cm="1">
        <f t="array" aca="1" ref="KW49" ca="1">IF(AND(ISNUMBER(INDIRECT(KW$3)),INDIRECT(KW$3)=0),COLUMN(),"")</f>
        <v/>
      </c>
      <c r="KX49" s="97" t="str" cm="1">
        <f t="array" aca="1" ref="KX49" ca="1">IF(AND(ISNUMBER(INDIRECT(KX$3)),INDIRECT(KX$3)=0),COLUMN(),"")</f>
        <v/>
      </c>
      <c r="KY49" s="97" t="str" cm="1">
        <f t="array" aca="1" ref="KY49" ca="1">IF(AND(ISNUMBER(INDIRECT(KY$3)),INDIRECT(KY$3)=0),COLUMN(),"")</f>
        <v/>
      </c>
      <c r="KZ49" s="97" t="str" cm="1">
        <f t="array" aca="1" ref="KZ49" ca="1">IF(AND(ISNUMBER(INDIRECT(KZ$3)),INDIRECT(KZ$3)=0),COLUMN(),"")</f>
        <v/>
      </c>
      <c r="LA49" s="97" t="str" cm="1">
        <f t="array" aca="1" ref="LA49" ca="1">IF(AND(ISNUMBER(INDIRECT(LA$3)),INDIRECT(LA$3)=0),COLUMN(),"")</f>
        <v/>
      </c>
      <c r="LB49" s="97" t="str">
        <f t="shared" ca="1" si="184"/>
        <v>x1</v>
      </c>
      <c r="LC49" s="97" t="str">
        <f t="shared" ca="1" si="185"/>
        <v>x2</v>
      </c>
      <c r="LD49" s="97" t="str">
        <f t="shared" ca="1" si="186"/>
        <v>x3</v>
      </c>
      <c r="LE49" s="97" t="str">
        <f ca="1">IFERROR(IF(ISNUMBER(LB49),LB49,SMALL($KV49:$LA49,VALUE(RIGHT(LB49,1)))),Stammdaten!$CA$17)</f>
        <v>Erstes Gerät nicht durchgeführt</v>
      </c>
      <c r="LF49" s="97" t="str">
        <f ca="1">IFERROR(IF(ISNUMBER(LC49),LC49,SMALL($KV49:$LA49,VALUE(RIGHT(LC49,1)))),Stammdaten!$CA$18)</f>
        <v>Zweites Gerät nicht durchgeführt</v>
      </c>
      <c r="LG49" s="97" t="str">
        <f ca="1">IFERROR(IF(ISNUMBER(LD49),LD49,SMALL($KV49:$LA49,VALUE(RIGHT(LD49,1)))),Stammdaten!$CA$19)</f>
        <v>Drittes Gerät nicht durchgeführt</v>
      </c>
      <c r="LH49" s="91" t="str" cm="1">
        <f t="array" aca="1" ref="LH49" ca="1">IFERROR(INDIRECT(ADDRESS(ROW($JR$5),LE49)),LE49)</f>
        <v>Erstes Gerät nicht durchgeführt</v>
      </c>
      <c r="LI49" s="97" t="str">
        <f t="shared" ca="1" si="187"/>
        <v/>
      </c>
      <c r="LJ49" s="97" t="str" cm="1">
        <f t="array" aca="1" ref="LJ49" ca="1">IFERROR(IF(INDIRECT(INDEX(INDIRECT(LJ$5),MATCH(LH49,INDIRECT(LJ$4),0)))&lt;&gt;"",INDEX(INDIRECT(LJ$5),MATCH(LH49,INDIRECT(LJ$4),0)),INDEX(INDIRECT(LJ$6),MATCH(LH49,INDIRECT(LJ$4),0))),"")</f>
        <v/>
      </c>
      <c r="LK49" s="97" t="str">
        <f t="shared" ca="1" si="188"/>
        <v/>
      </c>
      <c r="LL49" s="97" t="str" cm="1">
        <f t="array" aca="1" ref="LL49" ca="1">IFERROR(INDIRECT(LJ49),"")</f>
        <v/>
      </c>
      <c r="LM49" s="97" t="str">
        <f ca="1">IF(LL49="","",IF(AND(LI49=Stammdaten!$BX$20,LK49="0",LL49=1),SUBSTITUTE(TEXT(LL49,LK49)&amp;" "&amp;LEFT(LI49,LEN(LI49)-1),".",","),SUBSTITUTE(TEXT(LL49,LK49)&amp;" "&amp;LI49,".",",")))</f>
        <v/>
      </c>
      <c r="LN49" s="97" t="str">
        <f t="shared" ca="1" si="74"/>
        <v/>
      </c>
      <c r="LO49" s="97" t="str" cm="1">
        <f t="array" aca="1" ref="LO49" ca="1">IFERROR(LEFT(INDIRECT(LN49),1)&amp;"]","")</f>
        <v/>
      </c>
      <c r="LP49" s="97" t="str">
        <f t="shared" ca="1" si="75"/>
        <v/>
      </c>
      <c r="LQ49" s="97" t="str">
        <f ca="1">IFERROR(LEFT(LH49,FIND(Stammdaten!$CA$4,LH49,1)-2),IFERROR(LEFT(LH49,FIND(Stammdaten!$CC$3,LH49,1)-2),LH49))</f>
        <v>Erstes Gerät</v>
      </c>
      <c r="LR49" s="97" t="str">
        <f ca="1">IF(NOT(ISERROR(FIND(Stammdaten!$CA$4,LH49,1))),Stammdaten!$CA$4,IF(LS49&lt;&gt;Stammdaten!$CC$3,LP49,""))</f>
        <v>nicht durchgeführt</v>
      </c>
      <c r="LS49" s="91" t="str">
        <f ca="1">IF(LL49=$A$2,Stammdaten!$CC$3,LM49)</f>
        <v/>
      </c>
      <c r="LT49" s="91" t="str" cm="1">
        <f t="array" aca="1" ref="LT49" ca="1">IFERROR(INDIRECT(ADDRESS(ROW($JR$5),LF49)),LF49)</f>
        <v>Zweites Gerät nicht durchgeführt</v>
      </c>
      <c r="LU49" s="97" t="str">
        <f t="shared" ca="1" si="189"/>
        <v/>
      </c>
      <c r="LV49" s="97" t="str" cm="1">
        <f t="array" aca="1" ref="LV49" ca="1">IFERROR(IF(INDIRECT(INDEX(INDIRECT(LV$5),MATCH(LT49,INDIRECT(LV$4),0)))&lt;&gt;"",INDEX(INDIRECT(LV$5),MATCH(LT49,INDIRECT(LV$4),0)),INDEX(INDIRECT(LV$6),MATCH(LT49,INDIRECT(LV$4),0))),"")</f>
        <v/>
      </c>
      <c r="LW49" s="97" t="str">
        <f t="shared" ca="1" si="190"/>
        <v/>
      </c>
      <c r="LX49" s="97" t="str" cm="1">
        <f t="array" aca="1" ref="LX49" ca="1">IFERROR(INDIRECT(LV49),"")</f>
        <v/>
      </c>
      <c r="LY49" s="97" t="str">
        <f ca="1">IF(LX49="","",IF(AND(LU49=Stammdaten!$BX$20,LW49="0",LX49=1),SUBSTITUTE(TEXT(LX49,LW49)&amp;" "&amp;LEFT(LU49,LEN(LU49)-1),".",","),SUBSTITUTE(TEXT(LX49,LW49)&amp;" "&amp;LU49,".",",")))</f>
        <v/>
      </c>
      <c r="LZ49" s="97" t="str">
        <f t="shared" ca="1" si="76"/>
        <v/>
      </c>
      <c r="MA49" s="97" t="str" cm="1">
        <f t="array" aca="1" ref="MA49" ca="1">IFERROR(LEFT(INDIRECT(LZ49),1)&amp;"]","")</f>
        <v/>
      </c>
      <c r="MB49" s="97" t="str">
        <f t="shared" ca="1" si="77"/>
        <v/>
      </c>
      <c r="MC49" s="97" t="str">
        <f ca="1">IFERROR(LEFT(LT49,FIND(Stammdaten!$CA$4,LT49,1)-2),IFERROR(LEFT(LT49,FIND(Stammdaten!$CC$3,LT49,1)-2),LT49))</f>
        <v>Zweites Gerät</v>
      </c>
      <c r="MD49" s="97" t="str">
        <f ca="1">IF(NOT(ISERROR(FIND(Stammdaten!$CA$4,LT49,1))),Stammdaten!$CA$4,IF(ME49&lt;&gt;Stammdaten!$CC$3,MB49,""))</f>
        <v>nicht durchgeführt</v>
      </c>
      <c r="ME49" s="91" t="str">
        <f ca="1">IF(LX49=$A$2,Stammdaten!$CC$3,LY49)</f>
        <v/>
      </c>
      <c r="MF49" s="91" t="str" cm="1">
        <f t="array" aca="1" ref="MF49" ca="1">IFERROR(INDIRECT(ADDRESS(ROW($JR$5),LG49)),LG49)</f>
        <v>Drittes Gerät nicht durchgeführt</v>
      </c>
      <c r="MG49" s="97" t="str">
        <f t="shared" ca="1" si="191"/>
        <v/>
      </c>
      <c r="MH49" s="97" t="str" cm="1">
        <f t="array" aca="1" ref="MH49" ca="1">IFERROR(IF(INDIRECT(INDEX(INDIRECT(MH$5),MATCH(MF49,INDIRECT(MH$4),0)))&lt;&gt;"",INDEX(INDIRECT(MH$5),MATCH(MF49,INDIRECT(MH$4),0)),INDEX(INDIRECT(MH$6),MATCH(MF49,INDIRECT(MH$4),0))),"")</f>
        <v/>
      </c>
      <c r="MI49" s="97" t="str">
        <f t="shared" ca="1" si="192"/>
        <v/>
      </c>
      <c r="MJ49" s="97" t="str" cm="1">
        <f t="array" aca="1" ref="MJ49" ca="1">IFERROR(INDIRECT(MH49),"")</f>
        <v/>
      </c>
      <c r="MK49" s="97" t="str">
        <f ca="1">IF(MJ49="","",IF(AND(MG49=Stammdaten!$BX$20,MI49="0",MJ49=1),SUBSTITUTE(TEXT(MJ49,MI49)&amp;" "&amp;LEFT(MG49,LEN(MG49)-1),".",","),SUBSTITUTE(TEXT(MJ49,MI49)&amp;" "&amp;MG49,".",",")))</f>
        <v/>
      </c>
      <c r="ML49" s="97" t="str">
        <f t="shared" ca="1" si="78"/>
        <v/>
      </c>
      <c r="MM49" s="97" t="str" cm="1">
        <f t="array" aca="1" ref="MM49" ca="1">IFERROR(LEFT(INDIRECT(ML49),1)&amp;"]","")</f>
        <v/>
      </c>
      <c r="MN49" s="97" t="str">
        <f t="shared" ca="1" si="79"/>
        <v/>
      </c>
      <c r="MO49" s="97" t="str">
        <f ca="1">IFERROR(LEFT(MF49,FIND(Stammdaten!$CA$4,MF49,1)-2),IFERROR(LEFT(MF49,FIND(Stammdaten!$CC$3,MF49,1)-2),MF49))</f>
        <v>Drittes Gerät</v>
      </c>
      <c r="MP49" s="97" t="str">
        <f ca="1">IF(NOT(ISERROR(FIND(Stammdaten!$CA$4,MF49,1))),Stammdaten!$CA$4,IF(MQ49&lt;&gt;Stammdaten!$CC$3,MN49,""))</f>
        <v>nicht durchgeführt</v>
      </c>
      <c r="MQ49" s="91" t="str">
        <f ca="1">IF(MJ49=$A$2,Stammdaten!$CC$3,MK49)</f>
        <v/>
      </c>
      <c r="MR49" s="97">
        <f t="shared" ca="1" si="80"/>
        <v>0</v>
      </c>
      <c r="MS49" s="108">
        <f t="shared" ca="1" si="193"/>
        <v>0</v>
      </c>
      <c r="MT49" s="108">
        <f t="shared" ca="1" si="194"/>
        <v>0</v>
      </c>
      <c r="MU49" s="108">
        <f t="shared" ca="1" si="195"/>
        <v>0</v>
      </c>
      <c r="MV49" s="108" t="str">
        <f t="shared" ca="1" si="196"/>
        <v/>
      </c>
      <c r="MW49" s="97" t="str">
        <f ca="1">IF(MV49="",Stammdaten!$BZ$1,IF(AND(MS49+MT49=0,MU49&gt;=MV$25),$A$3,MR49))</f>
        <v>Zu wenige Werte</v>
      </c>
      <c r="MX49" s="97"/>
      <c r="MY49" s="91" t="str">
        <f t="shared" ca="1" si="81"/>
        <v/>
      </c>
      <c r="MZ49" s="96" t="str">
        <f>LEFT(Geschlecht[[#This Row],[Geschlecht (Skala)]],1)&amp;$MZ$27</f>
        <v>2</v>
      </c>
      <c r="NA49" s="96" t="str">
        <f t="shared" ca="1" si="82"/>
        <v>Geräteturnen_2[Resultat]</v>
      </c>
      <c r="NB49" s="97" t="str" cm="1">
        <f t="array" aca="1" ref="NB49" ca="1">IF(OR($MW49="",$MW49=Stammdaten!$BZ$1),"",IF($MW49=0,0,IF(OR($MW49=$A$2,$MW49=$A$3),$A$3,IFERROR(INDEX(INDIRECT(NA49),MATCH(INDIRECT(MY$3),INDIRECT(NA49),NA$25)),IFERROR(IF(NA$25=-1,MAX(INDIRECT(NA49)),IF(NA$25=1,MIN(INDIRECT(NA49)))),"")))))</f>
        <v/>
      </c>
      <c r="ND49" s="91" t="str">
        <f t="shared" ca="1" si="83"/>
        <v>Geräteturnen_2[Note]</v>
      </c>
      <c r="NE49" s="97" t="str" cm="1">
        <f t="array" aca="1" ref="NE49" ca="1">IFERROR(INDEX(INDIRECT(ND49),MATCH(INDIRECT(MY$5),INDIRECT(NA49),0)),IF(INDIRECT(MY$5)=0,1,""))</f>
        <v/>
      </c>
      <c r="NF49" s="97"/>
      <c r="NG49" s="307"/>
      <c r="NH49" s="96" t="str">
        <f>IFERROR(IFERROR(SUBSTITUTE(ParkourResultat[[#This Row],[Eingabe]],".",",")*1,SUBSTITUTE(ParkourResultat[[#This Row],[Eingabe]],",",".")*1),"")</f>
        <v/>
      </c>
      <c r="NI49" s="96" t="e">
        <f>INT(ParkourResultat[[#This Row],[Resultat]])=ParkourResultat[[#This Row],[Resultat]]</f>
        <v>#VALUE!</v>
      </c>
      <c r="NJ49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49" s="96"/>
      <c r="NL49" s="91" t="str" cm="1">
        <f t="array" aca="1" ref="NL49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49" s="96" t="str">
        <f ca="1">LEFT(Geschlecht[[#This Row],[Geschlecht (Skala)]],1)&amp;NR$4</f>
        <v>2</v>
      </c>
      <c r="NN49" s="96" t="str">
        <f t="shared" ca="1" si="84"/>
        <v>Parkour_2[Resultat]</v>
      </c>
      <c r="NO49" s="97" t="str" cm="1">
        <f t="array" aca="1" ref="NO49" ca="1">IF(INDIRECT(NL$1)="","",IF(INDIRECT(NL$2)=0,0,IF(OR(INDIRECT(NL$1)=$A$2,INDIRECT(NL$1)=$A$3),$A$3,IFERROR(INDEX(INDIRECT(NN49),MATCH(INDIRECT(NL$3),INDIRECT(NN49),NN$25)),IFERROR(IF(NN$25=-1,MAX(INDIRECT(NN49)),IF(NN$25=1,MIN(INDIRECT(NN49)))),"")))))</f>
        <v/>
      </c>
      <c r="NQ49" s="91" t="str">
        <f t="shared" ca="1" si="85"/>
        <v>Parkour_2[Note]</v>
      </c>
      <c r="NR49" s="97" t="str" cm="1">
        <f t="array" aca="1" ref="NR49" ca="1">IFERROR(INDEX(INDIRECT(NQ49),MATCH(INDIRECT(NL$5),INDIRECT(NN49),0)),IF(INDIRECT(NL$5)=0,1,""))</f>
        <v/>
      </c>
      <c r="NS49" s="97"/>
      <c r="NT49" s="97" t="str" cm="1">
        <f t="array" aca="1" ref="NT49" ca="1">INDIRECT(NT$5)</f>
        <v/>
      </c>
      <c r="NU49" s="97" t="str" cm="1">
        <f t="array" aca="1" ref="NU49" ca="1">INDIRECT(NU$5)</f>
        <v/>
      </c>
      <c r="NV49" s="97" t="str" cm="1">
        <f t="array" aca="1" ref="NV49" ca="1">INDIRECT(NV$5)</f>
        <v/>
      </c>
      <c r="NW49" s="97" t="str" cm="1">
        <f t="array" aca="1" ref="NW49" ca="1">INDIRECT(NW$5)</f>
        <v/>
      </c>
      <c r="NX49" s="97" t="str">
        <f t="shared" ca="1" si="86"/>
        <v>Parkour nicht durchgeführt</v>
      </c>
      <c r="NY49" s="97" t="str">
        <f t="shared" ca="1" si="197"/>
        <v/>
      </c>
      <c r="NZ49" s="97" t="str" cm="1">
        <f t="array" aca="1" ref="NZ49" ca="1">IFERROR(IF(INDIRECT(INDEX(INDIRECT(NZ$5),MATCH(NX49,INDIRECT(NZ$4),0)))&lt;&gt;"",INDEX(INDIRECT(NZ$5),MATCH(NX49,INDIRECT(NZ$4),0)),INDEX(INDIRECT(NZ$6),MATCH(NX49,INDIRECT(NZ$4),0))),"")</f>
        <v/>
      </c>
      <c r="OA49" s="97" t="str">
        <f t="shared" ca="1" si="198"/>
        <v/>
      </c>
      <c r="OB49" s="97" t="str" cm="1">
        <f t="array" aca="1" ref="OB49" ca="1">IFERROR(INDIRECT(NZ49),IF(NOT(ISERROR(FIND(Stammdaten!$CC$3,NX49,1))),$A$2,""))</f>
        <v/>
      </c>
      <c r="OC49" s="97" t="str">
        <f ca="1">IF(OB49="","",IF(AND(NY49=Stammdaten!$BX$20,OA49="0",OB49=1),SUBSTITUTE(TEXT(OB49,OA49)&amp;" "&amp;LEFT(NY49,LEN(NY49)-1),".",","),SUBSTITUTE(TEXT(OB49,OA49)&amp;" "&amp;NY49,".",",")))</f>
        <v/>
      </c>
      <c r="OD49" s="97" t="str">
        <f t="shared" ca="1" si="87"/>
        <v/>
      </c>
      <c r="OE49" s="97" t="str" cm="1">
        <f t="array" aca="1" ref="OE49" ca="1">IFERROR(LEFT(INDIRECT(OD49),1)&amp;"]","")</f>
        <v/>
      </c>
      <c r="OF49" s="97" t="str">
        <f t="shared" ca="1" si="88"/>
        <v/>
      </c>
      <c r="OG49" s="97" t="str">
        <f ca="1">IFERROR(LEFT(NX49,FIND(Stammdaten!$CA$4,NX49,1)-2),IFERROR(LEFT(NX49,FIND(Stammdaten!$CC$3,NX49,1)-2),NX49))</f>
        <v>Parkour</v>
      </c>
      <c r="OH49" s="97" t="str">
        <f ca="1">IF(NOT(ISERROR(FIND(Stammdaten!$CA$4,NX49,1))),Stammdaten!$CA$4,IF(OI49&lt;&gt;Stammdaten!$CC$3,OF49,""))</f>
        <v>nicht durchgeführt</v>
      </c>
      <c r="OI49" s="91" t="str">
        <f ca="1">IF(OB49=$A$2,Stammdaten!$CC$3,OC49)</f>
        <v/>
      </c>
      <c r="OJ49" s="97" t="str">
        <f t="shared" ca="1" si="89"/>
        <v/>
      </c>
      <c r="OK49" s="97" t="str">
        <f t="shared" ca="1" si="90"/>
        <v/>
      </c>
      <c r="OL49" s="97">
        <f t="shared" ca="1" si="199"/>
        <v>0</v>
      </c>
      <c r="OM49" s="108">
        <f t="shared" ca="1" si="91"/>
        <v>0</v>
      </c>
      <c r="ON49" s="108">
        <f t="shared" ca="1" si="92"/>
        <v>0</v>
      </c>
      <c r="OO49" s="108" t="str">
        <f t="shared" ca="1" si="200"/>
        <v/>
      </c>
      <c r="OP49" s="97" t="str">
        <f ca="1">IF(OO49="",Stammdaten!$BZ$1,IF(AND(OM49=0,ON49&gt;=OO$25),$A$3,ROUND(SUM(OL49/OO49)/OP$25,0)*OP$25))</f>
        <v>Zu wenige Werte</v>
      </c>
      <c r="OQ49" s="108">
        <f t="shared" ca="1" si="201"/>
        <v>6</v>
      </c>
      <c r="OR49" s="97" t="str">
        <f t="shared" ca="1" si="202"/>
        <v/>
      </c>
      <c r="OS49" s="97" t="str">
        <f t="shared" ca="1" si="203"/>
        <v/>
      </c>
      <c r="OT49" s="97" t="str">
        <f t="shared" ca="1" si="204"/>
        <v/>
      </c>
      <c r="OU49" s="97" t="str">
        <f t="shared" ca="1" si="205"/>
        <v>g</v>
      </c>
      <c r="OV49" s="97" t="str">
        <f t="shared" ca="1" si="206"/>
        <v/>
      </c>
      <c r="OW49" s="97">
        <f t="shared" ca="1" si="207"/>
        <v>1</v>
      </c>
      <c r="OX49" s="97" t="str">
        <f ca="1">IF(OR(Geschlecht[[#This Row],[Geschlecht (Skala)]]="",NOT(ISNUMBER(OO49))),"",OW49)</f>
        <v/>
      </c>
      <c r="OY49" s="97" t="str">
        <f t="shared" ca="1" si="208"/>
        <v/>
      </c>
      <c r="OZ49" s="97"/>
      <c r="PA49" s="308" t="str">
        <f t="shared" ca="1" si="209"/>
        <v>Zu wenige Werte</v>
      </c>
      <c r="PB49" s="97"/>
      <c r="PC49" s="307"/>
      <c r="PD49" s="96" t="str">
        <f>IFERROR(IFERROR(SUBSTITUTE(TanzenResultat[[#This Row],[Eingabe]],".",",")*1,SUBSTITUTE(TanzenResultat[[#This Row],[Eingabe]],",",".")*1),"")</f>
        <v/>
      </c>
      <c r="PE49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49" s="96"/>
      <c r="PG49" s="91" t="str" cm="1">
        <f t="array" aca="1" ref="PG49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49" s="96" t="str">
        <f ca="1">LEFT(Geschlecht[[#This Row],[Geschlecht (Skala)]],1)&amp;PM$4</f>
        <v>2</v>
      </c>
      <c r="PI49" s="96" t="str">
        <f t="shared" ca="1" si="93"/>
        <v>Tanzen_2[Resultat]</v>
      </c>
      <c r="PJ49" s="97" t="str" cm="1">
        <f t="array" aca="1" ref="PJ49" ca="1">IF(INDIRECT(PG$1)="","",IF(INDIRECT(PG$2)=0,0,IF(OR(INDIRECT(PG$1)=$A$2,INDIRECT(PG$1)=$A$3),$A$3,IFERROR(INDEX(INDIRECT(PI49),MATCH(INDIRECT(PG$3),INDIRECT(PI49),PI$25)),IFERROR(IF(PI$25=-1,MAX(INDIRECT(PI49)),IF(PI$25=1,MIN(INDIRECT(PI49)))),"")))))</f>
        <v/>
      </c>
      <c r="PL49" s="91" t="str">
        <f t="shared" ca="1" si="94"/>
        <v>Tanzen_2[Note]</v>
      </c>
      <c r="PM49" s="97" t="str" cm="1">
        <f t="array" aca="1" ref="PM49" ca="1">IFERROR(INDEX(INDIRECT(PL49),MATCH(INDIRECT(PG$5),INDIRECT(PI49),0)),IF(INDIRECT(PG$5)=0,1,""))</f>
        <v/>
      </c>
      <c r="PN49" s="97"/>
      <c r="PO49" s="307"/>
      <c r="PP49" s="96" t="str">
        <f>IFERROR(IFERROR(SUBSTITUTE(RopeSkippingResultat[[#This Row],[Eingabe]],".",",")*1,SUBSTITUTE(RopeSkippingResultat[[#This Row],[Eingabe]],",",".")*1),"")</f>
        <v/>
      </c>
      <c r="PQ49" s="96" t="e">
        <f>INT(RopeSkippingResultat[[#This Row],[Resultat]])=RopeSkippingResultat[[#This Row],[Resultat]]</f>
        <v>#VALUE!</v>
      </c>
      <c r="PR49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49" s="96"/>
      <c r="PT49" s="91" t="str" cm="1">
        <f t="array" aca="1" ref="PT49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49" s="96" t="str">
        <f ca="1">LEFT(Geschlecht[[#This Row],[Geschlecht (Skala)]],1)&amp;PZ$4</f>
        <v>2</v>
      </c>
      <c r="PV49" s="96" t="str">
        <f t="shared" ca="1" si="95"/>
        <v>RopeSkipping_2[Resultat]</v>
      </c>
      <c r="PW49" s="97" t="str" cm="1">
        <f t="array" aca="1" ref="PW49" ca="1">IF(INDIRECT(PT$1)="","",IF(INDIRECT(PT$2)=0,0,IF(OR(INDIRECT(PT$1)=$A$2,INDIRECT(PT$1)=$A$3),$A$3,IFERROR(INDEX(INDIRECT(PV49),MATCH(INDIRECT(PT$3),INDIRECT(PV49),PV$25)),IFERROR(IF(PV$25=-1,MAX(INDIRECT(PV49)),IF(PV$25=1,MIN(INDIRECT(PV49)))),"")))))</f>
        <v/>
      </c>
      <c r="PY49" s="91" t="str">
        <f t="shared" ca="1" si="96"/>
        <v>RopeSkipping_2[Note]</v>
      </c>
      <c r="PZ49" s="97" t="str" cm="1">
        <f t="array" aca="1" ref="PZ49" ca="1">IFERROR(INDEX(INDIRECT(PY49),MATCH(INDIRECT(PT$5),INDIRECT(PV49),0)),IF(INDIRECT(PT$5)=0,1,""))</f>
        <v/>
      </c>
      <c r="QA49" s="97"/>
      <c r="QB49" s="307"/>
      <c r="QC49" s="96" t="str">
        <f>IFERROR(IFERROR(SUBSTITUTE(AerobicResultat[[#This Row],[Eingabe]],".",",")*1,SUBSTITUTE(AerobicResultat[[#This Row],[Eingabe]],",",".")*1),"")</f>
        <v/>
      </c>
      <c r="QD49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49" s="96"/>
      <c r="QF49" s="91" t="str" cm="1">
        <f t="array" aca="1" ref="QF49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49" s="96" t="str">
        <f ca="1">LEFT(Geschlecht[[#This Row],[Geschlecht (Skala)]],1)&amp;QL$4</f>
        <v>2</v>
      </c>
      <c r="QH49" s="96" t="str">
        <f t="shared" ca="1" si="97"/>
        <v>Aerobic_2[Resultat]</v>
      </c>
      <c r="QI49" s="97" t="str" cm="1">
        <f t="array" aca="1" ref="QI49" ca="1">IF(INDIRECT(QF$1)="","",IF(INDIRECT(QF$2)=0,0,IF(OR(INDIRECT(QF$1)=$A$2,INDIRECT(QF$1)=$A$3),$A$3,IFERROR(INDEX(INDIRECT(QH49),MATCH(INDIRECT(QF$3),INDIRECT(QH49),QH$25)),IFERROR(IF(QH$25=-1,MAX(INDIRECT(QH49)),IF(QH$25=1,MIN(INDIRECT(QH49)))),"")))))</f>
        <v/>
      </c>
      <c r="QK49" s="91" t="str">
        <f t="shared" ca="1" si="98"/>
        <v>Aerobic_2[Note]</v>
      </c>
      <c r="QL49" s="97" t="str" cm="1">
        <f t="array" aca="1" ref="QL49" ca="1">IFERROR(INDEX(INDIRECT(QK49),MATCH(INDIRECT(QF$5),INDIRECT(QH49),0)),IF(INDIRECT(QF$5)=0,1,""))</f>
        <v/>
      </c>
      <c r="QM49" s="97"/>
      <c r="QN49" s="97" t="str" cm="1">
        <f t="array" aca="1" ref="QN49" ca="1">INDIRECT(QN$5)</f>
        <v/>
      </c>
      <c r="QO49" s="97" t="str" cm="1">
        <f t="array" aca="1" ref="QO49" ca="1">INDIRECT(QO$5)</f>
        <v/>
      </c>
      <c r="QP49" s="97" t="str" cm="1">
        <f t="array" aca="1" ref="QP49" ca="1">INDIRECT(QP$5)</f>
        <v/>
      </c>
      <c r="QQ49" s="97" t="str" cm="1">
        <f t="array" aca="1" ref="QQ49" ca="1">INDIRECT(QQ$5)</f>
        <v/>
      </c>
      <c r="QR49" s="97" t="str" cm="1">
        <f t="array" aca="1" ref="QR49" ca="1">INDIRECT(QR$5)</f>
        <v/>
      </c>
      <c r="QS49" s="97" t="str" cm="1">
        <f t="array" aca="1" ref="QS49" ca="1">INDIRECT(QS$5)</f>
        <v/>
      </c>
      <c r="QT49" s="97" t="str">
        <f t="shared" ca="1" si="99"/>
        <v>Darstellen und Tanzen nicht durchgeführt</v>
      </c>
      <c r="QU49" s="108">
        <f t="shared" ca="1" si="100"/>
        <v>0</v>
      </c>
      <c r="QV49" s="108">
        <f t="shared" ca="1" si="101"/>
        <v>0</v>
      </c>
      <c r="QW49" s="108" t="str">
        <f t="shared" ca="1" si="210"/>
        <v/>
      </c>
      <c r="QX49" s="97" t="str">
        <f t="shared" ca="1" si="211"/>
        <v>Darstellen und Tanzen nicht durchgeführt</v>
      </c>
      <c r="QY49" s="97" t="str">
        <f t="shared" ca="1" si="212"/>
        <v/>
      </c>
      <c r="QZ49" s="97" t="str" cm="1">
        <f t="array" aca="1" ref="QZ49" ca="1">IFERROR(IF(INDIRECT(INDEX(INDIRECT(QZ$5),MATCH(QX49,INDIRECT(QZ$4),0)))&lt;&gt;"",INDEX(INDIRECT(QZ$5),MATCH(QX49,INDIRECT(QZ$4),0)),INDEX(INDIRECT(QZ$6),MATCH(QX49,INDIRECT(QZ$4),0))),"")</f>
        <v/>
      </c>
      <c r="RA49" s="97" t="str">
        <f t="shared" ca="1" si="213"/>
        <v/>
      </c>
      <c r="RB49" s="97" t="str" cm="1">
        <f t="array" aca="1" ref="RB49" ca="1">IFERROR(INDIRECT(QZ49),IF(NOT(ISERROR(FIND(Stammdaten!$CC$3,QX49,1))),$A$2,""))</f>
        <v/>
      </c>
      <c r="RC49" s="97" t="str">
        <f ca="1">IF(RB49="","",IF(AND(QY49=Stammdaten!$BX$20,RA49="0",RB49=1),SUBSTITUTE(TEXT(RB49,RA49)&amp;" "&amp;LEFT(QY49,LEN(QY49)-1),".",","),SUBSTITUTE(TEXT(RB49,RA49)&amp;" "&amp;QY49,".",",")))</f>
        <v/>
      </c>
      <c r="RD49" s="97" t="str">
        <f t="shared" ca="1" si="102"/>
        <v/>
      </c>
      <c r="RE49" s="97" t="str" cm="1">
        <f t="array" aca="1" ref="RE49" ca="1">IFERROR(LEFT(INDIRECT(RD49),1)&amp;"]","")</f>
        <v/>
      </c>
      <c r="RF49" s="97" t="str">
        <f t="shared" ca="1" si="103"/>
        <v/>
      </c>
      <c r="RG49" s="97" t="str">
        <f ca="1">IFERROR(LEFT(QX49,FIND(Stammdaten!$CA$4,QX49,1)-2),IFERROR(LEFT(QX49,FIND(Stammdaten!$CC$3,QX49,1)-2),QX49))</f>
        <v>Darstellen und Tanzen</v>
      </c>
      <c r="RH49" s="97" t="str">
        <f ca="1">IF(NOT(ISERROR(FIND(Stammdaten!$CA$4,QX49,1))),Stammdaten!$CA$4,IF(RI49&lt;&gt;Stammdaten!$CC$3,RF49,""))</f>
        <v>nicht durchgeführt</v>
      </c>
      <c r="RI49" s="91" t="str">
        <f ca="1">IF(RB49=$A$2,Stammdaten!$CC$3,RC49)</f>
        <v/>
      </c>
      <c r="RJ49" s="108">
        <f t="shared" ca="1" si="214"/>
        <v>6</v>
      </c>
      <c r="RK49" s="97"/>
      <c r="RL49" s="308" t="str">
        <f ca="1">IF(QT49=$QT$4,Stammdaten!$BZ$1,IF(QT49=$QT$5,$A$3,QT49))</f>
        <v>Zu wenige Werte</v>
      </c>
      <c r="RM49" s="97"/>
      <c r="RN49" s="307"/>
      <c r="RO49" s="96" t="str">
        <f>IFERROR(IFERROR(SUBSTITUTE(BasketballResultat[[#This Row],[Eingabe]],".",",")*1,SUBSTITUTE(BasketballResultat[[#This Row],[Eingabe]],",",".")*1),"")</f>
        <v/>
      </c>
      <c r="RP49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49" s="96"/>
      <c r="RR49" s="91" t="str" cm="1">
        <f t="array" aca="1" ref="RR49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49" s="96" t="str">
        <f ca="1">LEFT(Geschlecht[[#This Row],[Geschlecht (Skala)]],1)&amp;RX$4</f>
        <v>2</v>
      </c>
      <c r="RT49" s="96" t="str">
        <f t="shared" ca="1" si="104"/>
        <v>Basketball_2[Resultat]</v>
      </c>
      <c r="RU49" s="97" t="str" cm="1">
        <f t="array" aca="1" ref="RU49" ca="1">IF(INDIRECT(RR$1)="","",IF(INDIRECT(RR$2)=0,0,IF(OR(INDIRECT(RR$1)=$A$2,INDIRECT(RR$1)=$A$3),$A$3,IFERROR(INDEX(INDIRECT(RT49),MATCH(INDIRECT(RR$3),INDIRECT(RT49),RT$25)),IFERROR(IF(RT$25=-1,MAX(INDIRECT(RT49)),IF(RT$25=1,MIN(INDIRECT(RT49)))),"")))))</f>
        <v/>
      </c>
      <c r="RW49" s="91" t="str">
        <f t="shared" ca="1" si="105"/>
        <v>Basketball_2[Note]</v>
      </c>
      <c r="RX49" s="97" t="str" cm="1">
        <f t="array" aca="1" ref="RX49" ca="1">IFERROR(INDEX(INDIRECT(RW49),MATCH(INDIRECT(RR$5),INDIRECT(RT49),0)),IF(INDIRECT(RR$5)=0,1,""))</f>
        <v/>
      </c>
      <c r="RY49" s="97"/>
      <c r="RZ49" s="307"/>
      <c r="SA49" s="96" t="str">
        <f>IFERROR(IFERROR(SUBSTITUTE(FussballResultat[[#This Row],[Eingabe]],".",",")*1,SUBSTITUTE(FussballResultat[[#This Row],[Eingabe]],",",".")*1),"")</f>
        <v/>
      </c>
      <c r="SB49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49" s="96"/>
      <c r="SD49" s="316" t="str" cm="1">
        <f t="array" aca="1" ref="SD49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49" s="96" t="str">
        <f ca="1">LEFT(Geschlecht[[#This Row],[Geschlecht (Skala)]],1)&amp;SJ$4</f>
        <v>2</v>
      </c>
      <c r="SF49" s="96" t="str">
        <f t="shared" ca="1" si="106"/>
        <v>Fussball_2[Resultat]</v>
      </c>
      <c r="SG49" s="97" t="str" cm="1">
        <f t="array" aca="1" ref="SG49" ca="1">IF(INDIRECT(SD$1)="","",IF(INDIRECT(SD$2)=0,0,IF(OR(INDIRECT(SD$1)=$A$2,INDIRECT(SD$1)=$A$3),$A$3,IFERROR(INDEX(INDIRECT(SF49),MATCH(INDIRECT(SD$3),INDIRECT(SF49),SF$25)),IFERROR(IF(SF$25=-1,MAX(INDIRECT(SF49)),IF(SF$25=1,MIN(INDIRECT(SF49)))),"")))))</f>
        <v/>
      </c>
      <c r="SI49" s="91" t="str">
        <f t="shared" ca="1" si="107"/>
        <v>Fussball_2[Note]</v>
      </c>
      <c r="SJ49" s="97" t="str" cm="1">
        <f t="array" aca="1" ref="SJ49" ca="1">IFERROR(INDEX(INDIRECT(SI49),MATCH(INDIRECT(SD$5),INDIRECT(SF49),0)),IF(INDIRECT(SD$5)=0,1,""))</f>
        <v/>
      </c>
      <c r="SK49" s="97"/>
      <c r="SL49" s="307"/>
      <c r="SM49" s="96" t="str">
        <f>IFERROR(IFERROR(SUBSTITUTE(HandballResultat[[#This Row],[Eingabe]],".",",")*1,SUBSTITUTE(HandballResultat[[#This Row],[Eingabe]],",",".")*1),"")</f>
        <v/>
      </c>
      <c r="SN49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49" s="96"/>
      <c r="SP49" s="91" t="str" cm="1">
        <f t="array" aca="1" ref="SP49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49" s="96" t="str">
        <f ca="1">LEFT(Geschlecht[[#This Row],[Geschlecht (Skala)]],1)&amp;SV$4</f>
        <v>2</v>
      </c>
      <c r="SR49" s="96" t="str">
        <f t="shared" ca="1" si="108"/>
        <v>Handball_2[Resultat]</v>
      </c>
      <c r="SS49" s="97" t="str" cm="1">
        <f t="array" aca="1" ref="SS49" ca="1">IF(INDIRECT(SP$1)="","",IF(INDIRECT(SP$2)=0,0,IF(OR(INDIRECT(SP$1)=$A$2,INDIRECT(SP$1)=$A$3),$A$3,IFERROR(INDEX(INDIRECT(SR49),MATCH(INDIRECT(SP$3),INDIRECT(SR49),SR$25)),IFERROR(IF(SR$25=-1,MAX(INDIRECT(SR49)),IF(SR$25=1,MIN(INDIRECT(SR49)))),"")))))</f>
        <v/>
      </c>
      <c r="SU49" s="91" t="str">
        <f t="shared" ca="1" si="109"/>
        <v>Handball_2[Note]</v>
      </c>
      <c r="SV49" s="97" t="str" cm="1">
        <f t="array" aca="1" ref="SV49" ca="1">IFERROR(INDEX(INDIRECT(SU49),MATCH(INDIRECT(SP$5),INDIRECT(SR49),0)),IF(INDIRECT(SP$5)=0,1,""))</f>
        <v/>
      </c>
      <c r="SW49" s="97"/>
      <c r="SX49" s="307"/>
      <c r="SY49" s="96" t="str">
        <f>IFERROR(IFERROR(SUBSTITUTE(UnihockeyResultat[[#This Row],[Eingabe]],".",",")*1,SUBSTITUTE(UnihockeyResultat[[#This Row],[Eingabe]],",",".")*1),"")</f>
        <v/>
      </c>
      <c r="SZ49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49" s="96"/>
      <c r="TB49" s="91" t="str" cm="1">
        <f t="array" aca="1" ref="TB49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49" s="96" t="str">
        <f ca="1">LEFT(Geschlecht[[#This Row],[Geschlecht (Skala)]],1)&amp;TH$4</f>
        <v>2</v>
      </c>
      <c r="TD49" s="96" t="str">
        <f t="shared" ca="1" si="110"/>
        <v>Unihockey_2[Resultat]</v>
      </c>
      <c r="TE49" s="97" t="str" cm="1">
        <f t="array" aca="1" ref="TE49" ca="1">IF(INDIRECT(TB$1)="","",IF(INDIRECT(TB$2)=0,0,IF(OR(INDIRECT(TB$1)=$A$2,INDIRECT(TB$1)=$A$3),$A$3,IFERROR(INDEX(INDIRECT(TD49),MATCH(INDIRECT(TB$3),INDIRECT(TD49),TD$25)),IFERROR(IF(TD$25=-1,MAX(INDIRECT(TD49)),IF(TD$25=1,MIN(INDIRECT(TD49)))),"")))))</f>
        <v/>
      </c>
      <c r="TG49" s="91" t="str">
        <f t="shared" ca="1" si="111"/>
        <v>Unihockey_2[Note]</v>
      </c>
      <c r="TH49" s="97" t="str" cm="1">
        <f t="array" aca="1" ref="TH49" ca="1">IFERROR(INDEX(INDIRECT(TG49),MATCH(INDIRECT(TB$5),INDIRECT(TD49),0)),IF(INDIRECT(TB$5)=0,1,""))</f>
        <v/>
      </c>
      <c r="TI49" s="97"/>
      <c r="TJ49" s="307"/>
      <c r="TK49" s="96" t="str">
        <f>IFERROR(IFERROR(SUBSTITUTE(VolleyballResultat[[#This Row],[Eingabe]],".",",")*1,SUBSTITUTE(VolleyballResultat[[#This Row],[Eingabe]],",",".")*1),"")</f>
        <v/>
      </c>
      <c r="TL49" s="96" t="e">
        <f>INT(VolleyballResultat[[#This Row],[Resultat]])=VolleyballResultat[[#This Row],[Resultat]]</f>
        <v>#VALUE!</v>
      </c>
      <c r="TM49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49" s="96"/>
      <c r="TO49" s="91" t="str" cm="1">
        <f t="array" aca="1" ref="TO49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49" s="96" t="str">
        <f ca="1">LEFT(Geschlecht[[#This Row],[Geschlecht (Skala)]],1)&amp;TU$4</f>
        <v>2</v>
      </c>
      <c r="TQ49" s="96" t="str">
        <f t="shared" ca="1" si="112"/>
        <v>Volleyball_2[Resultat]</v>
      </c>
      <c r="TR49" s="97" t="str" cm="1">
        <f t="array" aca="1" ref="TR49" ca="1">IF(INDIRECT(TO$1)="","",IF(INDIRECT(TO$2)=0,0,IF(OR(INDIRECT(TO$1)=$A$2,INDIRECT(TO$1)=$A$3),$A$3,IFERROR(INDEX(INDIRECT(TQ49),MATCH(INDIRECT(TO$3),INDIRECT(TQ49),TQ$25)),IFERROR(IF(TQ$25=-1,MAX(INDIRECT(TQ49)),IF(TQ$25=1,MIN(INDIRECT(TQ49)))),"")))))</f>
        <v/>
      </c>
      <c r="TT49" s="91" t="str">
        <f t="shared" ca="1" si="113"/>
        <v>Volleyball_2[Note]</v>
      </c>
      <c r="TU49" s="97" t="str" cm="1">
        <f t="array" aca="1" ref="TU49" ca="1">IFERROR(INDEX(INDIRECT(TT49),MATCH(INDIRECT(TO$5),INDIRECT(TQ49),0)),IF(INDIRECT(TO$5)=0,1,""))</f>
        <v/>
      </c>
      <c r="TV49" s="97"/>
      <c r="TW49" s="309" t="str" cm="1">
        <f t="array" aca="1" ref="TW49" ca="1">IF(AND(ISNUMBER(INDIRECT(TW$3)),INDIRECT(TW$3)&gt;1),INDIRECT(TW$3),"")</f>
        <v/>
      </c>
      <c r="TX49" s="309" t="str" cm="1">
        <f t="array" aca="1" ref="TX49" ca="1">IF(AND(ISNUMBER(INDIRECT(TX$3)),INDIRECT(TX$3)&gt;1),INDIRECT(TX$3),"")</f>
        <v/>
      </c>
      <c r="TY49" s="309" t="str" cm="1">
        <f t="array" aca="1" ref="TY49" ca="1">IF(AND(ISNUMBER(INDIRECT(TY$3)),INDIRECT(TY$3)&gt;1),INDIRECT(TY$3),"")</f>
        <v/>
      </c>
      <c r="TZ49" s="309" t="str" cm="1">
        <f t="array" aca="1" ref="TZ49" ca="1">IF(AND(ISNUMBER(INDIRECT(TZ$3)),INDIRECT(TZ$3)&gt;1),INDIRECT(TZ$3),"")</f>
        <v/>
      </c>
      <c r="UA49" s="309" t="str" cm="1">
        <f t="array" aca="1" ref="UA49" ca="1">IF(AND(ISNUMBER(INDIRECT(UA$3)),INDIRECT(UA$3)&gt;1),INDIRECT(UA$3),"")</f>
        <v/>
      </c>
      <c r="UB49" s="309" t="str">
        <f t="shared" ca="1" si="114"/>
        <v>x</v>
      </c>
      <c r="UC49" s="309" t="str">
        <f t="shared" ca="1" si="115"/>
        <v>y</v>
      </c>
      <c r="UD49" s="309" t="str">
        <f t="shared" ca="1" si="116"/>
        <v>z</v>
      </c>
      <c r="UE49" s="309" t="str">
        <f t="shared" ca="1" si="215"/>
        <v>a</v>
      </c>
      <c r="UF49" s="309" t="str" cm="1">
        <f t="array" aca="1" ref="UF49" ca="1">IF(UE49="a","",INDEX($TW$23:$UA$23,,MATCH(UE49,$TW49:$UA49,0)))</f>
        <v/>
      </c>
      <c r="UG49" s="309" t="str" cm="1">
        <f t="array" aca="1" ref="UG49" ca="1">IF(OR(UF49="",UF49&gt;=$UA$23),"",INDEX(INDIRECT(ADDRESS(ROW($TW$23),UF49+1)):$UA$23,,MATCH(UE49,INDIRECT(ADDRESS(ROW(),UF49+1)):$UA49,0)))</f>
        <v/>
      </c>
      <c r="UH49" s="309" t="str" cm="1">
        <f t="array" aca="1" ref="UH49" ca="1">IF(OR(UG49="",UG49&gt;=$UA$23),"",INDEX(INDIRECT(ADDRESS(ROW($TW$23),UG49+1)):$UA$23,,MATCH(UE49,INDIRECT(ADDRESS(ROW(),UG49+1)):$UA49,0)))</f>
        <v/>
      </c>
      <c r="UI49" s="309" t="str">
        <f t="shared" ca="1" si="216"/>
        <v>c</v>
      </c>
      <c r="UJ49" s="309" t="str" cm="1">
        <f t="array" aca="1" ref="UJ49" ca="1">IF(OR(UI49="b",UI49="c"),"",INDEX($TW$23:$UA$23,,MATCH(UI49,$TW49:$UA49,0)))</f>
        <v/>
      </c>
      <c r="UK49" s="309" t="str" cm="1">
        <f t="array" aca="1" ref="UK49" ca="1">IF(OR(UJ49="",UJ49&gt;=$UA$23),"",INDEX(INDIRECT(ADDRESS(ROW($TW$23),UJ49+1)):$UA$23,,MATCH(UI49,INDIRECT(ADDRESS(ROW(),UJ49+1)):$UA49,0)))</f>
        <v/>
      </c>
      <c r="UL49" s="309" t="str">
        <f t="shared" ca="1" si="117"/>
        <v/>
      </c>
      <c r="UM49" s="309" t="str">
        <f t="shared" ca="1" si="217"/>
        <v>e</v>
      </c>
      <c r="UN49" s="309" t="str">
        <f t="shared" ca="1" si="118"/>
        <v/>
      </c>
      <c r="UO49" s="309" t="str" cm="1">
        <f t="array" aca="1" ref="UO49" ca="1">IF(OR(UM49="d",UM49="e"),"",INDEX($TW$23:$UA$23,,MATCH(UM49,$TW49:$UA49,0)))</f>
        <v/>
      </c>
      <c r="UP49" s="309" t="str" cm="1">
        <f t="array" aca="1" ref="UP49" ca="1">IF(OR(UO49="",UO49&gt;=$UA$23),"",INDEX(INDIRECT(ADDRESS(ROW($TW$23),UO49+1)):$UA$23,,MATCH(UM49,INDIRECT(ADDRESS(ROW(),UO49+1)):$UA49,0)))</f>
        <v/>
      </c>
      <c r="UQ49" s="309" t="str" cm="1">
        <f t="array" aca="1" ref="UQ49" ca="1">IFERROR(IF(ISNUMBER(UF49),UF49,IF(ISNUMBER(UJ49),UJ49,IF(ISNUMBER(UN49),UN49,INDEX($TW$23:$UA$23,,MATCH(UB49,$TW49:$UA49,0))))),"x1")</f>
        <v>x1</v>
      </c>
      <c r="UR49" s="309" t="str" cm="1">
        <f t="array" aca="1" ref="UR49" ca="1">IFERROR(IF(ISNUMBER(UG49),UG49,IF(ISNUMBER(UK49),UK49,IF(ISNUMBER(UO49),UO49,INDEX($TW$23:$UA$23,,MATCH(UC49,$TW49:$UA49,0))))),IF(UQ49="x1","x2","x1"))</f>
        <v>x2</v>
      </c>
      <c r="US49" s="309" t="str" cm="1">
        <f t="array" aca="1" ref="US49" ca="1">IFERROR(IF(ISNUMBER(UH49),UH49,IF(ISNUMBER(UL49),UL49,IF(ISNUMBER(UP49),UP49,INDEX($TW$23:$UA$23,,MATCH(UD49,$TW49:$UA49,0))))),IF(UR49="x1","x2",IF(UR49="x2","x3","x1")))</f>
        <v>x3</v>
      </c>
      <c r="UT49" s="97" t="str" cm="1">
        <f t="array" aca="1" ref="UT49" ca="1">IF(OR(INDIRECT(UT$3)=$A$2,INDIRECT(UT$3)=$A$3),COLUMN(),"")</f>
        <v/>
      </c>
      <c r="UU49" s="97" t="str" cm="1">
        <f t="array" aca="1" ref="UU49" ca="1">IF(OR(INDIRECT(UU$3)=$A$2,INDIRECT(UU$3)=$A$3),COLUMN(),"")</f>
        <v/>
      </c>
      <c r="UV49" s="97" t="str" cm="1">
        <f t="array" aca="1" ref="UV49" ca="1">IF(OR(INDIRECT(UV$3)=$A$2,INDIRECT(UV$3)=$A$3),COLUMN(),"")</f>
        <v/>
      </c>
      <c r="UW49" s="97" t="str" cm="1">
        <f t="array" aca="1" ref="UW49" ca="1">IF(OR(INDIRECT(UW$3)=$A$2,INDIRECT(UW$3)=$A$3),COLUMN(),"")</f>
        <v/>
      </c>
      <c r="UX49" s="97" t="str" cm="1">
        <f t="array" aca="1" ref="UX49" ca="1">IF(OR(INDIRECT(UX$3)=$A$2,INDIRECT(UX$3)=$A$3),COLUMN(),"")</f>
        <v/>
      </c>
      <c r="UY49" s="97" t="str" cm="1">
        <f t="array" aca="1" ref="UY49" ca="1">IF(AND(ISNUMBER(INDIRECT(UY$3)),INDIRECT(UY$3)=0),COLUMN(),"")</f>
        <v/>
      </c>
      <c r="UZ49" s="97" t="str" cm="1">
        <f t="array" aca="1" ref="UZ49" ca="1">IF(AND(ISNUMBER(INDIRECT(UZ$3)),INDIRECT(UZ$3)=0),COLUMN(),"")</f>
        <v/>
      </c>
      <c r="VA49" s="97" t="str" cm="1">
        <f t="array" aca="1" ref="VA49" ca="1">IF(AND(ISNUMBER(INDIRECT(VA$3)),INDIRECT(VA$3)=0),COLUMN(),"")</f>
        <v/>
      </c>
      <c r="VB49" s="97" t="str" cm="1">
        <f t="array" aca="1" ref="VB49" ca="1">IF(AND(ISNUMBER(INDIRECT(VB$3)),INDIRECT(VB$3)=0),COLUMN(),"")</f>
        <v/>
      </c>
      <c r="VC49" s="97" t="str" cm="1">
        <f t="array" aca="1" ref="VC49" ca="1">IF(AND(ISNUMBER(INDIRECT(VC$3)),INDIRECT(VC$3)=0),COLUMN(),"")</f>
        <v/>
      </c>
      <c r="VD49" s="97" t="str">
        <f t="shared" ca="1" si="218"/>
        <v>x1</v>
      </c>
      <c r="VE49" s="97" t="str">
        <f t="shared" ca="1" si="219"/>
        <v>x2</v>
      </c>
      <c r="VF49" s="97" t="str">
        <f t="shared" ca="1" si="220"/>
        <v>x3</v>
      </c>
      <c r="VG49" s="97" t="str">
        <f ca="1">IFERROR(IF(ISNUMBER(VD49),VD49,SMALL($UY49:$VC49,VALUE(RIGHT(VD49,1)))),Stammdaten!$CB$17)</f>
        <v>Erste Spielsportart nicht durchgeführt</v>
      </c>
      <c r="VH49" s="97" t="str">
        <f ca="1">IFERROR(IF(ISNUMBER(VE49),VE49,SMALL($UY49:$VC49,VALUE(RIGHT(VE49,1)))),Stammdaten!$CB$18)</f>
        <v>Zweite Spielsportart nicht durchgeführt</v>
      </c>
      <c r="VI49" s="97" t="str">
        <f ca="1">IFERROR(IF(ISNUMBER(VF49),VF49,SMALL($UY49:$VC49,VALUE(RIGHT(VF49,1)))),Stammdaten!$CB$19)</f>
        <v>Dritte Spielsportart nicht durchgeführt</v>
      </c>
      <c r="VJ49" s="91" t="str" cm="1">
        <f t="array" aca="1" ref="VJ49" ca="1">IFERROR(INDIRECT(ADDRESS(ROW($TW$5),VG49)),VG49)</f>
        <v>Erste Spielsportart nicht durchgeführt</v>
      </c>
      <c r="VK49" s="97" t="str">
        <f t="shared" ca="1" si="221"/>
        <v/>
      </c>
      <c r="VL49" s="97" t="str" cm="1">
        <f t="array" aca="1" ref="VL49" ca="1">IFERROR(IF(INDIRECT(INDEX(INDIRECT(VL$5),MATCH(VJ49,INDIRECT(VL$4),0)))&lt;&gt;"",INDEX(INDIRECT(VL$5),MATCH(VJ49,INDIRECT(VL$4),0)),INDEX(INDIRECT(VL$6),MATCH(VJ49,INDIRECT(VL$4),0))),"")</f>
        <v/>
      </c>
      <c r="VM49" s="97" t="str">
        <f t="shared" ca="1" si="222"/>
        <v/>
      </c>
      <c r="VN49" s="97" t="str" cm="1">
        <f t="array" aca="1" ref="VN49" ca="1">IFERROR(INDIRECT(VL49),"")</f>
        <v/>
      </c>
      <c r="VO49" s="97" t="str">
        <f ca="1">IF(VN49="","",IF(AND(VK49=Stammdaten!$BX$20,VM49="0",VN49=1),SUBSTITUTE(TEXT(VN49,VM49)&amp;" "&amp;LEFT(VK49,LEN(VK49)-1),".",","),SUBSTITUTE(TEXT(VN49,VM49)&amp;" "&amp;VK49,".",",")))</f>
        <v/>
      </c>
      <c r="VP49" s="97" t="str">
        <f t="shared" ca="1" si="119"/>
        <v/>
      </c>
      <c r="VQ49" s="97" t="str" cm="1">
        <f t="array" aca="1" ref="VQ49" ca="1">IFERROR(LEFT(INDIRECT(VP49),1)&amp;"]","")</f>
        <v/>
      </c>
      <c r="VR49" s="97" t="str">
        <f t="shared" ca="1" si="120"/>
        <v/>
      </c>
      <c r="VS49" s="97" t="str">
        <f ca="1">IFERROR(LEFT(VJ49,FIND(Stammdaten!$CA$4,VJ49,1)-2),IFERROR(LEFT(VJ49,FIND(Stammdaten!$CC$3,VJ49,1)-2),VJ49))</f>
        <v>Erste Spielsportart</v>
      </c>
      <c r="VT49" s="97" t="str">
        <f ca="1">IF(NOT(ISERROR(FIND(Stammdaten!$CA$4,VJ49,1))),Stammdaten!$CA$4,IF(VU49&lt;&gt;Stammdaten!$CC$3,VR49,""))</f>
        <v>nicht durchgeführt</v>
      </c>
      <c r="VU49" s="91" t="str">
        <f ca="1">IF(VN49=$A$2,Stammdaten!$CC$3,VO49)</f>
        <v/>
      </c>
      <c r="VV49" s="91" t="str" cm="1">
        <f t="array" aca="1" ref="VV49" ca="1">IFERROR(INDIRECT(ADDRESS(ROW($TW$5),VH49)),VH49)</f>
        <v>Zweite Spielsportart nicht durchgeführt</v>
      </c>
      <c r="VW49" s="97" t="str">
        <f t="shared" ca="1" si="223"/>
        <v/>
      </c>
      <c r="VX49" s="97" t="str" cm="1">
        <f t="array" aca="1" ref="VX49" ca="1">IFERROR(IF(INDIRECT(INDEX(INDIRECT(VX$5),MATCH(VV49,INDIRECT(VX$4),0)))&lt;&gt;"",INDEX(INDIRECT(VX$5),MATCH(VV49,INDIRECT(VX$4),0)),INDEX(INDIRECT(VX$6),MATCH(VV49,INDIRECT(VX$4),0))),"")</f>
        <v/>
      </c>
      <c r="VY49" s="97" t="str">
        <f t="shared" ca="1" si="224"/>
        <v/>
      </c>
      <c r="VZ49" s="97" t="str" cm="1">
        <f t="array" aca="1" ref="VZ49" ca="1">IFERROR(INDIRECT(VX49),"")</f>
        <v/>
      </c>
      <c r="WA49" s="97" t="str">
        <f ca="1">IF(VZ49="","",IF(AND(VW49=Stammdaten!$BX$20,VY49="0",VZ49=1),SUBSTITUTE(TEXT(VZ49,VY49)&amp;" "&amp;LEFT(VW49,LEN(VW49)-1),".",","),SUBSTITUTE(TEXT(VZ49,VY49)&amp;" "&amp;VW49,".",",")))</f>
        <v/>
      </c>
      <c r="WB49" s="97" t="str">
        <f t="shared" ca="1" si="121"/>
        <v/>
      </c>
      <c r="WC49" s="97" t="str" cm="1">
        <f t="array" aca="1" ref="WC49" ca="1">IFERROR(LEFT(INDIRECT(WB49),1)&amp;"]","")</f>
        <v/>
      </c>
      <c r="WD49" s="97" t="str">
        <f t="shared" ca="1" si="122"/>
        <v/>
      </c>
      <c r="WE49" s="97" t="str">
        <f ca="1">IFERROR(LEFT(VV49,FIND(Stammdaten!$CA$4,VV49,1)-2),IFERROR(LEFT(VV49,FIND(Stammdaten!$CC$3,VV49,1)-2),VV49))</f>
        <v>Zweite Spielsportart</v>
      </c>
      <c r="WF49" s="97" t="str">
        <f ca="1">IF(NOT(ISERROR(FIND(Stammdaten!$CA$4,VV49,1))),Stammdaten!$CA$4,IF(WG49&lt;&gt;Stammdaten!$CC$3,WD49,""))</f>
        <v>nicht durchgeführt</v>
      </c>
      <c r="WG49" s="91" t="str">
        <f ca="1">IF(VZ49=$A$2,Stammdaten!$CC$3,WA49)</f>
        <v/>
      </c>
      <c r="WH49" s="91" t="str" cm="1">
        <f t="array" aca="1" ref="WH49" ca="1">IFERROR(INDIRECT(ADDRESS(ROW($TW$5),VI49)),VI49)</f>
        <v>Dritte Spielsportart nicht durchgeführt</v>
      </c>
      <c r="WI49" s="97" t="str">
        <f t="shared" ca="1" si="225"/>
        <v/>
      </c>
      <c r="WJ49" s="97" t="str" cm="1">
        <f t="array" aca="1" ref="WJ49" ca="1">IFERROR(IF(INDIRECT(INDEX(INDIRECT(WJ$5),MATCH(WH49,INDIRECT(WJ$4),0)))&lt;&gt;"",INDEX(INDIRECT(WJ$5),MATCH(WH49,INDIRECT(WJ$4),0)),INDEX(INDIRECT(WJ$6),MATCH(WH49,INDIRECT(WJ$4),0))),"")</f>
        <v/>
      </c>
      <c r="WK49" s="97" t="str">
        <f t="shared" ca="1" si="226"/>
        <v/>
      </c>
      <c r="WL49" s="97" t="str" cm="1">
        <f t="array" aca="1" ref="WL49" ca="1">IFERROR(INDIRECT(WJ49),"")</f>
        <v/>
      </c>
      <c r="WM49" s="97" t="str">
        <f ca="1">IF(WL49="","",IF(AND(WI49=Stammdaten!$BX$20,WK49="0",WL49=1),SUBSTITUTE(TEXT(WL49,WK49)&amp;" "&amp;LEFT(WI49,LEN(WI49)-1),".",","),SUBSTITUTE(TEXT(WL49,WK49)&amp;" "&amp;WI49,".",",")))</f>
        <v/>
      </c>
      <c r="WN49" s="97" t="str">
        <f t="shared" ca="1" si="123"/>
        <v/>
      </c>
      <c r="WO49" s="97" t="str" cm="1">
        <f t="array" aca="1" ref="WO49" ca="1">IFERROR(LEFT(INDIRECT(WN49),1)&amp;"]","")</f>
        <v/>
      </c>
      <c r="WP49" s="97" t="str">
        <f t="shared" ca="1" si="124"/>
        <v/>
      </c>
      <c r="WQ49" s="97" t="str">
        <f ca="1">IFERROR(LEFT(WH49,FIND(Stammdaten!$CA$4,WH49,1)-2),IFERROR(LEFT(WH49,FIND(Stammdaten!$CC$3,WH49,1)-2),WH49))</f>
        <v>Dritte Spielsportart</v>
      </c>
      <c r="WR49" s="97" t="str">
        <f ca="1">IF(NOT(ISERROR(FIND(Stammdaten!$CA$4,WH49,1))),Stammdaten!$CA$4,IF(WS49&lt;&gt;Stammdaten!$CC$3,WP49,""))</f>
        <v>nicht durchgeführt</v>
      </c>
      <c r="WS49" s="91" t="str">
        <f ca="1">IF(WL49=$A$2,Stammdaten!$CC$3,WM49)</f>
        <v/>
      </c>
      <c r="WT49" s="97" t="str" cm="1">
        <f t="array" aca="1" ref="WT49" ca="1">INDIRECT(WT$5)</f>
        <v/>
      </c>
      <c r="WU49" s="97" t="str" cm="1">
        <f t="array" aca="1" ref="WU49" ca="1">INDIRECT(WU$5)</f>
        <v/>
      </c>
      <c r="WV49" s="97" t="str" cm="1">
        <f t="array" aca="1" ref="WV49" ca="1">INDIRECT(WV$5)</f>
        <v/>
      </c>
      <c r="WW49" s="97" t="str" cm="1">
        <f t="array" aca="1" ref="WW49" ca="1">INDIRECT(WW$5)</f>
        <v/>
      </c>
      <c r="WX49" s="97" t="str" cm="1">
        <f t="array" aca="1" ref="WX49" ca="1">INDIRECT(WX$5)</f>
        <v/>
      </c>
      <c r="WY49" s="97" cm="1">
        <f t="array" aca="1" ref="WY49" ca="1">IF(INDIRECT(WY$5)&lt;&gt;"",INDIRECT(WY$5),0)</f>
        <v>0</v>
      </c>
      <c r="WZ49" s="97" cm="1">
        <f t="array" aca="1" ref="WZ49" ca="1">IF(INDIRECT(WZ$5)&lt;&gt;"",INDIRECT(WZ$5),0)</f>
        <v>0</v>
      </c>
      <c r="XA49" s="97" cm="1">
        <f t="array" aca="1" ref="XA49" ca="1">IF(INDIRECT(XA$5)&lt;&gt;"",INDIRECT(XA$5),0)</f>
        <v>0</v>
      </c>
      <c r="XB49" s="97" cm="1">
        <f t="array" aca="1" ref="XB49" ca="1">IF(INDIRECT(XB$5)&lt;&gt;"",INDIRECT(XB$5),0)</f>
        <v>0</v>
      </c>
      <c r="XC49" s="97" cm="1">
        <f t="array" aca="1" ref="XC49" ca="1">IF(INDIRECT(XC$5)&lt;&gt;"",INDIRECT(XC$5),0)</f>
        <v>0</v>
      </c>
      <c r="XD49" s="97">
        <f t="shared" ca="1" si="125"/>
        <v>0</v>
      </c>
      <c r="XE49" s="97">
        <f t="shared" ca="1" si="125"/>
        <v>0</v>
      </c>
      <c r="XF49" s="97">
        <f t="shared" ca="1" si="125"/>
        <v>0</v>
      </c>
      <c r="XG49" s="97">
        <f t="shared" ca="1" si="227"/>
        <v>0</v>
      </c>
      <c r="XH49" s="108">
        <f t="shared" ca="1" si="228"/>
        <v>0</v>
      </c>
      <c r="XI49" s="108">
        <f t="shared" ca="1" si="126"/>
        <v>0</v>
      </c>
      <c r="XJ49" s="108" t="str">
        <f t="shared" ca="1" si="229"/>
        <v/>
      </c>
      <c r="XK49" s="97" t="str">
        <f ca="1">IF(XJ49="",Stammdaten!$BZ$1,IF(AND(XH49=0,XI49&gt;=XJ$25),$A$3,ROUND(SUM(XG49/XJ49)/XK$25,0)*XK$25))</f>
        <v>Zu wenige Werte</v>
      </c>
      <c r="XL49" s="108">
        <f t="shared" ca="1" si="230"/>
        <v>6</v>
      </c>
      <c r="XM49" s="97" t="str">
        <f t="shared" ca="1" si="231"/>
        <v/>
      </c>
      <c r="XN49" s="97" t="str">
        <f t="shared" ca="1" si="232"/>
        <v/>
      </c>
      <c r="XO49" s="97" t="str">
        <f t="shared" ca="1" si="233"/>
        <v/>
      </c>
      <c r="XP49" s="97" t="str">
        <f t="shared" ca="1" si="234"/>
        <v/>
      </c>
      <c r="XQ49" s="97" t="str">
        <f t="shared" ca="1" si="235"/>
        <v>g</v>
      </c>
      <c r="XR49" s="97" t="str">
        <f t="shared" ca="1" si="236"/>
        <v/>
      </c>
      <c r="XS49" s="97">
        <f t="shared" ca="1" si="237"/>
        <v>1</v>
      </c>
      <c r="XT49" s="97" t="str">
        <f ca="1">IF(OR(Geschlecht[[#This Row],[Geschlecht (Skala)]]="",NOT(ISNUMBER(XJ49))),"",XS49)</f>
        <v/>
      </c>
      <c r="XU49" s="97" t="str">
        <f t="shared" ca="1" si="238"/>
        <v/>
      </c>
      <c r="XV49" s="97"/>
      <c r="XW49" s="308" t="str">
        <f t="shared" ca="1" si="127"/>
        <v>Zu wenige Werte</v>
      </c>
      <c r="XX49" s="97"/>
      <c r="XY49" s="97" t="str">
        <f t="shared" ca="1" si="128"/>
        <v>Zu wenige Werte</v>
      </c>
      <c r="XZ49" s="97" t="str">
        <f t="shared" ca="1" si="129"/>
        <v>Zu wenige Werte</v>
      </c>
      <c r="YA49" s="97" t="str">
        <f t="shared" ca="1" si="130"/>
        <v>Zu wenige Werte</v>
      </c>
      <c r="YB49" s="97" t="str">
        <f t="shared" ca="1" si="131"/>
        <v>Zu wenige Werte</v>
      </c>
      <c r="YC49" s="97">
        <f t="shared" ca="1" si="239"/>
        <v>0</v>
      </c>
      <c r="YD49" s="108">
        <f t="shared" ca="1" si="240"/>
        <v>0</v>
      </c>
      <c r="YE49" s="108">
        <f t="shared" ca="1" si="241"/>
        <v>0</v>
      </c>
      <c r="YF49" s="108" t="str">
        <f t="shared" ca="1" si="242"/>
        <v/>
      </c>
      <c r="YG49" s="97" t="str">
        <f ca="1">IF(YF49="",Stammdaten!$BZ$1,IF(YE49=YF$25,$A$3,ROUND(SUM(YC49/YF49)/YG$25,0)*YG$25))</f>
        <v>Zu wenige Werte</v>
      </c>
      <c r="YH49" s="97" t="str">
        <f ca="1">IF(NOT(ISNUMBER(XY49)),"",IF(YH$11&lt;&gt;"2+",TEXT(XY49,YH$11)&amp;" / ",IF(RIGHT(XY49*100,2)="00",TEXT(XY49,"0"&amp;Stammdaten!$AZ$3&amp;"0")&amp;" / ",XY49&amp;" / ")))</f>
        <v/>
      </c>
      <c r="YI49" s="97" t="str">
        <f ca="1">IF(NOT(ISNUMBER(XZ49)),"",IF(YI$11&lt;&gt;"2+",TEXT(XZ49,YI$11)&amp;" / ",IF(RIGHT(XZ49*100,2)="00",TEXT(XZ49,"0"&amp;Stammdaten!$AZ$3&amp;"0")&amp;" / ",XZ49&amp;" / ")))</f>
        <v/>
      </c>
      <c r="YJ49" s="97" t="str">
        <f ca="1">IF(NOT(ISNUMBER(YA49)),"",IF(YJ$11&lt;&gt;"2+",TEXT(YA49,YJ$11)&amp;" / ",IF(RIGHT(YA49*100,2)="00",TEXT(YA49,"0"&amp;Stammdaten!$AZ$3&amp;"0")&amp;" / ",YA49&amp;" / ")))</f>
        <v/>
      </c>
      <c r="YK49" s="97" t="str">
        <f ca="1">IF(NOT(ISNUMBER(YB49)),"",IF(YK$11&lt;&gt;"2+",TEXT(YB49,YK$11)&amp;" / ",IF(RIGHT(YB49*100,2)="00",TEXT(YB49,"0"&amp;Stammdaten!$AZ$3&amp;"0")&amp;" / ",YB49&amp;" / ")))</f>
        <v/>
      </c>
      <c r="YL49" s="97" t="str">
        <f t="shared" ca="1" si="243"/>
        <v/>
      </c>
      <c r="YM49" s="97" t="str">
        <f>IF(Geschlecht[[#This Row],[Geschlecht (Skala)]]="","",IF(ISNUMBER(XY49),1,IF(XY49=$A$3,$A$2,"R")))</f>
        <v/>
      </c>
      <c r="YN49" s="97" t="str">
        <f>IF(Geschlecht[[#This Row],[Geschlecht (Skala)]]="","",IF(ISNUMBER(XZ49),1,IF(XZ49=$A$3,$A$2,"R")))</f>
        <v/>
      </c>
      <c r="YO49" s="97" t="str">
        <f>IF(Geschlecht[[#This Row],[Geschlecht (Skala)]]="","",IF(ISNUMBER(YA49),1,IF(YA49=$A$3,$A$2,"R")))</f>
        <v/>
      </c>
      <c r="YP49" s="97" t="str">
        <f>IF(Geschlecht[[#This Row],[Geschlecht (Skala)]]="","",IF(ISNUMBER(YB49),1,IF(YB49=$A$3,$A$2,"R")))</f>
        <v/>
      </c>
      <c r="YQ49" s="97" t="str">
        <f t="shared" si="244"/>
        <v>g</v>
      </c>
      <c r="YR49" s="97" t="str">
        <f t="shared" ca="1" si="245"/>
        <v/>
      </c>
      <c r="YS49" s="97">
        <f t="shared" ca="1" si="246"/>
        <v>1</v>
      </c>
      <c r="YT49" s="97" t="str">
        <f ca="1">IF(OR(Geschlecht[[#This Row],[Geschlecht (Skala)]]="",NOT(ISNUMBER(YG49))),"",YS49)</f>
        <v/>
      </c>
      <c r="YU49" s="97"/>
      <c r="YV49" s="311" t="str">
        <f t="shared" si="247"/>
        <v>D</v>
      </c>
      <c r="YW49" s="302"/>
      <c r="YX49" s="311" t="str">
        <f t="shared" si="248"/>
        <v>D</v>
      </c>
      <c r="YY49" s="302"/>
      <c r="YZ49" s="311" t="str">
        <f t="shared" si="249"/>
        <v>D</v>
      </c>
      <c r="ZA49" s="302"/>
      <c r="ZB49" s="311" t="str">
        <f t="shared" si="250"/>
        <v>D</v>
      </c>
      <c r="ZC49" s="97"/>
      <c r="ZD49" s="97" t="str">
        <f t="shared" ca="1" si="132"/>
        <v/>
      </c>
      <c r="ZE49" s="97"/>
      <c r="ZF49" s="308" t="str">
        <f t="shared" ca="1" si="251"/>
        <v>Zu wenige Werte</v>
      </c>
      <c r="ZH49" s="317" t="s">
        <v>134</v>
      </c>
      <c r="ZJ49" s="91" t="str" cm="1">
        <f t="array" ref="ZJ49">IF(OR(Geschlecht[[#This Row],[Geschlecht (Skala)]]="",ZH49="",ZH49=Stammdaten!$BZ$5),"",REPLACE(INDEX(StdDisziplinen[TabÜberschriftNote],ZH$3),FIND("X",INDEX(StdDisziplinen[TabÜberschriftNote],ZH$3),1),1,Geschlecht[[#This Row],[Geschlecht (Skala)]]))</f>
        <v/>
      </c>
      <c r="ZK49" s="314"/>
      <c r="ZM49" s="315"/>
      <c r="ZN49" s="97" t="str">
        <f>IFERROR(IFERROR(SUBSTITUTE(SchwimmenResultatMin[[#This Row],[Min]],".",",")*1,SUBSTITUTE(SchwimmenResultatMin[[#This Row],[Min]],",",".")*1),"")</f>
        <v/>
      </c>
      <c r="ZO49" s="91" t="e">
        <f>INT(SchwimmenResultatMin[[#This Row],[Resultat]])=SchwimmenResultatMin[[#This Row],[Resultat]]</f>
        <v>#VALUE!</v>
      </c>
      <c r="ZP49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49" s="315"/>
      <c r="ZS49" s="97" t="str">
        <f>IFERROR(IFERROR(SUBSTITUTE(SchwimmenResultatSek[[#This Row],[Sek]],".",",")*1,SUBSTITUTE(SchwimmenResultatSek[[#This Row],[Sek]],",",".")*1),"")</f>
        <v/>
      </c>
      <c r="ZT49" s="108" t="e">
        <f>INT(SchwimmenResultatSek[[#This Row],[Resultat]])=SchwimmenResultatSek[[#This Row],[Resultat]]</f>
        <v>#VALUE!</v>
      </c>
      <c r="ZU49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49" s="97" t="str" cm="1">
        <f t="array" aca="1" ref="ZW49" ca="1">IF(AND(INDIRECT(ZW$2)="",INDIRECT(ZX$2)=""),"",IFERROR((INDIRECT(ZW$2)*$ZW$25)+INDIRECT(ZX$2),""))</f>
        <v/>
      </c>
      <c r="ZX49" s="91" t="str">
        <f ca="1">REPLACE(ZW$4,ZX$6,1,Geschlecht[[#This Row],[Geschlecht (Skala)]])</f>
        <v>Schwimmen_[Resultat]</v>
      </c>
      <c r="ZY49" s="91" t="str">
        <f ca="1">IFERROR(REPLACE($ZX49,FIND(Stammdaten!$V$2,$ZX49,1),LEN(Stammdaten!$V$2),Stammdaten!$BZ$9),"")</f>
        <v>Schwimmen_[Anzeige]</v>
      </c>
      <c r="ZZ49" s="97" t="str" cm="1">
        <f t="array" aca="1" ref="ZZ49" ca="1">IF(INDIRECT(ZW$3)="","",IF(INDIRECT(ZW$3)=0,0,IF(OR(INDIRECT(ZW$1)=$A$2,INDIRECT(ZW$1)=$A$3),$A$3,IFERROR(INDEX(INDIRECT(ZX49),MATCH(INDIRECT(ZW$3),INDIRECT(ZX49),ZY$25)),IFERROR(IF(ZY$25=-1,MAX(INDIRECT(ZX49)),IF(ZY$25=1,MIN(INDIRECT(ZX49)))),"")))))</f>
        <v/>
      </c>
      <c r="AAA49" s="97" t="str" cm="1">
        <f t="array" aca="1" ref="AAA49" ca="1">IF(INDIRECT(ZX$5)=0,0,IF(OR(INDIRECT(ZW$1)=$A$2,INDIRECT(ZW$1)=$A$3),$A$3,IFERROR(INDEX(INDIRECT($ZY49),MATCH(INDIRECT(ZX$5),INDIRECT($ZX49),0)),"")))</f>
        <v/>
      </c>
      <c r="AAC49" s="91" t="str">
        <f ca="1">REPLACE(ZW$6,ZX$6,1,Geschlecht[[#This Row],[Geschlecht (Skala)]])</f>
        <v>Schwimmen_[Note]</v>
      </c>
      <c r="AAD49" s="97" t="str" cm="1">
        <f t="array" aca="1" ref="AAD49" ca="1">IFERROR(INDEX(INDIRECT(AAC49),MATCH(INDIRECT(ZX$5),INDIRECT(ZX49),0)),IF(INDIRECT(ZX$5)=0,1,""))</f>
        <v/>
      </c>
      <c r="AAE49" s="97"/>
      <c r="AAF49" s="96" t="str">
        <f>ZwölfMinLaufHalleResultat[[#This Row],[Resultat]]</f>
        <v/>
      </c>
      <c r="AAG49" s="96"/>
      <c r="AAH49" s="97" t="str">
        <f ca="1">ZwölfMinLaufHalleSkalawert[[#This Row],[Skala-Wert]]</f>
        <v/>
      </c>
      <c r="AAJ49" s="97" t="str">
        <f ca="1">ZwölfMinLaufHalleNote[[#This Row],[Note]]</f>
        <v/>
      </c>
      <c r="AAK49" s="97"/>
      <c r="AAL49" s="96" t="str">
        <f>ZwölfMinLaufimFreienResultat[[#This Row],[Resultat]]</f>
        <v/>
      </c>
      <c r="AAM49" s="96"/>
      <c r="AAN49" s="97" t="str">
        <f ca="1">ZwölfMinLaufimFreienSkalawert[[#This Row],[Skala-Wert]]</f>
        <v/>
      </c>
      <c r="AAP49" s="97" t="str">
        <f ca="1">ZwölfMinLaufimFreienNote[[#This Row],[Note]]</f>
        <v/>
      </c>
      <c r="AAQ49" s="97"/>
      <c r="AAR49" s="307"/>
      <c r="AAS49" s="96" t="str">
        <f>IFERROR(IFERROR(SUBSTITUTE(BeweglichkeitResultat[[#This Row],[Eingabe]],".",",")*1,SUBSTITUTE(BeweglichkeitResultat[[#This Row],[Eingabe]],",",".")*1),"")</f>
        <v/>
      </c>
      <c r="AAT49" s="96" t="e">
        <f>INT(BeweglichkeitResultat[[#This Row],[Resultat]])=BeweglichkeitResultat[[#This Row],[Resultat]]</f>
        <v>#VALUE!</v>
      </c>
      <c r="AAU49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49" s="96"/>
      <c r="AAW49" s="91" t="str" cm="1">
        <f t="array" aca="1" ref="AAW49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49" s="96" t="str">
        <f ca="1">REPLACE(AAW$4,AAX$6,1,Geschlecht[[#This Row],[Geschlecht (Skala)]])</f>
        <v>Beweglichkeit_[Resultat]</v>
      </c>
      <c r="AAY49" s="96" t="str" cm="1">
        <f t="array" aca="1" ref="AAY49" ca="1">IF(OR(INDIRECT(AAW$1)=$A$2,INDIRECT(AAW$1)=$A$3),$A$3,IF(OR(INDIRECT(AAW$2)="",AND(Geschlecht[[#This Row],[Geschlecht (Skala)]]=Stammdaten!$D$7,INDIRECT(AAW$2)&lt;0)),"",IFERROR(INDEX(INDIRECT(AAX49),MATCH(INDIRECT(AAW$3),INDIRECT(AAX49),AAX$25)),IFERROR(IF(AAX$25=-1,MAX(INDIRECT(AAX49)),IF(AAX$25=1,MIN(INDIRECT(AAX49)))),""))))</f>
        <v/>
      </c>
      <c r="AAZ49" s="97" t="str" cm="1">
        <f t="array" aca="1" ref="AAZ49" ca="1">IF(INDIRECT(AAW$1)="","",IF(INDIRECT(AAW$1)=0,0,IF(OR(INDIRECT(AAW$1)=$A$2,INDIRECT(AAW$1)=$A$3),$A$3,IFERROR(INDEX(INDIRECT(AAY49),MATCH(INDIRECT(AAW$3),INDIRECT(AAY49),AAY$27)),IFERROR(IF(AAY$27=-1,MAX(INDIRECT(AAY49)),IF(AAY$27=1,MIN(INDIRECT(AAY49)))),"")))))</f>
        <v/>
      </c>
      <c r="ABA49" s="96" t="str">
        <f ca="1">REPLACE(AAW$6,AAX$6,1,Geschlecht[[#This Row],[Geschlecht (Skala)]])</f>
        <v>Beweglichkeit_[Note]</v>
      </c>
      <c r="ABB49" s="91" t="str" cm="1">
        <f t="array" aca="1" ref="ABB49" ca="1">IFERROR(INDEX(INDIRECT(ABA49),MATCH(INDIRECT(AAW$5),INDIRECT(AAX49),0)),"")</f>
        <v/>
      </c>
      <c r="ABC49" s="97" t="str" cm="1">
        <f t="array" aca="1" ref="ABC49" ca="1">IFERROR(INDEX(INDIRECT(ABB49),MATCH(INDIRECT(AAW$5),INDIRECT(AAY49),0)),"")</f>
        <v/>
      </c>
      <c r="ABD49" s="307"/>
      <c r="ABE49" s="96" t="str">
        <f>IFERROR(IFERROR(SUBSTITUTE(RumpfkraftResultat[[#This Row],[Eingabe]],".",",")*1,SUBSTITUTE(RumpfkraftResultat[[#This Row],[Eingabe]],",",".")*1),"")</f>
        <v/>
      </c>
      <c r="ABF49" s="96" t="e">
        <f>INT(RumpfkraftResultat[[#This Row],[Resultat]])=RumpfkraftResultat[[#This Row],[Resultat]]</f>
        <v>#VALUE!</v>
      </c>
      <c r="ABG49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49" s="96"/>
      <c r="ABI49" s="91" t="str" cm="1">
        <f t="array" aca="1" ref="ABI49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49" s="96" t="str">
        <f ca="1">REPLACE(ABI$4,ABJ$6,1,Geschlecht[[#This Row],[Geschlecht (Skala)]])</f>
        <v>Rumpfkraft_[Resultat]</v>
      </c>
      <c r="ABK49" s="97" t="str" cm="1">
        <f t="array" aca="1" ref="ABK49" ca="1">IF(INDIRECT(ABI$1)="","",IF(OR(INDIRECT(ABI$1)=$A$2,INDIRECT(ABI$1)=$A$3),$A$3,IFERROR(INDEX(INDIRECT(ABJ49),MATCH(INDIRECT(ABI$3),INDIRECT(ABJ49),ABJ$25)),IFERROR(IF(ABJ$25=-1,MAX(INDIRECT(ABJ49)),IF(ABJ$25=1,MIN(INDIRECT(ABJ49)))),""))))</f>
        <v/>
      </c>
      <c r="ABM49" s="91" t="str">
        <f ca="1">REPLACE(ABI$6,ABJ$6,1,Geschlecht[[#This Row],[Geschlecht (Skala)]])</f>
        <v>Rumpfkraft_[Note]</v>
      </c>
      <c r="ABN49" s="97" t="str" cm="1">
        <f t="array" aca="1" ref="ABN49" ca="1">IFERROR(INDEX(INDIRECT(ABM49),MATCH(INDIRECT(ABI$5),INDIRECT(ABJ49),0)),"")</f>
        <v/>
      </c>
      <c r="ABO49" s="97"/>
      <c r="ABP49" s="96" t="str">
        <f>SechzigmLaufResultat[[#This Row],[Resultat]]</f>
        <v/>
      </c>
      <c r="ABQ49" s="96"/>
      <c r="ABR49" s="97" t="str">
        <f ca="1">SechzigmLaufSkalawert[[#This Row],[Skala-Wert]]</f>
        <v/>
      </c>
      <c r="ABT49" s="97" t="str">
        <f ca="1">SechzigmLaufNote[[#This Row],[Note]]</f>
        <v/>
      </c>
      <c r="ABU49" s="97"/>
      <c r="ABV49" s="96" t="str">
        <f>AchtzigmLaufResultat[[#This Row],[Resultat]]</f>
        <v/>
      </c>
      <c r="ABW49" s="96"/>
      <c r="ABX49" s="97" t="str">
        <f ca="1">AchtzigmLaufSkalawert[[#This Row],[Skala-Wert]]</f>
        <v/>
      </c>
      <c r="ABZ49" s="97" t="str">
        <f ca="1">AchtzigmLaufNote[[#This Row],[Note]]</f>
        <v/>
      </c>
      <c r="ACA49" s="97"/>
      <c r="ACB49" s="307"/>
      <c r="ACC49" s="96" t="str">
        <f>IFERROR(IFERROR(SUBSTITUTE(KonditionsparcoursResultat[[#This Row],[Eingabe]],".",",")*1,SUBSTITUTE(KonditionsparcoursResultat[[#This Row],[Eingabe]],",",".")*1),"")</f>
        <v/>
      </c>
      <c r="ACD49" s="96" t="e">
        <f>INT(KonditionsparcoursResultat[[#This Row],[Resultat]])=KonditionsparcoursResultat[[#This Row],[Resultat]]</f>
        <v>#VALUE!</v>
      </c>
      <c r="ACE49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49" s="96"/>
      <c r="ACG49" s="91" t="str" cm="1">
        <f t="array" aca="1" ref="ACG49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49" s="96" t="str">
        <f ca="1">LEFT(Geschlecht[[#This Row],[Geschlecht (Skala)]],1)&amp;ACM$4</f>
        <v>2</v>
      </c>
      <c r="ACI49" s="96" t="str">
        <f t="shared" ca="1" si="133"/>
        <v>Konditionsparcours_2[Resultat]</v>
      </c>
      <c r="ACJ49" s="97" t="str" cm="1">
        <f t="array" aca="1" ref="ACJ49" ca="1">IF(INDIRECT(ACG$1)="","",IF(OR(INDIRECT(ACG$1)=$A$2,INDIRECT(ACG$1)=$A$3),$A$3,IFERROR(INDEX(INDIRECT(ACI49),MATCH(INDIRECT(ACG$3),INDIRECT(ACI49),ACI$25)),IFERROR(IF(ACI$25=-1,MAX(INDIRECT(ACI49)),IF(ACI$25=1,MIN(INDIRECT(ACI49)))),""))))</f>
        <v/>
      </c>
      <c r="ACL49" s="91" t="str">
        <f t="shared" ca="1" si="134"/>
        <v>Konditionsparcours_2[Note]</v>
      </c>
      <c r="ACM49" s="97" t="str" cm="1">
        <f t="array" aca="1" ref="ACM49" ca="1">IFERROR(INDEX(INDIRECT(ACL49),MATCH(INDIRECT(ACG$5),INDIRECT(ACI49),0)),"")</f>
        <v/>
      </c>
      <c r="ACN49" s="102"/>
    </row>
    <row r="50" spans="1:768">
      <c r="A50" s="305">
        <v>23</v>
      </c>
      <c r="B50" s="133"/>
      <c r="C50" s="133"/>
      <c r="E50" s="306"/>
      <c r="G50" s="307"/>
      <c r="H50" s="96" t="str">
        <f>IFERROR(IFERROR(SUBSTITUTE(SechzigmLaufResultat[[#This Row],[Eingabe]],".",",")*1,SUBSTITUTE(SechzigmLaufResultat[[#This Row],[Eingabe]],",",".")*1),"")</f>
        <v/>
      </c>
      <c r="I50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0" s="96"/>
      <c r="K50" s="91" t="str" cm="1">
        <f t="array" aca="1" ref="K50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0" s="96" t="str">
        <f ca="1">LEFT(Geschlecht[[#This Row],[Geschlecht (Skala)]],1)&amp;Q$4</f>
        <v>2</v>
      </c>
      <c r="M50" s="96" t="str">
        <f t="shared" ca="1" si="37"/>
        <v>SechzigmLauf_2[Resultat]</v>
      </c>
      <c r="N50" s="97" t="str" cm="1">
        <f t="array" aca="1" ref="N50" ca="1">IF(INDIRECT(K$1)="","",IF(INDIRECT(K$2)=0,0,IF(OR(INDIRECT(K$1)=$A$2,INDIRECT(K$1)=$A$3),$A$3,IFERROR(INDEX(INDIRECT(M50),MATCH(INDIRECT(K$3),INDIRECT(M50),M$25)),IFERROR(IF(M$25=-1,MAX(INDIRECT(M50)),IF(M$25=1,MIN(INDIRECT(M50)))),"")))))</f>
        <v/>
      </c>
      <c r="P50" s="91" t="str">
        <f t="shared" ca="1" si="38"/>
        <v>SechzigmLauf_2[Note]</v>
      </c>
      <c r="Q50" s="97" t="str" cm="1">
        <f t="array" aca="1" ref="Q50" ca="1">IFERROR(INDEX(INDIRECT(P50),MATCH(INDIRECT(K$5),INDIRECT(M50),0)),IF(INDIRECT(K$5)=0,1,""))</f>
        <v/>
      </c>
      <c r="R50" s="97"/>
      <c r="S50" s="307"/>
      <c r="T50" s="96" t="str">
        <f>IFERROR(IFERROR(SUBSTITUTE(AchtzigmLaufResultat[[#This Row],[Eingabe]],".",",")*1,SUBSTITUTE(AchtzigmLaufResultat[[#This Row],[Eingabe]],",",".")*1),"")</f>
        <v/>
      </c>
      <c r="U50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0" s="96"/>
      <c r="W50" s="91" t="str" cm="1">
        <f t="array" aca="1" ref="W50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0" s="96" t="str">
        <f ca="1">LEFT(Geschlecht[[#This Row],[Geschlecht (Skala)]],1)&amp;AC$4</f>
        <v>2</v>
      </c>
      <c r="Y50" s="96" t="str">
        <f t="shared" ca="1" si="39"/>
        <v>AchtzigmLauf_2[Resultat]</v>
      </c>
      <c r="Z50" s="97" t="str" cm="1">
        <f t="array" aca="1" ref="Z50" ca="1">IF(INDIRECT(W$1)="","",IF(INDIRECT(W$2)=0,0,IF(OR(INDIRECT(W$1)=$A$2,INDIRECT(W$1)=$A$3),$A$3,IFERROR(INDEX(INDIRECT(Y50),MATCH(INDIRECT(W$3),INDIRECT(Y50),Y$25)),IFERROR(IF(Y$25=-1,MAX(INDIRECT(Y50)),IF(Y$25=1,MIN(INDIRECT(Y50)))),"")))))</f>
        <v/>
      </c>
      <c r="AB50" s="91" t="str">
        <f t="shared" ca="1" si="40"/>
        <v>AchtzigmLauf_2[Note]</v>
      </c>
      <c r="AC50" s="97" t="str" cm="1">
        <f t="array" aca="1" ref="AC50" ca="1">IFERROR(INDEX(INDIRECT(AB50),MATCH(INDIRECT(W$5),INDIRECT(Y50),0)),IF(INDIRECT(W$5)=0,1,""))</f>
        <v/>
      </c>
      <c r="AD50" s="97"/>
      <c r="AE50" s="307"/>
      <c r="AF50" s="96" t="str">
        <f>IFERROR(IFERROR(SUBSTITUTE(ZwölfMinLaufHalleResultat[[#This Row],[Eingabe]],".",",")*1,SUBSTITUTE(ZwölfMinLaufHalleResultat[[#This Row],[Eingabe]],",",".")*1),"")</f>
        <v/>
      </c>
      <c r="AG50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0" s="96"/>
      <c r="AI50" s="91" t="str" cm="1">
        <f t="array" aca="1" ref="AI50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0" s="96" t="str">
        <f ca="1">LEFT(Geschlecht[[#This Row],[Geschlecht (Skala)]],1)&amp;AO$4</f>
        <v>2</v>
      </c>
      <c r="AK50" s="96" t="str">
        <f t="shared" ca="1" si="41"/>
        <v>ZwölfMinLaufHalle_2[Resultat]</v>
      </c>
      <c r="AL50" s="97" t="str" cm="1">
        <f t="array" aca="1" ref="AL50" ca="1">IF(INDIRECT(AI$1)="","",IF(INDIRECT(AI$2)=0,0,IF(OR(INDIRECT(AI$1)=$A$2,INDIRECT(AI$1)=$A$3),$A$3,IFERROR(INDEX(INDIRECT(AK50),MATCH(INDIRECT(AI$3),INDIRECT(AK50),AK$25)),IFERROR(IF(AK$25=-1,MAX(INDIRECT(AK50)),IF(AK$25=1,MIN(INDIRECT(AK50)))),"")))))</f>
        <v/>
      </c>
      <c r="AN50" s="91" t="str">
        <f t="shared" ca="1" si="42"/>
        <v>ZwölfMinLaufHalle_2[Note]</v>
      </c>
      <c r="AO50" s="97" t="str" cm="1">
        <f t="array" aca="1" ref="AO50" ca="1">IFERROR(INDEX(INDIRECT(AN50),MATCH(INDIRECT(AI$5),INDIRECT(AK50),0)),IF(INDIRECT(AI$5)=0,1,""))</f>
        <v/>
      </c>
      <c r="AP50" s="97"/>
      <c r="AQ50" s="307"/>
      <c r="AR50" s="96" t="str">
        <f>IFERROR(IFERROR(SUBSTITUTE(ZwölfMinLaufimFreienResultat[[#This Row],[Eingabe]],".",",")*1,SUBSTITUTE(ZwölfMinLaufimFreienResultat[[#This Row],[Eingabe]],",",".")*1),"")</f>
        <v/>
      </c>
      <c r="AS50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0" s="96"/>
      <c r="AU50" s="91" t="str" cm="1">
        <f t="array" aca="1" ref="AU50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0" s="96" t="str">
        <f ca="1">LEFT(Geschlecht[[#This Row],[Geschlecht (Skala)]],1)&amp;BA$4</f>
        <v>2</v>
      </c>
      <c r="AW50" s="96" t="str">
        <f t="shared" ca="1" si="43"/>
        <v>ZwölfMinLaufimFreien_2[Resultat]</v>
      </c>
      <c r="AX50" s="97" t="str" cm="1">
        <f t="array" aca="1" ref="AX50" ca="1">IF(INDIRECT(AU$1)="","",IF(INDIRECT(AU$2)=0,0,IF(OR(INDIRECT(AU$1)=$A$2,INDIRECT(AU$1)=$A$3),$A$3,IFERROR(INDEX(INDIRECT(AW50),MATCH(INDIRECT(AU$3),INDIRECT(AW50),AW$25)),IFERROR(IF(AW$25=-1,MAX(INDIRECT(AW50)),IF(AW$25=1,MIN(INDIRECT(AW50)))),"")))))</f>
        <v/>
      </c>
      <c r="AZ50" s="91" t="str">
        <f t="shared" ca="1" si="44"/>
        <v>ZwölfMinLaufimFreien_2[Note]</v>
      </c>
      <c r="BA50" s="97" t="str" cm="1">
        <f t="array" aca="1" ref="BA50" ca="1">IFERROR(INDEX(INDIRECT(AZ50),MATCH(INDIRECT(AU$5),INDIRECT(AW50),0)),IF(INDIRECT(AU$5)=0,1,""))</f>
        <v/>
      </c>
      <c r="BB50" s="97"/>
      <c r="BC50" s="307"/>
      <c r="BD50" s="96" t="str">
        <f>IFERROR(IFERROR(SUBSTITUTE(HochsprungResultat[[#This Row],[Eingabe]],".",",")*1,SUBSTITUTE(HochsprungResultat[[#This Row],[Eingabe]],",",".")*1),"")</f>
        <v/>
      </c>
      <c r="BE50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0" s="96"/>
      <c r="BG50" s="91" t="str" cm="1">
        <f t="array" aca="1" ref="BG50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0" s="96" t="str">
        <f ca="1">LEFT(Geschlecht[[#This Row],[Geschlecht (Skala)]],1)&amp;BM$4</f>
        <v>2</v>
      </c>
      <c r="BI50" s="96" t="str">
        <f t="shared" ca="1" si="45"/>
        <v>Hochsprung_2[Resultat]</v>
      </c>
      <c r="BJ50" s="97" t="str" cm="1">
        <f t="array" aca="1" ref="BJ50" ca="1">IF(INDIRECT(BG$1)="","",IF(INDIRECT(BG$2)=0,0,IF(OR(INDIRECT(BG$1)=$A$2,INDIRECT(BG$1)=$A$3),$A$3,IFERROR(INDEX(INDIRECT(BI50),MATCH(INDIRECT(BG$3),INDIRECT(BI50),BI$25)),IFERROR(IF(BI$25=-1,MAX(INDIRECT(BI50)),IF(BI$25=1,MIN(INDIRECT(BI50)))),"")))))</f>
        <v/>
      </c>
      <c r="BL50" s="91" t="str">
        <f t="shared" ca="1" si="46"/>
        <v>Hochsprung_2[Note]</v>
      </c>
      <c r="BM50" s="97" t="str" cm="1">
        <f t="array" aca="1" ref="BM50" ca="1">IFERROR(INDEX(INDIRECT(BL50),MATCH(INDIRECT(BG$5),INDIRECT(BI50),0)),IF(INDIRECT(BG$5)=0,1,""))</f>
        <v/>
      </c>
      <c r="BN50" s="97"/>
      <c r="BO50" s="307"/>
      <c r="BP50" s="96" t="str">
        <f>IFERROR(IFERROR(SUBSTITUTE(WeitsprungResultat[[#This Row],[Eingabe]],".",",")*1,SUBSTITUTE(WeitsprungResultat[[#This Row],[Eingabe]],",",".")*1),"")</f>
        <v/>
      </c>
      <c r="BQ50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0" s="96"/>
      <c r="BS50" s="91" t="str" cm="1">
        <f t="array" aca="1" ref="BS50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0" s="96" t="str">
        <f ca="1">LEFT(Geschlecht[[#This Row],[Geschlecht (Skala)]],1)&amp;BY$4</f>
        <v>2</v>
      </c>
      <c r="BU50" s="96" t="str">
        <f t="shared" ca="1" si="47"/>
        <v>Weitsprung_2[Resultat]</v>
      </c>
      <c r="BV50" s="97" t="str" cm="1">
        <f t="array" aca="1" ref="BV50" ca="1">IF(INDIRECT(BS$1)="","",IF(INDIRECT(BS$2)=0,0,IF(OR(INDIRECT(BS$1)=$A$2,INDIRECT(BS$1)=$A$3),$A$3,IFERROR(INDEX(INDIRECT(BU50),MATCH(INDIRECT(BS$3),INDIRECT(BU50),BU$25)),IFERROR(IF(BU$25=-1,MAX(INDIRECT(BU50)),IF(BU$25=1,MIN(INDIRECT(BU50)))),"")))))</f>
        <v/>
      </c>
      <c r="BX50" s="91" t="str">
        <f t="shared" ca="1" si="48"/>
        <v>Weitsprung_2[Note]</v>
      </c>
      <c r="BY50" s="97" t="str" cm="1">
        <f t="array" aca="1" ref="BY50" ca="1">IFERROR(INDEX(INDIRECT(BX50),MATCH(INDIRECT(BS$5),INDIRECT(BU50),0)),IF(INDIRECT(BS$5)=0,1,""))</f>
        <v/>
      </c>
      <c r="BZ50" s="97"/>
      <c r="CA50" s="307"/>
      <c r="CB50" s="96" t="str">
        <f>IFERROR(IFERROR(SUBSTITUTE(BallwurfResultat[[#This Row],[Eingabe]],".",",")*1,SUBSTITUTE(BallwurfResultat[[#This Row],[Eingabe]],",",".")*1),"")</f>
        <v/>
      </c>
      <c r="CC50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0" s="96"/>
      <c r="CE50" s="91" t="str" cm="1">
        <f t="array" aca="1" ref="CE50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0" s="96" t="str">
        <f ca="1">LEFT(Geschlecht[[#This Row],[Geschlecht (Skala)]],1)&amp;CK$4</f>
        <v>2</v>
      </c>
      <c r="CG50" s="96" t="str">
        <f t="shared" ca="1" si="49"/>
        <v>Ballwurf_2[Resultat]</v>
      </c>
      <c r="CH50" s="97" t="str" cm="1">
        <f t="array" aca="1" ref="CH50" ca="1">IF(INDIRECT(CE$1)="","",IF(INDIRECT(CE$2)=0,0,IF(OR(INDIRECT(CE$1)=$A$2,INDIRECT(CE$1)=$A$3),$A$3,IFERROR(INDEX(INDIRECT(CG50),MATCH(INDIRECT(CE$3),INDIRECT(CG50),CG$25)),IFERROR(IF(CG$25=-1,MAX(INDIRECT(CG50)),IF(CG$25=1,MIN(INDIRECT(CG50)))),"")))))</f>
        <v/>
      </c>
      <c r="CJ50" s="91" t="str">
        <f t="shared" ca="1" si="50"/>
        <v>Ballwurf_2[Note]</v>
      </c>
      <c r="CK50" s="97" t="str" cm="1">
        <f t="array" aca="1" ref="CK50" ca="1">IFERROR(INDEX(INDIRECT(CJ50),MATCH(INDIRECT(CE$5),INDIRECT(CG50),0)),IF(INDIRECT(CE$5)=0,1,""))</f>
        <v/>
      </c>
      <c r="CL50" s="97"/>
      <c r="CM50" s="307"/>
      <c r="CN50" s="96" t="str">
        <f>IFERROR(IFERROR(SUBSTITUTE(KugelstossenResultat[[#This Row],[Eingabe]],".",",")*1,SUBSTITUTE(KugelstossenResultat[[#This Row],[Eingabe]],",",".")*1),"")</f>
        <v/>
      </c>
      <c r="CO50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0" s="96"/>
      <c r="CQ50" s="91" t="str" cm="1">
        <f t="array" aca="1" ref="CQ50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0" s="96" t="str">
        <f ca="1">LEFT(Geschlecht[[#This Row],[Geschlecht (Skala)]],1)&amp;CW$4</f>
        <v>2</v>
      </c>
      <c r="CS50" s="96" t="str">
        <f t="shared" ca="1" si="51"/>
        <v>Kugelstossen_2[Resultat]</v>
      </c>
      <c r="CT50" s="97" t="str" cm="1">
        <f t="array" aca="1" ref="CT50" ca="1">IF(INDIRECT(CQ$1)="","",IF(INDIRECT(CQ$2)=0,0,IF(OR(INDIRECT(CQ$1)=$A$2,INDIRECT(CQ$1)=$A$3),$A$3,IFERROR(INDEX(INDIRECT(CS50),MATCH(INDIRECT(CQ$3),INDIRECT(CS50),CS$25)),IFERROR(IF(CS$25=-1,MAX(INDIRECT(CS50)),IF(CS$25=1,MIN(INDIRECT(CS50)))),"")))))</f>
        <v/>
      </c>
      <c r="CV50" s="91" t="str">
        <f t="shared" ca="1" si="52"/>
        <v>Kugelstossen_2[Note]</v>
      </c>
      <c r="CW50" s="97" t="str" cm="1">
        <f t="array" aca="1" ref="CW50" ca="1">IFERROR(INDEX(INDIRECT(CV50),MATCH(INDIRECT(CQ$5),INDIRECT(CS50),0)),IF(INDIRECT(CQ$5)=0,1,""))</f>
        <v/>
      </c>
      <c r="CX50" s="97"/>
      <c r="CY50" s="307"/>
      <c r="CZ50" s="96" t="str">
        <f>IFERROR(IFERROR(SUBSTITUTE(SpeerwurfResultat[[#This Row],[Eingabe]],".",",")*1,SUBSTITUTE(SpeerwurfResultat[[#This Row],[Eingabe]],",",".")*1),"")</f>
        <v/>
      </c>
      <c r="DA50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0" s="96"/>
      <c r="DC50" s="91" t="str" cm="1">
        <f t="array" aca="1" ref="DC50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0" s="96" t="str">
        <f ca="1">LEFT(Geschlecht[[#This Row],[Geschlecht (Skala)]],1)&amp;DI$4</f>
        <v>2</v>
      </c>
      <c r="DE50" s="96" t="str">
        <f t="shared" ca="1" si="53"/>
        <v>Speerwurf_2[Resultat]</v>
      </c>
      <c r="DF50" s="97" t="str" cm="1">
        <f t="array" aca="1" ref="DF50" ca="1">IF(INDIRECT(DC$1)="","",IF(INDIRECT(DC$2)=0,0,IF(OR(INDIRECT(DC$1)=$A$2,INDIRECT(DC$1)=$A$3),$A$3,IFERROR(INDEX(INDIRECT(DE50),MATCH(INDIRECT(DC$3),INDIRECT(DE50),DE$25)),IFERROR(IF(DE$25=-1,MAX(INDIRECT(DE50)),IF(DE$25=1,MIN(INDIRECT(DE50)))),"")))))</f>
        <v/>
      </c>
      <c r="DH50" s="91" t="str">
        <f t="shared" ca="1" si="54"/>
        <v>Speerwurf_2[Note]</v>
      </c>
      <c r="DI50" s="97" t="str" cm="1">
        <f t="array" aca="1" ref="DI50" ca="1">IFERROR(INDEX(INDIRECT(DH50),MATCH(INDIRECT(DC$5),INDIRECT(DE50),0)),IF(INDIRECT(DC$5)=0,1,""))</f>
        <v/>
      </c>
      <c r="DJ50" s="97"/>
      <c r="DK50" s="97" t="str" cm="1">
        <f t="array" aca="1" ref="DK50" ca="1">INDIRECT(DK$5)</f>
        <v/>
      </c>
      <c r="DL50" s="97" t="str" cm="1">
        <f t="array" aca="1" ref="DL50" ca="1">INDIRECT(DL$5)</f>
        <v/>
      </c>
      <c r="DM50" s="97" t="str" cm="1">
        <f t="array" aca="1" ref="DM50" ca="1">INDIRECT(DM$5)</f>
        <v/>
      </c>
      <c r="DN50" s="97" t="str" cm="1">
        <f t="array" aca="1" ref="DN50" ca="1">INDIRECT(DN$5)</f>
        <v/>
      </c>
      <c r="DO50" s="97" t="str">
        <f t="shared" ca="1" si="135"/>
        <v>Sprintdisziplinen nicht durchgeführt</v>
      </c>
      <c r="DP50" s="97" t="str">
        <f t="shared" ca="1" si="136"/>
        <v/>
      </c>
      <c r="DQ50" s="108">
        <f t="shared" ca="1" si="137"/>
        <v>0</v>
      </c>
      <c r="DR50" s="108">
        <f t="shared" ca="1" si="138"/>
        <v>0</v>
      </c>
      <c r="DS50" s="108" t="str">
        <f t="shared" ca="1" si="139"/>
        <v/>
      </c>
      <c r="DT50" s="97" t="str">
        <f t="shared" ca="1" si="140"/>
        <v>Sprintdisziplinen nicht durchgeführt</v>
      </c>
      <c r="DU50" s="97" t="str">
        <f t="shared" ca="1" si="141"/>
        <v/>
      </c>
      <c r="DV50" s="97" t="str" cm="1">
        <f t="array" aca="1" ref="DV50" ca="1">IFERROR(IF(INDIRECT(INDEX(INDIRECT(DV$5),MATCH(DT50,INDIRECT(DV$4),0)))&lt;&gt;"",INDEX(INDIRECT(DV$5),MATCH(DT50,INDIRECT(DV$4),0)),INDEX(INDIRECT(DV$6),MATCH(DT50,INDIRECT(DV$4),0))),"")</f>
        <v/>
      </c>
      <c r="DW50" s="97" t="str">
        <f t="shared" ca="1" si="142"/>
        <v/>
      </c>
      <c r="DX50" s="97" t="str" cm="1">
        <f t="array" aca="1" ref="DX50" ca="1">IFERROR(INDIRECT(DV50),IF(NOT(ISERROR(FIND(Stammdaten!$CC$3,DT50,1))),$A$2,""))</f>
        <v/>
      </c>
      <c r="DY50" s="97" t="str">
        <f ca="1">IF(DX50="","",IF(AND(DU50=Stammdaten!$BX$20,DW50="0",DX50=1),SUBSTITUTE(TEXT(DX50,DW50)&amp;" "&amp;LEFT(DU50,LEN(DU50)-1),".",","),SUBSTITUTE(TEXT(DX50,DW50)&amp;" "&amp;DU50,".",",")))</f>
        <v/>
      </c>
      <c r="DZ50" s="97" t="str">
        <f t="shared" ca="1" si="55"/>
        <v/>
      </c>
      <c r="EA50" s="97" t="str" cm="1">
        <f t="array" aca="1" ref="EA50" ca="1">IFERROR(LEFT(INDIRECT(DZ50),1)&amp;"]","")</f>
        <v/>
      </c>
      <c r="EB50" s="97" t="str">
        <f t="shared" ca="1" si="56"/>
        <v/>
      </c>
      <c r="EC50" s="97" t="str">
        <f ca="1">IFERROR(LEFT(DT50,FIND(Stammdaten!$CA$4,DT50,1)-2),IFERROR(LEFT(DT50,FIND(Stammdaten!$CC$3,DT50,1)-2),DT50))</f>
        <v>Sprintdisziplinen</v>
      </c>
      <c r="ED50" s="97" t="str">
        <f ca="1">IF(NOT(ISERROR(FIND(Stammdaten!$CA$4,DT50,1))),Stammdaten!$CA$4,IF(EE50&lt;&gt;Stammdaten!$CC$3,EB50,""))</f>
        <v>nicht durchgeführt</v>
      </c>
      <c r="EE50" s="91" t="str">
        <f ca="1">IF(DX50=$A$2,Stammdaten!$CC$3,DY50)</f>
        <v/>
      </c>
      <c r="EF50" s="97" t="str" cm="1">
        <f t="array" aca="1" ref="EF50" ca="1">INDIRECT(EF$5)</f>
        <v/>
      </c>
      <c r="EG50" s="97" t="str" cm="1">
        <f t="array" aca="1" ref="EG50" ca="1">INDIRECT(EG$5)</f>
        <v/>
      </c>
      <c r="EH50" s="97" t="str" cm="1">
        <f t="array" aca="1" ref="EH50" ca="1">INDIRECT(EH$5)</f>
        <v/>
      </c>
      <c r="EI50" s="97" t="str" cm="1">
        <f t="array" aca="1" ref="EI50" ca="1">INDIRECT(EI$5)</f>
        <v/>
      </c>
      <c r="EJ50" s="97" t="str">
        <f t="shared" ca="1" si="143"/>
        <v>Ausdauerdisziplinen nicht durchgeführt</v>
      </c>
      <c r="EK50" s="97" t="str">
        <f t="shared" ca="1" si="144"/>
        <v/>
      </c>
      <c r="EL50" s="108">
        <f t="shared" ca="1" si="145"/>
        <v>0</v>
      </c>
      <c r="EM50" s="108">
        <f t="shared" ca="1" si="146"/>
        <v>0</v>
      </c>
      <c r="EN50" s="108" t="str">
        <f t="shared" ca="1" si="147"/>
        <v/>
      </c>
      <c r="EO50" s="97" t="str">
        <f t="shared" ca="1" si="148"/>
        <v>Ausdauerdisziplinen nicht durchgeführt</v>
      </c>
      <c r="EP50" s="97" t="str">
        <f t="shared" ca="1" si="149"/>
        <v/>
      </c>
      <c r="EQ50" s="97" t="str" cm="1">
        <f t="array" aca="1" ref="EQ50" ca="1">IFERROR(IF(INDIRECT(INDEX(INDIRECT(EQ$5),MATCH(EO50,INDIRECT(EQ$4),0)))&lt;&gt;"",INDEX(INDIRECT(EQ$5),MATCH(EO50,INDIRECT(EQ$4),0)),INDEX(INDIRECT(EQ$6),MATCH(EO50,INDIRECT(EQ$4),0))),"")</f>
        <v/>
      </c>
      <c r="ER50" s="97" t="str">
        <f t="shared" ca="1" si="150"/>
        <v/>
      </c>
      <c r="ES50" s="97" t="str" cm="1">
        <f t="array" aca="1" ref="ES50" ca="1">IFERROR(INDIRECT(EQ50),IF(NOT(ISERROR(FIND(Stammdaten!$CC$3,EO50,1))),$A$2,""))</f>
        <v/>
      </c>
      <c r="ET50" s="97" t="str">
        <f ca="1">IF(ES50="","",IF(AND(EP50=Stammdaten!$BX$20,ER50="0",ES50=1),SUBSTITUTE(TEXT(ES50,ER50)&amp;" "&amp;LEFT(EP50,LEN(EP50)-1),".",","),SUBSTITUTE(TEXT(ES50,ER50)&amp;" "&amp;EP50,".",",")))</f>
        <v/>
      </c>
      <c r="EU50" s="97" t="str">
        <f t="shared" ca="1" si="57"/>
        <v/>
      </c>
      <c r="EV50" s="97" t="str" cm="1">
        <f t="array" aca="1" ref="EV50" ca="1">IFERROR(LEFT(INDIRECT(EU50),1)&amp;"]","")</f>
        <v/>
      </c>
      <c r="EW50" s="97" t="str">
        <f t="shared" ca="1" si="58"/>
        <v/>
      </c>
      <c r="EX50" s="97" t="str">
        <f ca="1">IFERROR(LEFT(EO50,FIND(Stammdaten!$CA$4,EO50,1)-2),IFERROR(LEFT(EO50,FIND(Stammdaten!$CC$3,EO50,1)-2),EO50))</f>
        <v>Ausdauerdisziplinen</v>
      </c>
      <c r="EY50" s="97" t="str">
        <f ca="1">IF(NOT(ISERROR(FIND(Stammdaten!$CA$4,EO50,1))),Stammdaten!$CA$4,IF(EZ50&lt;&gt;Stammdaten!$CC$3,EW50,""))</f>
        <v>nicht durchgeführt</v>
      </c>
      <c r="EZ50" s="91" t="str">
        <f ca="1">IF(ES50=$A$2,Stammdaten!$CC$3,ET50)</f>
        <v/>
      </c>
      <c r="FA50" s="97" t="str" cm="1">
        <f t="array" aca="1" ref="FA50" ca="1">INDIRECT(FA$5)</f>
        <v/>
      </c>
      <c r="FB50" s="97" t="str" cm="1">
        <f t="array" aca="1" ref="FB50" ca="1">INDIRECT(FB$5)</f>
        <v/>
      </c>
      <c r="FC50" s="97" t="str" cm="1">
        <f t="array" aca="1" ref="FC50" ca="1">INDIRECT(FC$5)</f>
        <v/>
      </c>
      <c r="FD50" s="97" t="str" cm="1">
        <f t="array" aca="1" ref="FD50" ca="1">INDIRECT(FD$5)</f>
        <v/>
      </c>
      <c r="FE50" s="97" t="str">
        <f t="shared" ca="1" si="151"/>
        <v>Sprungdisziplinen nicht durchgeführt</v>
      </c>
      <c r="FF50" s="97" t="str">
        <f t="shared" ca="1" si="152"/>
        <v/>
      </c>
      <c r="FG50" s="108">
        <f t="shared" ca="1" si="153"/>
        <v>0</v>
      </c>
      <c r="FH50" s="108">
        <f t="shared" ca="1" si="154"/>
        <v>0</v>
      </c>
      <c r="FI50" s="108" t="str">
        <f t="shared" ca="1" si="155"/>
        <v/>
      </c>
      <c r="FJ50" s="97" t="str">
        <f t="shared" ca="1" si="156"/>
        <v>Sprungdisziplinen nicht durchgeführt</v>
      </c>
      <c r="FK50" s="97" t="str">
        <f t="shared" ca="1" si="157"/>
        <v/>
      </c>
      <c r="FL50" s="97" t="str" cm="1">
        <f t="array" aca="1" ref="FL50" ca="1">IFERROR(IF(INDIRECT(INDEX(INDIRECT(FL$5),MATCH(FJ50,INDIRECT(FL$4),0)))&lt;&gt;"",INDEX(INDIRECT(FL$5),MATCH(FJ50,INDIRECT(FL$4),0)),INDEX(INDIRECT(FL$6),MATCH(FJ50,INDIRECT(FL$4),0))),"")</f>
        <v/>
      </c>
      <c r="FM50" s="97" t="str">
        <f t="shared" ca="1" si="158"/>
        <v/>
      </c>
      <c r="FN50" s="97" t="str" cm="1">
        <f t="array" aca="1" ref="FN50" ca="1">IFERROR(INDIRECT(FL50),IF(NOT(ISERROR(FIND(Stammdaten!$CC$3,FJ50,1))),$A$2,""))</f>
        <v/>
      </c>
      <c r="FO50" s="97" t="str">
        <f ca="1">IF(FN50="","",IF(AND(FK50=Stammdaten!$BX$20,FM50="0",FN50=1),SUBSTITUTE(TEXT(FN50,FM50)&amp;" "&amp;LEFT(FK50,LEN(FK50)-1),".",","),SUBSTITUTE(TEXT(FN50,FM50)&amp;" "&amp;FK50,".",",")))</f>
        <v/>
      </c>
      <c r="FP50" s="97" t="str">
        <f t="shared" ca="1" si="59"/>
        <v/>
      </c>
      <c r="FQ50" s="97" t="str" cm="1">
        <f t="array" aca="1" ref="FQ50" ca="1">IFERROR(LEFT(INDIRECT(FP50),1)&amp;"]","")</f>
        <v/>
      </c>
      <c r="FR50" s="97" t="str">
        <f t="shared" ca="1" si="60"/>
        <v/>
      </c>
      <c r="FS50" s="97" t="str">
        <f ca="1">IFERROR(LEFT(FJ50,FIND(Stammdaten!$CA$4,FJ50,1)-2),IFERROR(LEFT(FJ50,FIND(Stammdaten!$CC$3,FJ50,1)-2),FJ50))</f>
        <v>Sprungdisziplinen</v>
      </c>
      <c r="FT50" s="97" t="str">
        <f ca="1">IF(NOT(ISERROR(FIND(Stammdaten!$CA$4,FJ50,1))),Stammdaten!$CA$4,IF(FU50&lt;&gt;Stammdaten!$CC$3,FR50,""))</f>
        <v>nicht durchgeführt</v>
      </c>
      <c r="FU50" s="91" t="str">
        <f ca="1">IF(FN50=$A$2,Stammdaten!$CC$3,FO50)</f>
        <v/>
      </c>
      <c r="FV50" s="97" t="str" cm="1">
        <f t="array" aca="1" ref="FV50" ca="1">INDIRECT(FV$5)</f>
        <v/>
      </c>
      <c r="FW50" s="97" t="str" cm="1">
        <f t="array" aca="1" ref="FW50" ca="1">INDIRECT(FW$5)</f>
        <v/>
      </c>
      <c r="FX50" s="97" t="str" cm="1">
        <f t="array" aca="1" ref="FX50" ca="1">INDIRECT(FX$5)</f>
        <v/>
      </c>
      <c r="FY50" s="97" t="str" cm="1">
        <f t="array" aca="1" ref="FY50" ca="1">INDIRECT(FY$5)</f>
        <v/>
      </c>
      <c r="FZ50" s="97" t="str" cm="1">
        <f t="array" aca="1" ref="FZ50" ca="1">INDIRECT(FZ$5)</f>
        <v/>
      </c>
      <c r="GA50" s="97" t="str" cm="1">
        <f t="array" aca="1" ref="GA50" ca="1">INDIRECT(GA$5)</f>
        <v/>
      </c>
      <c r="GB50" s="97" t="str">
        <f t="shared" ca="1" si="159"/>
        <v>Wurfdisziplinen nicht durchgeführt</v>
      </c>
      <c r="GC50" s="97" t="str">
        <f t="shared" ca="1" si="160"/>
        <v/>
      </c>
      <c r="GD50" s="108">
        <f t="shared" ca="1" si="161"/>
        <v>0</v>
      </c>
      <c r="GE50" s="108">
        <f t="shared" ca="1" si="162"/>
        <v>0</v>
      </c>
      <c r="GF50" s="108" t="str">
        <f t="shared" ca="1" si="163"/>
        <v/>
      </c>
      <c r="GG50" s="97" t="str">
        <f t="shared" ca="1" si="164"/>
        <v>Wurfdisziplinen nicht durchgeführt</v>
      </c>
      <c r="GH50" s="97" t="str">
        <f t="shared" ca="1" si="165"/>
        <v/>
      </c>
      <c r="GI50" s="97" t="str" cm="1">
        <f t="array" aca="1" ref="GI50" ca="1">IFERROR(IF(INDIRECT(INDEX(INDIRECT(GI$5),MATCH(GG50,INDIRECT(GI$4),0)))&lt;&gt;"",INDEX(INDIRECT(GI$5),MATCH(GG50,INDIRECT(GI$4),0)),INDEX(INDIRECT(GI$6),MATCH(GG50,INDIRECT(GI$4),0))),"")</f>
        <v/>
      </c>
      <c r="GJ50" s="97" t="str">
        <f t="shared" ca="1" si="166"/>
        <v/>
      </c>
      <c r="GK50" s="97" t="str" cm="1">
        <f t="array" aca="1" ref="GK50" ca="1">IFERROR(INDIRECT(GI50),IF(NOT(ISERROR(FIND(Stammdaten!$CC$3,GG50,1))),$A$2,""))</f>
        <v/>
      </c>
      <c r="GL50" s="97" t="str">
        <f ca="1">IF(GK50="","",IF(AND(GH50=Stammdaten!$BX$20,GJ50="0",GK50=1),SUBSTITUTE(TEXT(GK50,GJ50)&amp;" "&amp;LEFT(GH50,LEN(GH50)-1),".",","),SUBSTITUTE(TEXT(GK50,GJ50)&amp;" "&amp;GH50,".",",")))</f>
        <v/>
      </c>
      <c r="GM50" s="97" t="str">
        <f t="shared" ca="1" si="61"/>
        <v/>
      </c>
      <c r="GN50" s="97" t="str" cm="1">
        <f t="array" aca="1" ref="GN50" ca="1">IFERROR(LEFT(INDIRECT(GM50),1)&amp;"]","")</f>
        <v/>
      </c>
      <c r="GO50" s="97" t="str">
        <f t="shared" ca="1" si="62"/>
        <v/>
      </c>
      <c r="GP50" s="97" t="str">
        <f ca="1">IFERROR(LEFT(GG50,FIND(Stammdaten!$CA$4,GG50,1)-2),IFERROR(LEFT(GG50,FIND(Stammdaten!$CC$3,GG50,1)-2),GG50))</f>
        <v>Wurfdisziplinen</v>
      </c>
      <c r="GQ50" s="97" t="str">
        <f ca="1">IF(NOT(ISERROR(FIND(Stammdaten!$CA$4,GG50,1))),Stammdaten!$CA$4,IF(GR50&lt;&gt;Stammdaten!$CC$3,GO50,""))</f>
        <v>nicht durchgeführt</v>
      </c>
      <c r="GR50" s="91" t="str">
        <f ca="1">IF(GK50=$A$2,Stammdaten!$CC$3,GL50)</f>
        <v/>
      </c>
      <c r="GS50" s="97" t="str">
        <f t="shared" ca="1" si="63"/>
        <v/>
      </c>
      <c r="GT50" s="97" t="str">
        <f t="shared" ca="1" si="64"/>
        <v/>
      </c>
      <c r="GU50" s="97" t="str">
        <f t="shared" ca="1" si="65"/>
        <v/>
      </c>
      <c r="GV50" s="97" t="str">
        <f t="shared" ca="1" si="66"/>
        <v/>
      </c>
      <c r="GW50" s="97">
        <f t="shared" ca="1" si="167"/>
        <v>0</v>
      </c>
      <c r="GX50" s="108">
        <f t="shared" ca="1" si="168"/>
        <v>0</v>
      </c>
      <c r="GY50" s="108">
        <f t="shared" ca="1" si="169"/>
        <v>0</v>
      </c>
      <c r="GZ50" s="108" t="str">
        <f t="shared" ca="1" si="170"/>
        <v/>
      </c>
      <c r="HA50" s="97" t="str">
        <f ca="1">IF(GZ50="",Stammdaten!$BZ$1,IF(AND(GX50=0,GY50&gt;=GZ$25),$A$3,ROUND(SUM(GW50/GZ50)/HA$25,0)*HA$25))</f>
        <v>Zu wenige Werte</v>
      </c>
      <c r="HB50" s="108">
        <f t="shared" ca="1" si="171"/>
        <v>6</v>
      </c>
      <c r="HC50" s="97" t="str">
        <f t="shared" ca="1" si="172"/>
        <v/>
      </c>
      <c r="HD50" s="97" t="str">
        <f t="shared" ca="1" si="173"/>
        <v/>
      </c>
      <c r="HE50" s="97" t="str">
        <f t="shared" ca="1" si="174"/>
        <v/>
      </c>
      <c r="HF50" s="97" t="str">
        <f t="shared" ca="1" si="175"/>
        <v/>
      </c>
      <c r="HG50" s="97" t="str">
        <f t="shared" ca="1" si="176"/>
        <v/>
      </c>
      <c r="HH50" s="97" t="str">
        <f t="shared" ca="1" si="177"/>
        <v>g</v>
      </c>
      <c r="HI50" s="97" t="str">
        <f t="shared" ca="1" si="178"/>
        <v/>
      </c>
      <c r="HJ50" s="97">
        <f t="shared" ca="1" si="179"/>
        <v>1</v>
      </c>
      <c r="HK50" s="97" t="str">
        <f ca="1">IF(OR(Geschlecht[[#This Row],[Geschlecht (Skala)]]="",NOT(ISNUMBER(GZ50))),"",HJ50)</f>
        <v/>
      </c>
      <c r="HL50" s="97" t="str">
        <f t="shared" ca="1" si="180"/>
        <v/>
      </c>
      <c r="HM50" s="97"/>
      <c r="HN50" s="308" t="str">
        <f t="shared" ca="1" si="68"/>
        <v>Zu wenige Werte</v>
      </c>
      <c r="HO50" s="97"/>
      <c r="HP50" s="307"/>
      <c r="HQ50" s="96" t="str">
        <f>IFERROR(IFERROR(SUBSTITUTE(ReckResultat[[#This Row],[Eingabe]],".",",")*1,SUBSTITUTE(ReckResultat[[#This Row],[Eingabe]],",",".")*1),"")</f>
        <v/>
      </c>
      <c r="HR50" s="96" t="e">
        <f>INT(ReckResultat[[#This Row],[Resultat]])=ReckResultat[[#This Row],[Resultat]]</f>
        <v>#VALUE!</v>
      </c>
      <c r="HS50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0" s="96"/>
      <c r="HX50" s="97"/>
      <c r="HY50" s="307"/>
      <c r="HZ50" s="96" t="str">
        <f>IFERROR(IFERROR(SUBSTITUTE(BodenResultat[[#This Row],[Eingabe]],".",",")*1,SUBSTITUTE(BodenResultat[[#This Row],[Eingabe]],",",".")*1),"")</f>
        <v/>
      </c>
      <c r="IA50" s="96" t="e">
        <f>INT(BodenResultat[[#This Row],[Resultat]])=BodenResultat[[#This Row],[Resultat]]</f>
        <v>#VALUE!</v>
      </c>
      <c r="IB50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0" s="96"/>
      <c r="IG50" s="97"/>
      <c r="IH50" s="307"/>
      <c r="II50" s="96" t="str">
        <f>IFERROR(IFERROR(SUBSTITUTE(StufenbarrenResultat[[#This Row],[Eingabe]],".",",")*1,SUBSTITUTE(StufenbarrenResultat[[#This Row],[Eingabe]],",",".")*1),"")</f>
        <v/>
      </c>
      <c r="IJ50" s="96" t="e">
        <f>INT(StufenbarrenResultat[[#This Row],[Resultat]])=StufenbarrenResultat[[#This Row],[Resultat]]</f>
        <v>#VALUE!</v>
      </c>
      <c r="IK50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0" s="96"/>
      <c r="IP50" s="97"/>
      <c r="IQ50" s="307"/>
      <c r="IR50" s="96" t="str">
        <f>IFERROR(IFERROR(SUBSTITUTE(ParallelbarrenResultat[[#This Row],[Eingabe]],".",",")*1,SUBSTITUTE(ParallelbarrenResultat[[#This Row],[Eingabe]],",",".")*1),"")</f>
        <v/>
      </c>
      <c r="IS50" s="96" t="e">
        <f>INT(ParallelbarrenResultat[[#This Row],[Resultat]])=ParallelbarrenResultat[[#This Row],[Resultat]]</f>
        <v>#VALUE!</v>
      </c>
      <c r="IT50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0" s="96"/>
      <c r="IY50" s="97"/>
      <c r="IZ50" s="307"/>
      <c r="JA50" s="96" t="str">
        <f>IFERROR(IFERROR(SUBSTITUTE(SchaukelringeResultat[[#This Row],[Eingabe]],".",",")*1,SUBSTITUTE(SchaukelringeResultat[[#This Row],[Eingabe]],",",".")*1),"")</f>
        <v/>
      </c>
      <c r="JB50" s="96" t="e">
        <f>INT(SchaukelringeResultat[[#This Row],[Resultat]])=SchaukelringeResultat[[#This Row],[Resultat]]</f>
        <v>#VALUE!</v>
      </c>
      <c r="JC50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0" s="96"/>
      <c r="JH50" s="97"/>
      <c r="JI50" s="307"/>
      <c r="JJ50" s="96" t="str">
        <f>IFERROR(IFERROR(SUBSTITUTE(SprungResultat[[#This Row],[Eingabe]],".",",")*1,SUBSTITUTE(SprungResultat[[#This Row],[Eingabe]],",",".")*1),"")</f>
        <v/>
      </c>
      <c r="JK50" s="96" t="e">
        <f>INT(SprungResultat[[#This Row],[Resultat]])=SprungResultat[[#This Row],[Resultat]]</f>
        <v>#VALUE!</v>
      </c>
      <c r="JL50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0" s="96"/>
      <c r="JQ50" s="97"/>
      <c r="JR50" s="309" t="str" cm="1">
        <f t="array" aca="1" ref="JR50" ca="1">IF(AND(ISNUMBER(INDIRECT(JR$3)),INDIRECT(JR$3)&gt;0),INDIRECT(JR$3),"")</f>
        <v/>
      </c>
      <c r="JS50" s="309" t="str" cm="1">
        <f t="array" aca="1" ref="JS50" ca="1">IF(AND(ISNUMBER(INDIRECT(JS$3)),INDIRECT(JS$3)&gt;0),INDIRECT(JS$3),"")</f>
        <v/>
      </c>
      <c r="JT50" s="309" t="str" cm="1">
        <f t="array" aca="1" ref="JT50" ca="1">IF(AND(ISNUMBER(INDIRECT(JT$3)),INDIRECT(JT$3)&gt;0),INDIRECT(JT$3),"")</f>
        <v/>
      </c>
      <c r="JU50" s="309" t="str" cm="1">
        <f t="array" aca="1" ref="JU50" ca="1">IF(AND(ISNUMBER(INDIRECT(JU$3)),INDIRECT(JU$3)&gt;0),INDIRECT(JU$3),"")</f>
        <v/>
      </c>
      <c r="JV50" s="309" t="str" cm="1">
        <f t="array" aca="1" ref="JV50" ca="1">IF(AND(ISNUMBER(INDIRECT(JV$3)),INDIRECT(JV$3)&gt;0),INDIRECT(JV$3),"")</f>
        <v/>
      </c>
      <c r="JW50" s="309" t="str" cm="1">
        <f t="array" aca="1" ref="JW50" ca="1">IF(AND(ISNUMBER(INDIRECT(JW$3)),INDIRECT(JW$3)&gt;0),INDIRECT(JW$3),"")</f>
        <v/>
      </c>
      <c r="JX50" s="309" t="str">
        <f t="shared" ca="1" si="69"/>
        <v>x</v>
      </c>
      <c r="JY50" s="309" t="str">
        <f t="shared" ca="1" si="70"/>
        <v>y</v>
      </c>
      <c r="JZ50" s="309" t="str">
        <f t="shared" ca="1" si="71"/>
        <v>z</v>
      </c>
      <c r="KA50" s="309" t="str">
        <f t="shared" ca="1" si="181"/>
        <v>a</v>
      </c>
      <c r="KB50" s="309" t="str" cm="1">
        <f t="array" aca="1" ref="KB50" ca="1">IF(KA50="a","",INDEX($JR$23:$JW$23,,MATCH(KA50,$JR50:$JW50,0)))</f>
        <v/>
      </c>
      <c r="KC50" s="309" t="str" cm="1">
        <f t="array" aca="1" ref="KC50" ca="1">IF(OR(KB50="",KB50&gt;=$JW$23),"",INDEX(INDIRECT(ADDRESS(ROW($JR$23),KB50+1)):$JW$23,,MATCH(KA50,INDIRECT(ADDRESS(ROW(),KB50+1)):$JW50,0)))</f>
        <v/>
      </c>
      <c r="KD50" s="309" t="str" cm="1">
        <f t="array" aca="1" ref="KD50" ca="1">IF(OR(KC50="",KC50&gt;=$JW$23),"",INDEX(INDIRECT(ADDRESS(ROW($JR$23),KC50+1)):$JW$23,,MATCH(KA50,INDIRECT(ADDRESS(ROW(),KC50+1)):$JW50,0)))</f>
        <v/>
      </c>
      <c r="KE50" s="309" t="str">
        <f t="shared" ca="1" si="182"/>
        <v>c</v>
      </c>
      <c r="KF50" s="309" t="str" cm="1">
        <f t="array" aca="1" ref="KF50" ca="1">IF(OR(KE50="b",KE50="c"),"",INDEX($JR$23:$JW$23,,MATCH(KE50,$JR50:$JW50,0)))</f>
        <v/>
      </c>
      <c r="KG50" s="309" t="str" cm="1">
        <f t="array" aca="1" ref="KG50" ca="1">IF(OR(KF50="",KF50&gt;=$JW$23),"",INDEX(INDIRECT(ADDRESS(ROW($JR$23),KF50+1)):$JW$23,,MATCH(KE50,INDIRECT(ADDRESS(ROW(),KF50+1)):$JW50,0)))</f>
        <v/>
      </c>
      <c r="KH50" s="309" t="str">
        <f t="shared" ca="1" si="72"/>
        <v/>
      </c>
      <c r="KI50" s="309" t="str">
        <f t="shared" ca="1" si="183"/>
        <v>e</v>
      </c>
      <c r="KJ50" s="309" t="str">
        <f t="shared" ca="1" si="73"/>
        <v/>
      </c>
      <c r="KK50" s="309" t="str" cm="1">
        <f t="array" aca="1" ref="KK50" ca="1">IF(OR(KI50="d",KI50="e"),"",INDEX($JR$23:$JW$23,,MATCH(KI50,$JR50:$JW50,0)))</f>
        <v/>
      </c>
      <c r="KL50" s="309" t="str" cm="1">
        <f t="array" aca="1" ref="KL50" ca="1">IF(OR(KK50="",KK50&gt;=$JW$23),"",INDEX(INDIRECT(ADDRESS(ROW($JR$23),KK50+1)):$JW$23,,MATCH(KI50,INDIRECT(ADDRESS(ROW(),KK50+1)):$JW50,0)))</f>
        <v/>
      </c>
      <c r="KM50" s="309" t="str" cm="1">
        <f t="array" aca="1" ref="KM50" ca="1">IFERROR(IF(ISNUMBER(KB50),KB50,IF(ISNUMBER(KF50),KF50,IF(ISNUMBER(KJ50),KJ50,INDEX($JR$23:$JW$23,,MATCH(JX50,$JR50:$JW50,0))))),"x1")</f>
        <v>x1</v>
      </c>
      <c r="KN50" s="309" t="str" cm="1">
        <f t="array" aca="1" ref="KN50" ca="1">IFERROR(IF(ISNUMBER(KC50),KC50,IF(ISNUMBER(KG50),KG50,IF(ISNUMBER(KK50),KK50,INDEX($JR$23:$JW$23,,MATCH(JY50,$JR50:$JW50,0))))),IF(KM50="x1","x2","x1"))</f>
        <v>x2</v>
      </c>
      <c r="KO50" s="309" t="str" cm="1">
        <f t="array" aca="1" ref="KO50" ca="1">IFERROR(IF(ISNUMBER(KD50),KD50,IF(ISNUMBER(KH50),KH50,IF(ISNUMBER(KL50),KL50,INDEX($JR$23:$JW$23,,MATCH(JZ50,$JR50:$JW50,0))))),IF(KN50="x1","x2",IF(KN50="x2","x3","x1")))</f>
        <v>x3</v>
      </c>
      <c r="KP50" s="97" t="str" cm="1">
        <f t="array" aca="1" ref="KP50" ca="1">IF(OR(INDIRECT(KP$3)=$A$2,INDIRECT(KP$3)=$A$3),COLUMN(),"")</f>
        <v/>
      </c>
      <c r="KQ50" s="97" t="str" cm="1">
        <f t="array" aca="1" ref="KQ50" ca="1">IF(OR(INDIRECT(KQ$3)=$A$2,INDIRECT(KQ$3)=$A$3),COLUMN(),"")</f>
        <v/>
      </c>
      <c r="KR50" s="97" t="str" cm="1">
        <f t="array" aca="1" ref="KR50" ca="1">IF(OR(INDIRECT(KR$3)=$A$2,INDIRECT(KR$3)=$A$3),COLUMN(),"")</f>
        <v/>
      </c>
      <c r="KS50" s="97" t="str" cm="1">
        <f t="array" aca="1" ref="KS50" ca="1">IF(OR(INDIRECT(KS$3)=$A$2,INDIRECT(KS$3)=$A$3),COLUMN(),"")</f>
        <v/>
      </c>
      <c r="KT50" s="97" t="str" cm="1">
        <f t="array" aca="1" ref="KT50" ca="1">IF(OR(INDIRECT(KT$3)=$A$2,INDIRECT(KT$3)=$A$3),COLUMN(),"")</f>
        <v/>
      </c>
      <c r="KU50" s="97" t="str" cm="1">
        <f t="array" aca="1" ref="KU50" ca="1">IF(OR(INDIRECT(KU$3)=$A$2,INDIRECT(KU$3)=$A$3),COLUMN(),"")</f>
        <v/>
      </c>
      <c r="KV50" s="97" t="str" cm="1">
        <f t="array" aca="1" ref="KV50" ca="1">IF(AND(ISNUMBER(INDIRECT(KV$3)),INDIRECT(KV$3)=0),COLUMN(),"")</f>
        <v/>
      </c>
      <c r="KW50" s="97" t="str" cm="1">
        <f t="array" aca="1" ref="KW50" ca="1">IF(AND(ISNUMBER(INDIRECT(KW$3)),INDIRECT(KW$3)=0),COLUMN(),"")</f>
        <v/>
      </c>
      <c r="KX50" s="97" t="str" cm="1">
        <f t="array" aca="1" ref="KX50" ca="1">IF(AND(ISNUMBER(INDIRECT(KX$3)),INDIRECT(KX$3)=0),COLUMN(),"")</f>
        <v/>
      </c>
      <c r="KY50" s="97" t="str" cm="1">
        <f t="array" aca="1" ref="KY50" ca="1">IF(AND(ISNUMBER(INDIRECT(KY$3)),INDIRECT(KY$3)=0),COLUMN(),"")</f>
        <v/>
      </c>
      <c r="KZ50" s="97" t="str" cm="1">
        <f t="array" aca="1" ref="KZ50" ca="1">IF(AND(ISNUMBER(INDIRECT(KZ$3)),INDIRECT(KZ$3)=0),COLUMN(),"")</f>
        <v/>
      </c>
      <c r="LA50" s="97" t="str" cm="1">
        <f t="array" aca="1" ref="LA50" ca="1">IF(AND(ISNUMBER(INDIRECT(LA$3)),INDIRECT(LA$3)=0),COLUMN(),"")</f>
        <v/>
      </c>
      <c r="LB50" s="97" t="str">
        <f t="shared" ca="1" si="184"/>
        <v>x1</v>
      </c>
      <c r="LC50" s="97" t="str">
        <f t="shared" ca="1" si="185"/>
        <v>x2</v>
      </c>
      <c r="LD50" s="97" t="str">
        <f t="shared" ca="1" si="186"/>
        <v>x3</v>
      </c>
      <c r="LE50" s="97" t="str">
        <f ca="1">IFERROR(IF(ISNUMBER(LB50),LB50,SMALL($KV50:$LA50,VALUE(RIGHT(LB50,1)))),Stammdaten!$CA$17)</f>
        <v>Erstes Gerät nicht durchgeführt</v>
      </c>
      <c r="LF50" s="97" t="str">
        <f ca="1">IFERROR(IF(ISNUMBER(LC50),LC50,SMALL($KV50:$LA50,VALUE(RIGHT(LC50,1)))),Stammdaten!$CA$18)</f>
        <v>Zweites Gerät nicht durchgeführt</v>
      </c>
      <c r="LG50" s="97" t="str">
        <f ca="1">IFERROR(IF(ISNUMBER(LD50),LD50,SMALL($KV50:$LA50,VALUE(RIGHT(LD50,1)))),Stammdaten!$CA$19)</f>
        <v>Drittes Gerät nicht durchgeführt</v>
      </c>
      <c r="LH50" s="91" t="str" cm="1">
        <f t="array" aca="1" ref="LH50" ca="1">IFERROR(INDIRECT(ADDRESS(ROW($JR$5),LE50)),LE50)</f>
        <v>Erstes Gerät nicht durchgeführt</v>
      </c>
      <c r="LI50" s="97" t="str">
        <f t="shared" ca="1" si="187"/>
        <v/>
      </c>
      <c r="LJ50" s="97" t="str" cm="1">
        <f t="array" aca="1" ref="LJ50" ca="1">IFERROR(IF(INDIRECT(INDEX(INDIRECT(LJ$5),MATCH(LH50,INDIRECT(LJ$4),0)))&lt;&gt;"",INDEX(INDIRECT(LJ$5),MATCH(LH50,INDIRECT(LJ$4),0)),INDEX(INDIRECT(LJ$6),MATCH(LH50,INDIRECT(LJ$4),0))),"")</f>
        <v/>
      </c>
      <c r="LK50" s="97" t="str">
        <f t="shared" ca="1" si="188"/>
        <v/>
      </c>
      <c r="LL50" s="97" t="str" cm="1">
        <f t="array" aca="1" ref="LL50" ca="1">IFERROR(INDIRECT(LJ50),"")</f>
        <v/>
      </c>
      <c r="LM50" s="97" t="str">
        <f ca="1">IF(LL50="","",IF(AND(LI50=Stammdaten!$BX$20,LK50="0",LL50=1),SUBSTITUTE(TEXT(LL50,LK50)&amp;" "&amp;LEFT(LI50,LEN(LI50)-1),".",","),SUBSTITUTE(TEXT(LL50,LK50)&amp;" "&amp;LI50,".",",")))</f>
        <v/>
      </c>
      <c r="LN50" s="97" t="str">
        <f t="shared" ca="1" si="74"/>
        <v/>
      </c>
      <c r="LO50" s="97" t="str" cm="1">
        <f t="array" aca="1" ref="LO50" ca="1">IFERROR(LEFT(INDIRECT(LN50),1)&amp;"]","")</f>
        <v/>
      </c>
      <c r="LP50" s="97" t="str">
        <f t="shared" ca="1" si="75"/>
        <v/>
      </c>
      <c r="LQ50" s="97" t="str">
        <f ca="1">IFERROR(LEFT(LH50,FIND(Stammdaten!$CA$4,LH50,1)-2),IFERROR(LEFT(LH50,FIND(Stammdaten!$CC$3,LH50,1)-2),LH50))</f>
        <v>Erstes Gerät</v>
      </c>
      <c r="LR50" s="97" t="str">
        <f ca="1">IF(NOT(ISERROR(FIND(Stammdaten!$CA$4,LH50,1))),Stammdaten!$CA$4,IF(LS50&lt;&gt;Stammdaten!$CC$3,LP50,""))</f>
        <v>nicht durchgeführt</v>
      </c>
      <c r="LS50" s="91" t="str">
        <f ca="1">IF(LL50=$A$2,Stammdaten!$CC$3,LM50)</f>
        <v/>
      </c>
      <c r="LT50" s="91" t="str" cm="1">
        <f t="array" aca="1" ref="LT50" ca="1">IFERROR(INDIRECT(ADDRESS(ROW($JR$5),LF50)),LF50)</f>
        <v>Zweites Gerät nicht durchgeführt</v>
      </c>
      <c r="LU50" s="97" t="str">
        <f t="shared" ca="1" si="189"/>
        <v/>
      </c>
      <c r="LV50" s="97" t="str" cm="1">
        <f t="array" aca="1" ref="LV50" ca="1">IFERROR(IF(INDIRECT(INDEX(INDIRECT(LV$5),MATCH(LT50,INDIRECT(LV$4),0)))&lt;&gt;"",INDEX(INDIRECT(LV$5),MATCH(LT50,INDIRECT(LV$4),0)),INDEX(INDIRECT(LV$6),MATCH(LT50,INDIRECT(LV$4),0))),"")</f>
        <v/>
      </c>
      <c r="LW50" s="97" t="str">
        <f t="shared" ca="1" si="190"/>
        <v/>
      </c>
      <c r="LX50" s="97" t="str" cm="1">
        <f t="array" aca="1" ref="LX50" ca="1">IFERROR(INDIRECT(LV50),"")</f>
        <v/>
      </c>
      <c r="LY50" s="97" t="str">
        <f ca="1">IF(LX50="","",IF(AND(LU50=Stammdaten!$BX$20,LW50="0",LX50=1),SUBSTITUTE(TEXT(LX50,LW50)&amp;" "&amp;LEFT(LU50,LEN(LU50)-1),".",","),SUBSTITUTE(TEXT(LX50,LW50)&amp;" "&amp;LU50,".",",")))</f>
        <v/>
      </c>
      <c r="LZ50" s="97" t="str">
        <f t="shared" ca="1" si="76"/>
        <v/>
      </c>
      <c r="MA50" s="97" t="str" cm="1">
        <f t="array" aca="1" ref="MA50" ca="1">IFERROR(LEFT(INDIRECT(LZ50),1)&amp;"]","")</f>
        <v/>
      </c>
      <c r="MB50" s="97" t="str">
        <f t="shared" ca="1" si="77"/>
        <v/>
      </c>
      <c r="MC50" s="97" t="str">
        <f ca="1">IFERROR(LEFT(LT50,FIND(Stammdaten!$CA$4,LT50,1)-2),IFERROR(LEFT(LT50,FIND(Stammdaten!$CC$3,LT50,1)-2),LT50))</f>
        <v>Zweites Gerät</v>
      </c>
      <c r="MD50" s="97" t="str">
        <f ca="1">IF(NOT(ISERROR(FIND(Stammdaten!$CA$4,LT50,1))),Stammdaten!$CA$4,IF(ME50&lt;&gt;Stammdaten!$CC$3,MB50,""))</f>
        <v>nicht durchgeführt</v>
      </c>
      <c r="ME50" s="91" t="str">
        <f ca="1">IF(LX50=$A$2,Stammdaten!$CC$3,LY50)</f>
        <v/>
      </c>
      <c r="MF50" s="91" t="str" cm="1">
        <f t="array" aca="1" ref="MF50" ca="1">IFERROR(INDIRECT(ADDRESS(ROW($JR$5),LG50)),LG50)</f>
        <v>Drittes Gerät nicht durchgeführt</v>
      </c>
      <c r="MG50" s="97" t="str">
        <f t="shared" ca="1" si="191"/>
        <v/>
      </c>
      <c r="MH50" s="97" t="str" cm="1">
        <f t="array" aca="1" ref="MH50" ca="1">IFERROR(IF(INDIRECT(INDEX(INDIRECT(MH$5),MATCH(MF50,INDIRECT(MH$4),0)))&lt;&gt;"",INDEX(INDIRECT(MH$5),MATCH(MF50,INDIRECT(MH$4),0)),INDEX(INDIRECT(MH$6),MATCH(MF50,INDIRECT(MH$4),0))),"")</f>
        <v/>
      </c>
      <c r="MI50" s="97" t="str">
        <f t="shared" ca="1" si="192"/>
        <v/>
      </c>
      <c r="MJ50" s="97" t="str" cm="1">
        <f t="array" aca="1" ref="MJ50" ca="1">IFERROR(INDIRECT(MH50),"")</f>
        <v/>
      </c>
      <c r="MK50" s="97" t="str">
        <f ca="1">IF(MJ50="","",IF(AND(MG50=Stammdaten!$BX$20,MI50="0",MJ50=1),SUBSTITUTE(TEXT(MJ50,MI50)&amp;" "&amp;LEFT(MG50,LEN(MG50)-1),".",","),SUBSTITUTE(TEXT(MJ50,MI50)&amp;" "&amp;MG50,".",",")))</f>
        <v/>
      </c>
      <c r="ML50" s="97" t="str">
        <f t="shared" ca="1" si="78"/>
        <v/>
      </c>
      <c r="MM50" s="97" t="str" cm="1">
        <f t="array" aca="1" ref="MM50" ca="1">IFERROR(LEFT(INDIRECT(ML50),1)&amp;"]","")</f>
        <v/>
      </c>
      <c r="MN50" s="97" t="str">
        <f t="shared" ca="1" si="79"/>
        <v/>
      </c>
      <c r="MO50" s="97" t="str">
        <f ca="1">IFERROR(LEFT(MF50,FIND(Stammdaten!$CA$4,MF50,1)-2),IFERROR(LEFT(MF50,FIND(Stammdaten!$CC$3,MF50,1)-2),MF50))</f>
        <v>Drittes Gerät</v>
      </c>
      <c r="MP50" s="97" t="str">
        <f ca="1">IF(NOT(ISERROR(FIND(Stammdaten!$CA$4,MF50,1))),Stammdaten!$CA$4,IF(MQ50&lt;&gt;Stammdaten!$CC$3,MN50,""))</f>
        <v>nicht durchgeführt</v>
      </c>
      <c r="MQ50" s="91" t="str">
        <f ca="1">IF(MJ50=$A$2,Stammdaten!$CC$3,MK50)</f>
        <v/>
      </c>
      <c r="MR50" s="97">
        <f t="shared" ca="1" si="80"/>
        <v>0</v>
      </c>
      <c r="MS50" s="108">
        <f t="shared" ca="1" si="193"/>
        <v>0</v>
      </c>
      <c r="MT50" s="108">
        <f t="shared" ca="1" si="194"/>
        <v>0</v>
      </c>
      <c r="MU50" s="108">
        <f t="shared" ca="1" si="195"/>
        <v>0</v>
      </c>
      <c r="MV50" s="108" t="str">
        <f t="shared" ca="1" si="196"/>
        <v/>
      </c>
      <c r="MW50" s="97" t="str">
        <f ca="1">IF(MV50="",Stammdaten!$BZ$1,IF(AND(MS50+MT50=0,MU50&gt;=MV$25),$A$3,MR50))</f>
        <v>Zu wenige Werte</v>
      </c>
      <c r="MX50" s="97"/>
      <c r="MY50" s="91" t="str">
        <f t="shared" ca="1" si="81"/>
        <v/>
      </c>
      <c r="MZ50" s="96" t="str">
        <f>LEFT(Geschlecht[[#This Row],[Geschlecht (Skala)]],1)&amp;$MZ$27</f>
        <v>2</v>
      </c>
      <c r="NA50" s="96" t="str">
        <f t="shared" ca="1" si="82"/>
        <v>Geräteturnen_2[Resultat]</v>
      </c>
      <c r="NB50" s="97" t="str" cm="1">
        <f t="array" aca="1" ref="NB50" ca="1">IF(OR($MW50="",$MW50=Stammdaten!$BZ$1),"",IF($MW50=0,0,IF(OR($MW50=$A$2,$MW50=$A$3),$A$3,IFERROR(INDEX(INDIRECT(NA50),MATCH(INDIRECT(MY$3),INDIRECT(NA50),NA$25)),IFERROR(IF(NA$25=-1,MAX(INDIRECT(NA50)),IF(NA$25=1,MIN(INDIRECT(NA50)))),"")))))</f>
        <v/>
      </c>
      <c r="ND50" s="91" t="str">
        <f t="shared" ca="1" si="83"/>
        <v>Geräteturnen_2[Note]</v>
      </c>
      <c r="NE50" s="97" t="str" cm="1">
        <f t="array" aca="1" ref="NE50" ca="1">IFERROR(INDEX(INDIRECT(ND50),MATCH(INDIRECT(MY$5),INDIRECT(NA50),0)),IF(INDIRECT(MY$5)=0,1,""))</f>
        <v/>
      </c>
      <c r="NF50" s="97"/>
      <c r="NG50" s="307"/>
      <c r="NH50" s="96" t="str">
        <f>IFERROR(IFERROR(SUBSTITUTE(ParkourResultat[[#This Row],[Eingabe]],".",",")*1,SUBSTITUTE(ParkourResultat[[#This Row],[Eingabe]],",",".")*1),"")</f>
        <v/>
      </c>
      <c r="NI50" s="96" t="e">
        <f>INT(ParkourResultat[[#This Row],[Resultat]])=ParkourResultat[[#This Row],[Resultat]]</f>
        <v>#VALUE!</v>
      </c>
      <c r="NJ50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0" s="96"/>
      <c r="NL50" s="91" t="str" cm="1">
        <f t="array" aca="1" ref="NL50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0" s="96" t="str">
        <f ca="1">LEFT(Geschlecht[[#This Row],[Geschlecht (Skala)]],1)&amp;NR$4</f>
        <v>2</v>
      </c>
      <c r="NN50" s="96" t="str">
        <f t="shared" ca="1" si="84"/>
        <v>Parkour_2[Resultat]</v>
      </c>
      <c r="NO50" s="97" t="str" cm="1">
        <f t="array" aca="1" ref="NO50" ca="1">IF(INDIRECT(NL$1)="","",IF(INDIRECT(NL$2)=0,0,IF(OR(INDIRECT(NL$1)=$A$2,INDIRECT(NL$1)=$A$3),$A$3,IFERROR(INDEX(INDIRECT(NN50),MATCH(INDIRECT(NL$3),INDIRECT(NN50),NN$25)),IFERROR(IF(NN$25=-1,MAX(INDIRECT(NN50)),IF(NN$25=1,MIN(INDIRECT(NN50)))),"")))))</f>
        <v/>
      </c>
      <c r="NQ50" s="91" t="str">
        <f t="shared" ca="1" si="85"/>
        <v>Parkour_2[Note]</v>
      </c>
      <c r="NR50" s="97" t="str" cm="1">
        <f t="array" aca="1" ref="NR50" ca="1">IFERROR(INDEX(INDIRECT(NQ50),MATCH(INDIRECT(NL$5),INDIRECT(NN50),0)),IF(INDIRECT(NL$5)=0,1,""))</f>
        <v/>
      </c>
      <c r="NS50" s="97"/>
      <c r="NT50" s="97" t="str" cm="1">
        <f t="array" aca="1" ref="NT50" ca="1">INDIRECT(NT$5)</f>
        <v/>
      </c>
      <c r="NU50" s="97" t="str" cm="1">
        <f t="array" aca="1" ref="NU50" ca="1">INDIRECT(NU$5)</f>
        <v/>
      </c>
      <c r="NV50" s="97" t="str" cm="1">
        <f t="array" aca="1" ref="NV50" ca="1">INDIRECT(NV$5)</f>
        <v/>
      </c>
      <c r="NW50" s="97" t="str" cm="1">
        <f t="array" aca="1" ref="NW50" ca="1">INDIRECT(NW$5)</f>
        <v/>
      </c>
      <c r="NX50" s="97" t="str">
        <f t="shared" ca="1" si="86"/>
        <v>Parkour nicht durchgeführt</v>
      </c>
      <c r="NY50" s="97" t="str">
        <f t="shared" ca="1" si="197"/>
        <v/>
      </c>
      <c r="NZ50" s="97" t="str" cm="1">
        <f t="array" aca="1" ref="NZ50" ca="1">IFERROR(IF(INDIRECT(INDEX(INDIRECT(NZ$5),MATCH(NX50,INDIRECT(NZ$4),0)))&lt;&gt;"",INDEX(INDIRECT(NZ$5),MATCH(NX50,INDIRECT(NZ$4),0)),INDEX(INDIRECT(NZ$6),MATCH(NX50,INDIRECT(NZ$4),0))),"")</f>
        <v/>
      </c>
      <c r="OA50" s="97" t="str">
        <f t="shared" ca="1" si="198"/>
        <v/>
      </c>
      <c r="OB50" s="97" t="str" cm="1">
        <f t="array" aca="1" ref="OB50" ca="1">IFERROR(INDIRECT(NZ50),IF(NOT(ISERROR(FIND(Stammdaten!$CC$3,NX50,1))),$A$2,""))</f>
        <v/>
      </c>
      <c r="OC50" s="97" t="str">
        <f ca="1">IF(OB50="","",IF(AND(NY50=Stammdaten!$BX$20,OA50="0",OB50=1),SUBSTITUTE(TEXT(OB50,OA50)&amp;" "&amp;LEFT(NY50,LEN(NY50)-1),".",","),SUBSTITUTE(TEXT(OB50,OA50)&amp;" "&amp;NY50,".",",")))</f>
        <v/>
      </c>
      <c r="OD50" s="97" t="str">
        <f t="shared" ca="1" si="87"/>
        <v/>
      </c>
      <c r="OE50" s="97" t="str" cm="1">
        <f t="array" aca="1" ref="OE50" ca="1">IFERROR(LEFT(INDIRECT(OD50),1)&amp;"]","")</f>
        <v/>
      </c>
      <c r="OF50" s="97" t="str">
        <f t="shared" ca="1" si="88"/>
        <v/>
      </c>
      <c r="OG50" s="97" t="str">
        <f ca="1">IFERROR(LEFT(NX50,FIND(Stammdaten!$CA$4,NX50,1)-2),IFERROR(LEFT(NX50,FIND(Stammdaten!$CC$3,NX50,1)-2),NX50))</f>
        <v>Parkour</v>
      </c>
      <c r="OH50" s="97" t="str">
        <f ca="1">IF(NOT(ISERROR(FIND(Stammdaten!$CA$4,NX50,1))),Stammdaten!$CA$4,IF(OI50&lt;&gt;Stammdaten!$CC$3,OF50,""))</f>
        <v>nicht durchgeführt</v>
      </c>
      <c r="OI50" s="91" t="str">
        <f ca="1">IF(OB50=$A$2,Stammdaten!$CC$3,OC50)</f>
        <v/>
      </c>
      <c r="OJ50" s="97" t="str">
        <f t="shared" ca="1" si="89"/>
        <v/>
      </c>
      <c r="OK50" s="97" t="str">
        <f t="shared" ca="1" si="90"/>
        <v/>
      </c>
      <c r="OL50" s="97">
        <f t="shared" ca="1" si="199"/>
        <v>0</v>
      </c>
      <c r="OM50" s="108">
        <f t="shared" ca="1" si="91"/>
        <v>0</v>
      </c>
      <c r="ON50" s="108">
        <f t="shared" ca="1" si="92"/>
        <v>0</v>
      </c>
      <c r="OO50" s="108" t="str">
        <f t="shared" ca="1" si="200"/>
        <v/>
      </c>
      <c r="OP50" s="97" t="str">
        <f ca="1">IF(OO50="",Stammdaten!$BZ$1,IF(AND(OM50=0,ON50&gt;=OO$25),$A$3,ROUND(SUM(OL50/OO50)/OP$25,0)*OP$25))</f>
        <v>Zu wenige Werte</v>
      </c>
      <c r="OQ50" s="108">
        <f t="shared" ca="1" si="201"/>
        <v>6</v>
      </c>
      <c r="OR50" s="97" t="str">
        <f t="shared" ca="1" si="202"/>
        <v/>
      </c>
      <c r="OS50" s="97" t="str">
        <f t="shared" ca="1" si="203"/>
        <v/>
      </c>
      <c r="OT50" s="97" t="str">
        <f t="shared" ca="1" si="204"/>
        <v/>
      </c>
      <c r="OU50" s="97" t="str">
        <f t="shared" ca="1" si="205"/>
        <v>g</v>
      </c>
      <c r="OV50" s="97" t="str">
        <f t="shared" ca="1" si="206"/>
        <v/>
      </c>
      <c r="OW50" s="97">
        <f t="shared" ca="1" si="207"/>
        <v>1</v>
      </c>
      <c r="OX50" s="97" t="str">
        <f ca="1">IF(OR(Geschlecht[[#This Row],[Geschlecht (Skala)]]="",NOT(ISNUMBER(OO50))),"",OW50)</f>
        <v/>
      </c>
      <c r="OY50" s="97" t="str">
        <f t="shared" ca="1" si="208"/>
        <v/>
      </c>
      <c r="OZ50" s="97"/>
      <c r="PA50" s="308" t="str">
        <f t="shared" ca="1" si="209"/>
        <v>Zu wenige Werte</v>
      </c>
      <c r="PB50" s="97"/>
      <c r="PC50" s="307"/>
      <c r="PD50" s="96" t="str">
        <f>IFERROR(IFERROR(SUBSTITUTE(TanzenResultat[[#This Row],[Eingabe]],".",",")*1,SUBSTITUTE(TanzenResultat[[#This Row],[Eingabe]],",",".")*1),"")</f>
        <v/>
      </c>
      <c r="PE50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0" s="96"/>
      <c r="PG50" s="91" t="str" cm="1">
        <f t="array" aca="1" ref="PG50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0" s="96" t="str">
        <f ca="1">LEFT(Geschlecht[[#This Row],[Geschlecht (Skala)]],1)&amp;PM$4</f>
        <v>2</v>
      </c>
      <c r="PI50" s="96" t="str">
        <f t="shared" ca="1" si="93"/>
        <v>Tanzen_2[Resultat]</v>
      </c>
      <c r="PJ50" s="97" t="str" cm="1">
        <f t="array" aca="1" ref="PJ50" ca="1">IF(INDIRECT(PG$1)="","",IF(INDIRECT(PG$2)=0,0,IF(OR(INDIRECT(PG$1)=$A$2,INDIRECT(PG$1)=$A$3),$A$3,IFERROR(INDEX(INDIRECT(PI50),MATCH(INDIRECT(PG$3),INDIRECT(PI50),PI$25)),IFERROR(IF(PI$25=-1,MAX(INDIRECT(PI50)),IF(PI$25=1,MIN(INDIRECT(PI50)))),"")))))</f>
        <v/>
      </c>
      <c r="PL50" s="91" t="str">
        <f t="shared" ca="1" si="94"/>
        <v>Tanzen_2[Note]</v>
      </c>
      <c r="PM50" s="97" t="str" cm="1">
        <f t="array" aca="1" ref="PM50" ca="1">IFERROR(INDEX(INDIRECT(PL50),MATCH(INDIRECT(PG$5),INDIRECT(PI50),0)),IF(INDIRECT(PG$5)=0,1,""))</f>
        <v/>
      </c>
      <c r="PN50" s="97"/>
      <c r="PO50" s="307"/>
      <c r="PP50" s="96" t="str">
        <f>IFERROR(IFERROR(SUBSTITUTE(RopeSkippingResultat[[#This Row],[Eingabe]],".",",")*1,SUBSTITUTE(RopeSkippingResultat[[#This Row],[Eingabe]],",",".")*1),"")</f>
        <v/>
      </c>
      <c r="PQ50" s="96" t="e">
        <f>INT(RopeSkippingResultat[[#This Row],[Resultat]])=RopeSkippingResultat[[#This Row],[Resultat]]</f>
        <v>#VALUE!</v>
      </c>
      <c r="PR50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0" s="96"/>
      <c r="PT50" s="91" t="str" cm="1">
        <f t="array" aca="1" ref="PT50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0" s="96" t="str">
        <f ca="1">LEFT(Geschlecht[[#This Row],[Geschlecht (Skala)]],1)&amp;PZ$4</f>
        <v>2</v>
      </c>
      <c r="PV50" s="96" t="str">
        <f t="shared" ca="1" si="95"/>
        <v>RopeSkipping_2[Resultat]</v>
      </c>
      <c r="PW50" s="97" t="str" cm="1">
        <f t="array" aca="1" ref="PW50" ca="1">IF(INDIRECT(PT$1)="","",IF(INDIRECT(PT$2)=0,0,IF(OR(INDIRECT(PT$1)=$A$2,INDIRECT(PT$1)=$A$3),$A$3,IFERROR(INDEX(INDIRECT(PV50),MATCH(INDIRECT(PT$3),INDIRECT(PV50),PV$25)),IFERROR(IF(PV$25=-1,MAX(INDIRECT(PV50)),IF(PV$25=1,MIN(INDIRECT(PV50)))),"")))))</f>
        <v/>
      </c>
      <c r="PY50" s="91" t="str">
        <f t="shared" ca="1" si="96"/>
        <v>RopeSkipping_2[Note]</v>
      </c>
      <c r="PZ50" s="97" t="str" cm="1">
        <f t="array" aca="1" ref="PZ50" ca="1">IFERROR(INDEX(INDIRECT(PY50),MATCH(INDIRECT(PT$5),INDIRECT(PV50),0)),IF(INDIRECT(PT$5)=0,1,""))</f>
        <v/>
      </c>
      <c r="QA50" s="97"/>
      <c r="QB50" s="307"/>
      <c r="QC50" s="96" t="str">
        <f>IFERROR(IFERROR(SUBSTITUTE(AerobicResultat[[#This Row],[Eingabe]],".",",")*1,SUBSTITUTE(AerobicResultat[[#This Row],[Eingabe]],",",".")*1),"")</f>
        <v/>
      </c>
      <c r="QD50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0" s="96"/>
      <c r="QF50" s="91" t="str" cm="1">
        <f t="array" aca="1" ref="QF50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0" s="96" t="str">
        <f ca="1">LEFT(Geschlecht[[#This Row],[Geschlecht (Skala)]],1)&amp;QL$4</f>
        <v>2</v>
      </c>
      <c r="QH50" s="96" t="str">
        <f t="shared" ca="1" si="97"/>
        <v>Aerobic_2[Resultat]</v>
      </c>
      <c r="QI50" s="97" t="str" cm="1">
        <f t="array" aca="1" ref="QI50" ca="1">IF(INDIRECT(QF$1)="","",IF(INDIRECT(QF$2)=0,0,IF(OR(INDIRECT(QF$1)=$A$2,INDIRECT(QF$1)=$A$3),$A$3,IFERROR(INDEX(INDIRECT(QH50),MATCH(INDIRECT(QF$3),INDIRECT(QH50),QH$25)),IFERROR(IF(QH$25=-1,MAX(INDIRECT(QH50)),IF(QH$25=1,MIN(INDIRECT(QH50)))),"")))))</f>
        <v/>
      </c>
      <c r="QK50" s="91" t="str">
        <f t="shared" ca="1" si="98"/>
        <v>Aerobic_2[Note]</v>
      </c>
      <c r="QL50" s="97" t="str" cm="1">
        <f t="array" aca="1" ref="QL50" ca="1">IFERROR(INDEX(INDIRECT(QK50),MATCH(INDIRECT(QF$5),INDIRECT(QH50),0)),IF(INDIRECT(QF$5)=0,1,""))</f>
        <v/>
      </c>
      <c r="QM50" s="97"/>
      <c r="QN50" s="97" t="str" cm="1">
        <f t="array" aca="1" ref="QN50" ca="1">INDIRECT(QN$5)</f>
        <v/>
      </c>
      <c r="QO50" s="97" t="str" cm="1">
        <f t="array" aca="1" ref="QO50" ca="1">INDIRECT(QO$5)</f>
        <v/>
      </c>
      <c r="QP50" s="97" t="str" cm="1">
        <f t="array" aca="1" ref="QP50" ca="1">INDIRECT(QP$5)</f>
        <v/>
      </c>
      <c r="QQ50" s="97" t="str" cm="1">
        <f t="array" aca="1" ref="QQ50" ca="1">INDIRECT(QQ$5)</f>
        <v/>
      </c>
      <c r="QR50" s="97" t="str" cm="1">
        <f t="array" aca="1" ref="QR50" ca="1">INDIRECT(QR$5)</f>
        <v/>
      </c>
      <c r="QS50" s="97" t="str" cm="1">
        <f t="array" aca="1" ref="QS50" ca="1">INDIRECT(QS$5)</f>
        <v/>
      </c>
      <c r="QT50" s="97" t="str">
        <f t="shared" ca="1" si="99"/>
        <v>Darstellen und Tanzen nicht durchgeführt</v>
      </c>
      <c r="QU50" s="108">
        <f t="shared" ca="1" si="100"/>
        <v>0</v>
      </c>
      <c r="QV50" s="108">
        <f t="shared" ca="1" si="101"/>
        <v>0</v>
      </c>
      <c r="QW50" s="108" t="str">
        <f t="shared" ca="1" si="210"/>
        <v/>
      </c>
      <c r="QX50" s="97" t="str">
        <f t="shared" ca="1" si="211"/>
        <v>Darstellen und Tanzen nicht durchgeführt</v>
      </c>
      <c r="QY50" s="97" t="str">
        <f t="shared" ca="1" si="212"/>
        <v/>
      </c>
      <c r="QZ50" s="97" t="str" cm="1">
        <f t="array" aca="1" ref="QZ50" ca="1">IFERROR(IF(INDIRECT(INDEX(INDIRECT(QZ$5),MATCH(QX50,INDIRECT(QZ$4),0)))&lt;&gt;"",INDEX(INDIRECT(QZ$5),MATCH(QX50,INDIRECT(QZ$4),0)),INDEX(INDIRECT(QZ$6),MATCH(QX50,INDIRECT(QZ$4),0))),"")</f>
        <v/>
      </c>
      <c r="RA50" s="97" t="str">
        <f t="shared" ca="1" si="213"/>
        <v/>
      </c>
      <c r="RB50" s="97" t="str" cm="1">
        <f t="array" aca="1" ref="RB50" ca="1">IFERROR(INDIRECT(QZ50),IF(NOT(ISERROR(FIND(Stammdaten!$CC$3,QX50,1))),$A$2,""))</f>
        <v/>
      </c>
      <c r="RC50" s="97" t="str">
        <f ca="1">IF(RB50="","",IF(AND(QY50=Stammdaten!$BX$20,RA50="0",RB50=1),SUBSTITUTE(TEXT(RB50,RA50)&amp;" "&amp;LEFT(QY50,LEN(QY50)-1),".",","),SUBSTITUTE(TEXT(RB50,RA50)&amp;" "&amp;QY50,".",",")))</f>
        <v/>
      </c>
      <c r="RD50" s="97" t="str">
        <f t="shared" ca="1" si="102"/>
        <v/>
      </c>
      <c r="RE50" s="97" t="str" cm="1">
        <f t="array" aca="1" ref="RE50" ca="1">IFERROR(LEFT(INDIRECT(RD50),1)&amp;"]","")</f>
        <v/>
      </c>
      <c r="RF50" s="97" t="str">
        <f t="shared" ca="1" si="103"/>
        <v/>
      </c>
      <c r="RG50" s="97" t="str">
        <f ca="1">IFERROR(LEFT(QX50,FIND(Stammdaten!$CA$4,QX50,1)-2),IFERROR(LEFT(QX50,FIND(Stammdaten!$CC$3,QX50,1)-2),QX50))</f>
        <v>Darstellen und Tanzen</v>
      </c>
      <c r="RH50" s="97" t="str">
        <f ca="1">IF(NOT(ISERROR(FIND(Stammdaten!$CA$4,QX50,1))),Stammdaten!$CA$4,IF(RI50&lt;&gt;Stammdaten!$CC$3,RF50,""))</f>
        <v>nicht durchgeführt</v>
      </c>
      <c r="RI50" s="91" t="str">
        <f ca="1">IF(RB50=$A$2,Stammdaten!$CC$3,RC50)</f>
        <v/>
      </c>
      <c r="RJ50" s="108">
        <f t="shared" ca="1" si="214"/>
        <v>6</v>
      </c>
      <c r="RK50" s="97"/>
      <c r="RL50" s="308" t="str">
        <f ca="1">IF(QT50=$QT$4,Stammdaten!$BZ$1,IF(QT50=$QT$5,$A$3,QT50))</f>
        <v>Zu wenige Werte</v>
      </c>
      <c r="RM50" s="97"/>
      <c r="RN50" s="307"/>
      <c r="RO50" s="96" t="str">
        <f>IFERROR(IFERROR(SUBSTITUTE(BasketballResultat[[#This Row],[Eingabe]],".",",")*1,SUBSTITUTE(BasketballResultat[[#This Row],[Eingabe]],",",".")*1),"")</f>
        <v/>
      </c>
      <c r="RP50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0" s="96"/>
      <c r="RR50" s="91" t="str" cm="1">
        <f t="array" aca="1" ref="RR50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0" s="96" t="str">
        <f ca="1">LEFT(Geschlecht[[#This Row],[Geschlecht (Skala)]],1)&amp;RX$4</f>
        <v>2</v>
      </c>
      <c r="RT50" s="96" t="str">
        <f t="shared" ca="1" si="104"/>
        <v>Basketball_2[Resultat]</v>
      </c>
      <c r="RU50" s="97" t="str" cm="1">
        <f t="array" aca="1" ref="RU50" ca="1">IF(INDIRECT(RR$1)="","",IF(INDIRECT(RR$2)=0,0,IF(OR(INDIRECT(RR$1)=$A$2,INDIRECT(RR$1)=$A$3),$A$3,IFERROR(INDEX(INDIRECT(RT50),MATCH(INDIRECT(RR$3),INDIRECT(RT50),RT$25)),IFERROR(IF(RT$25=-1,MAX(INDIRECT(RT50)),IF(RT$25=1,MIN(INDIRECT(RT50)))),"")))))</f>
        <v/>
      </c>
      <c r="RW50" s="91" t="str">
        <f t="shared" ca="1" si="105"/>
        <v>Basketball_2[Note]</v>
      </c>
      <c r="RX50" s="97" t="str" cm="1">
        <f t="array" aca="1" ref="RX50" ca="1">IFERROR(INDEX(INDIRECT(RW50),MATCH(INDIRECT(RR$5),INDIRECT(RT50),0)),IF(INDIRECT(RR$5)=0,1,""))</f>
        <v/>
      </c>
      <c r="RY50" s="97"/>
      <c r="RZ50" s="307"/>
      <c r="SA50" s="96" t="str">
        <f>IFERROR(IFERROR(SUBSTITUTE(FussballResultat[[#This Row],[Eingabe]],".",",")*1,SUBSTITUTE(FussballResultat[[#This Row],[Eingabe]],",",".")*1),"")</f>
        <v/>
      </c>
      <c r="SB50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0" s="96"/>
      <c r="SD50" s="316" t="str" cm="1">
        <f t="array" aca="1" ref="SD50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0" s="96" t="str">
        <f ca="1">LEFT(Geschlecht[[#This Row],[Geschlecht (Skala)]],1)&amp;SJ$4</f>
        <v>2</v>
      </c>
      <c r="SF50" s="96" t="str">
        <f t="shared" ca="1" si="106"/>
        <v>Fussball_2[Resultat]</v>
      </c>
      <c r="SG50" s="97" t="str" cm="1">
        <f t="array" aca="1" ref="SG50" ca="1">IF(INDIRECT(SD$1)="","",IF(INDIRECT(SD$2)=0,0,IF(OR(INDIRECT(SD$1)=$A$2,INDIRECT(SD$1)=$A$3),$A$3,IFERROR(INDEX(INDIRECT(SF50),MATCH(INDIRECT(SD$3),INDIRECT(SF50),SF$25)),IFERROR(IF(SF$25=-1,MAX(INDIRECT(SF50)),IF(SF$25=1,MIN(INDIRECT(SF50)))),"")))))</f>
        <v/>
      </c>
      <c r="SI50" s="91" t="str">
        <f t="shared" ca="1" si="107"/>
        <v>Fussball_2[Note]</v>
      </c>
      <c r="SJ50" s="97" t="str" cm="1">
        <f t="array" aca="1" ref="SJ50" ca="1">IFERROR(INDEX(INDIRECT(SI50),MATCH(INDIRECT(SD$5),INDIRECT(SF50),0)),IF(INDIRECT(SD$5)=0,1,""))</f>
        <v/>
      </c>
      <c r="SK50" s="97"/>
      <c r="SL50" s="307"/>
      <c r="SM50" s="96" t="str">
        <f>IFERROR(IFERROR(SUBSTITUTE(HandballResultat[[#This Row],[Eingabe]],".",",")*1,SUBSTITUTE(HandballResultat[[#This Row],[Eingabe]],",",".")*1),"")</f>
        <v/>
      </c>
      <c r="SN50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0" s="96"/>
      <c r="SP50" s="91" t="str" cm="1">
        <f t="array" aca="1" ref="SP50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0" s="96" t="str">
        <f ca="1">LEFT(Geschlecht[[#This Row],[Geschlecht (Skala)]],1)&amp;SV$4</f>
        <v>2</v>
      </c>
      <c r="SR50" s="96" t="str">
        <f t="shared" ca="1" si="108"/>
        <v>Handball_2[Resultat]</v>
      </c>
      <c r="SS50" s="97" t="str" cm="1">
        <f t="array" aca="1" ref="SS50" ca="1">IF(INDIRECT(SP$1)="","",IF(INDIRECT(SP$2)=0,0,IF(OR(INDIRECT(SP$1)=$A$2,INDIRECT(SP$1)=$A$3),$A$3,IFERROR(INDEX(INDIRECT(SR50),MATCH(INDIRECT(SP$3),INDIRECT(SR50),SR$25)),IFERROR(IF(SR$25=-1,MAX(INDIRECT(SR50)),IF(SR$25=1,MIN(INDIRECT(SR50)))),"")))))</f>
        <v/>
      </c>
      <c r="SU50" s="91" t="str">
        <f t="shared" ca="1" si="109"/>
        <v>Handball_2[Note]</v>
      </c>
      <c r="SV50" s="97" t="str" cm="1">
        <f t="array" aca="1" ref="SV50" ca="1">IFERROR(INDEX(INDIRECT(SU50),MATCH(INDIRECT(SP$5),INDIRECT(SR50),0)),IF(INDIRECT(SP$5)=0,1,""))</f>
        <v/>
      </c>
      <c r="SW50" s="97"/>
      <c r="SX50" s="307"/>
      <c r="SY50" s="96" t="str">
        <f>IFERROR(IFERROR(SUBSTITUTE(UnihockeyResultat[[#This Row],[Eingabe]],".",",")*1,SUBSTITUTE(UnihockeyResultat[[#This Row],[Eingabe]],",",".")*1),"")</f>
        <v/>
      </c>
      <c r="SZ50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0" s="96"/>
      <c r="TB50" s="91" t="str" cm="1">
        <f t="array" aca="1" ref="TB50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0" s="96" t="str">
        <f ca="1">LEFT(Geschlecht[[#This Row],[Geschlecht (Skala)]],1)&amp;TH$4</f>
        <v>2</v>
      </c>
      <c r="TD50" s="96" t="str">
        <f t="shared" ca="1" si="110"/>
        <v>Unihockey_2[Resultat]</v>
      </c>
      <c r="TE50" s="97" t="str" cm="1">
        <f t="array" aca="1" ref="TE50" ca="1">IF(INDIRECT(TB$1)="","",IF(INDIRECT(TB$2)=0,0,IF(OR(INDIRECT(TB$1)=$A$2,INDIRECT(TB$1)=$A$3),$A$3,IFERROR(INDEX(INDIRECT(TD50),MATCH(INDIRECT(TB$3),INDIRECT(TD50),TD$25)),IFERROR(IF(TD$25=-1,MAX(INDIRECT(TD50)),IF(TD$25=1,MIN(INDIRECT(TD50)))),"")))))</f>
        <v/>
      </c>
      <c r="TG50" s="91" t="str">
        <f t="shared" ca="1" si="111"/>
        <v>Unihockey_2[Note]</v>
      </c>
      <c r="TH50" s="97" t="str" cm="1">
        <f t="array" aca="1" ref="TH50" ca="1">IFERROR(INDEX(INDIRECT(TG50),MATCH(INDIRECT(TB$5),INDIRECT(TD50),0)),IF(INDIRECT(TB$5)=0,1,""))</f>
        <v/>
      </c>
      <c r="TI50" s="97"/>
      <c r="TJ50" s="307"/>
      <c r="TK50" s="96" t="str">
        <f>IFERROR(IFERROR(SUBSTITUTE(VolleyballResultat[[#This Row],[Eingabe]],".",",")*1,SUBSTITUTE(VolleyballResultat[[#This Row],[Eingabe]],",",".")*1),"")</f>
        <v/>
      </c>
      <c r="TL50" s="96" t="e">
        <f>INT(VolleyballResultat[[#This Row],[Resultat]])=VolleyballResultat[[#This Row],[Resultat]]</f>
        <v>#VALUE!</v>
      </c>
      <c r="TM50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0" s="96"/>
      <c r="TO50" s="91" t="str" cm="1">
        <f t="array" aca="1" ref="TO50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0" s="96" t="str">
        <f ca="1">LEFT(Geschlecht[[#This Row],[Geschlecht (Skala)]],1)&amp;TU$4</f>
        <v>2</v>
      </c>
      <c r="TQ50" s="96" t="str">
        <f t="shared" ca="1" si="112"/>
        <v>Volleyball_2[Resultat]</v>
      </c>
      <c r="TR50" s="97" t="str" cm="1">
        <f t="array" aca="1" ref="TR50" ca="1">IF(INDIRECT(TO$1)="","",IF(INDIRECT(TO$2)=0,0,IF(OR(INDIRECT(TO$1)=$A$2,INDIRECT(TO$1)=$A$3),$A$3,IFERROR(INDEX(INDIRECT(TQ50),MATCH(INDIRECT(TO$3),INDIRECT(TQ50),TQ$25)),IFERROR(IF(TQ$25=-1,MAX(INDIRECT(TQ50)),IF(TQ$25=1,MIN(INDIRECT(TQ50)))),"")))))</f>
        <v/>
      </c>
      <c r="TT50" s="91" t="str">
        <f t="shared" ca="1" si="113"/>
        <v>Volleyball_2[Note]</v>
      </c>
      <c r="TU50" s="97" t="str" cm="1">
        <f t="array" aca="1" ref="TU50" ca="1">IFERROR(INDEX(INDIRECT(TT50),MATCH(INDIRECT(TO$5),INDIRECT(TQ50),0)),IF(INDIRECT(TO$5)=0,1,""))</f>
        <v/>
      </c>
      <c r="TV50" s="97"/>
      <c r="TW50" s="309" t="str" cm="1">
        <f t="array" aca="1" ref="TW50" ca="1">IF(AND(ISNUMBER(INDIRECT(TW$3)),INDIRECT(TW$3)&gt;1),INDIRECT(TW$3),"")</f>
        <v/>
      </c>
      <c r="TX50" s="309" t="str" cm="1">
        <f t="array" aca="1" ref="TX50" ca="1">IF(AND(ISNUMBER(INDIRECT(TX$3)),INDIRECT(TX$3)&gt;1),INDIRECT(TX$3),"")</f>
        <v/>
      </c>
      <c r="TY50" s="309" t="str" cm="1">
        <f t="array" aca="1" ref="TY50" ca="1">IF(AND(ISNUMBER(INDIRECT(TY$3)),INDIRECT(TY$3)&gt;1),INDIRECT(TY$3),"")</f>
        <v/>
      </c>
      <c r="TZ50" s="309" t="str" cm="1">
        <f t="array" aca="1" ref="TZ50" ca="1">IF(AND(ISNUMBER(INDIRECT(TZ$3)),INDIRECT(TZ$3)&gt;1),INDIRECT(TZ$3),"")</f>
        <v/>
      </c>
      <c r="UA50" s="309" t="str" cm="1">
        <f t="array" aca="1" ref="UA50" ca="1">IF(AND(ISNUMBER(INDIRECT(UA$3)),INDIRECT(UA$3)&gt;1),INDIRECT(UA$3),"")</f>
        <v/>
      </c>
      <c r="UB50" s="309" t="str">
        <f t="shared" ca="1" si="114"/>
        <v>x</v>
      </c>
      <c r="UC50" s="309" t="str">
        <f t="shared" ca="1" si="115"/>
        <v>y</v>
      </c>
      <c r="UD50" s="309" t="str">
        <f t="shared" ca="1" si="116"/>
        <v>z</v>
      </c>
      <c r="UE50" s="309" t="str">
        <f t="shared" ca="1" si="215"/>
        <v>a</v>
      </c>
      <c r="UF50" s="309" t="str" cm="1">
        <f t="array" aca="1" ref="UF50" ca="1">IF(UE50="a","",INDEX($TW$23:$UA$23,,MATCH(UE50,$TW50:$UA50,0)))</f>
        <v/>
      </c>
      <c r="UG50" s="309" t="str" cm="1">
        <f t="array" aca="1" ref="UG50" ca="1">IF(OR(UF50="",UF50&gt;=$UA$23),"",INDEX(INDIRECT(ADDRESS(ROW($TW$23),UF50+1)):$UA$23,,MATCH(UE50,INDIRECT(ADDRESS(ROW(),UF50+1)):$UA50,0)))</f>
        <v/>
      </c>
      <c r="UH50" s="309" t="str" cm="1">
        <f t="array" aca="1" ref="UH50" ca="1">IF(OR(UG50="",UG50&gt;=$UA$23),"",INDEX(INDIRECT(ADDRESS(ROW($TW$23),UG50+1)):$UA$23,,MATCH(UE50,INDIRECT(ADDRESS(ROW(),UG50+1)):$UA50,0)))</f>
        <v/>
      </c>
      <c r="UI50" s="309" t="str">
        <f t="shared" ca="1" si="216"/>
        <v>c</v>
      </c>
      <c r="UJ50" s="309" t="str" cm="1">
        <f t="array" aca="1" ref="UJ50" ca="1">IF(OR(UI50="b",UI50="c"),"",INDEX($TW$23:$UA$23,,MATCH(UI50,$TW50:$UA50,0)))</f>
        <v/>
      </c>
      <c r="UK50" s="309" t="str" cm="1">
        <f t="array" aca="1" ref="UK50" ca="1">IF(OR(UJ50="",UJ50&gt;=$UA$23),"",INDEX(INDIRECT(ADDRESS(ROW($TW$23),UJ50+1)):$UA$23,,MATCH(UI50,INDIRECT(ADDRESS(ROW(),UJ50+1)):$UA50,0)))</f>
        <v/>
      </c>
      <c r="UL50" s="309" t="str">
        <f t="shared" ca="1" si="117"/>
        <v/>
      </c>
      <c r="UM50" s="309" t="str">
        <f t="shared" ca="1" si="217"/>
        <v>e</v>
      </c>
      <c r="UN50" s="309" t="str">
        <f t="shared" ca="1" si="118"/>
        <v/>
      </c>
      <c r="UO50" s="309" t="str" cm="1">
        <f t="array" aca="1" ref="UO50" ca="1">IF(OR(UM50="d",UM50="e"),"",INDEX($TW$23:$UA$23,,MATCH(UM50,$TW50:$UA50,0)))</f>
        <v/>
      </c>
      <c r="UP50" s="309" t="str" cm="1">
        <f t="array" aca="1" ref="UP50" ca="1">IF(OR(UO50="",UO50&gt;=$UA$23),"",INDEX(INDIRECT(ADDRESS(ROW($TW$23),UO50+1)):$UA$23,,MATCH(UM50,INDIRECT(ADDRESS(ROW(),UO50+1)):$UA50,0)))</f>
        <v/>
      </c>
      <c r="UQ50" s="309" t="str" cm="1">
        <f t="array" aca="1" ref="UQ50" ca="1">IFERROR(IF(ISNUMBER(UF50),UF50,IF(ISNUMBER(UJ50),UJ50,IF(ISNUMBER(UN50),UN50,INDEX($TW$23:$UA$23,,MATCH(UB50,$TW50:$UA50,0))))),"x1")</f>
        <v>x1</v>
      </c>
      <c r="UR50" s="309" t="str" cm="1">
        <f t="array" aca="1" ref="UR50" ca="1">IFERROR(IF(ISNUMBER(UG50),UG50,IF(ISNUMBER(UK50),UK50,IF(ISNUMBER(UO50),UO50,INDEX($TW$23:$UA$23,,MATCH(UC50,$TW50:$UA50,0))))),IF(UQ50="x1","x2","x1"))</f>
        <v>x2</v>
      </c>
      <c r="US50" s="309" t="str" cm="1">
        <f t="array" aca="1" ref="US50" ca="1">IFERROR(IF(ISNUMBER(UH50),UH50,IF(ISNUMBER(UL50),UL50,IF(ISNUMBER(UP50),UP50,INDEX($TW$23:$UA$23,,MATCH(UD50,$TW50:$UA50,0))))),IF(UR50="x1","x2",IF(UR50="x2","x3","x1")))</f>
        <v>x3</v>
      </c>
      <c r="UT50" s="97" t="str" cm="1">
        <f t="array" aca="1" ref="UT50" ca="1">IF(OR(INDIRECT(UT$3)=$A$2,INDIRECT(UT$3)=$A$3),COLUMN(),"")</f>
        <v/>
      </c>
      <c r="UU50" s="97" t="str" cm="1">
        <f t="array" aca="1" ref="UU50" ca="1">IF(OR(INDIRECT(UU$3)=$A$2,INDIRECT(UU$3)=$A$3),COLUMN(),"")</f>
        <v/>
      </c>
      <c r="UV50" s="97" t="str" cm="1">
        <f t="array" aca="1" ref="UV50" ca="1">IF(OR(INDIRECT(UV$3)=$A$2,INDIRECT(UV$3)=$A$3),COLUMN(),"")</f>
        <v/>
      </c>
      <c r="UW50" s="97" t="str" cm="1">
        <f t="array" aca="1" ref="UW50" ca="1">IF(OR(INDIRECT(UW$3)=$A$2,INDIRECT(UW$3)=$A$3),COLUMN(),"")</f>
        <v/>
      </c>
      <c r="UX50" s="97" t="str" cm="1">
        <f t="array" aca="1" ref="UX50" ca="1">IF(OR(INDIRECT(UX$3)=$A$2,INDIRECT(UX$3)=$A$3),COLUMN(),"")</f>
        <v/>
      </c>
      <c r="UY50" s="97" t="str" cm="1">
        <f t="array" aca="1" ref="UY50" ca="1">IF(AND(ISNUMBER(INDIRECT(UY$3)),INDIRECT(UY$3)=0),COLUMN(),"")</f>
        <v/>
      </c>
      <c r="UZ50" s="97" t="str" cm="1">
        <f t="array" aca="1" ref="UZ50" ca="1">IF(AND(ISNUMBER(INDIRECT(UZ$3)),INDIRECT(UZ$3)=0),COLUMN(),"")</f>
        <v/>
      </c>
      <c r="VA50" s="97" t="str" cm="1">
        <f t="array" aca="1" ref="VA50" ca="1">IF(AND(ISNUMBER(INDIRECT(VA$3)),INDIRECT(VA$3)=0),COLUMN(),"")</f>
        <v/>
      </c>
      <c r="VB50" s="97" t="str" cm="1">
        <f t="array" aca="1" ref="VB50" ca="1">IF(AND(ISNUMBER(INDIRECT(VB$3)),INDIRECT(VB$3)=0),COLUMN(),"")</f>
        <v/>
      </c>
      <c r="VC50" s="97" t="str" cm="1">
        <f t="array" aca="1" ref="VC50" ca="1">IF(AND(ISNUMBER(INDIRECT(VC$3)),INDIRECT(VC$3)=0),COLUMN(),"")</f>
        <v/>
      </c>
      <c r="VD50" s="97" t="str">
        <f t="shared" ca="1" si="218"/>
        <v>x1</v>
      </c>
      <c r="VE50" s="97" t="str">
        <f t="shared" ca="1" si="219"/>
        <v>x2</v>
      </c>
      <c r="VF50" s="97" t="str">
        <f t="shared" ca="1" si="220"/>
        <v>x3</v>
      </c>
      <c r="VG50" s="97" t="str">
        <f ca="1">IFERROR(IF(ISNUMBER(VD50),VD50,SMALL($UY50:$VC50,VALUE(RIGHT(VD50,1)))),Stammdaten!$CB$17)</f>
        <v>Erste Spielsportart nicht durchgeführt</v>
      </c>
      <c r="VH50" s="97" t="str">
        <f ca="1">IFERROR(IF(ISNUMBER(VE50),VE50,SMALL($UY50:$VC50,VALUE(RIGHT(VE50,1)))),Stammdaten!$CB$18)</f>
        <v>Zweite Spielsportart nicht durchgeführt</v>
      </c>
      <c r="VI50" s="97" t="str">
        <f ca="1">IFERROR(IF(ISNUMBER(VF50),VF50,SMALL($UY50:$VC50,VALUE(RIGHT(VF50,1)))),Stammdaten!$CB$19)</f>
        <v>Dritte Spielsportart nicht durchgeführt</v>
      </c>
      <c r="VJ50" s="91" t="str" cm="1">
        <f t="array" aca="1" ref="VJ50" ca="1">IFERROR(INDIRECT(ADDRESS(ROW($TW$5),VG50)),VG50)</f>
        <v>Erste Spielsportart nicht durchgeführt</v>
      </c>
      <c r="VK50" s="97" t="str">
        <f t="shared" ca="1" si="221"/>
        <v/>
      </c>
      <c r="VL50" s="97" t="str" cm="1">
        <f t="array" aca="1" ref="VL50" ca="1">IFERROR(IF(INDIRECT(INDEX(INDIRECT(VL$5),MATCH(VJ50,INDIRECT(VL$4),0)))&lt;&gt;"",INDEX(INDIRECT(VL$5),MATCH(VJ50,INDIRECT(VL$4),0)),INDEX(INDIRECT(VL$6),MATCH(VJ50,INDIRECT(VL$4),0))),"")</f>
        <v/>
      </c>
      <c r="VM50" s="97" t="str">
        <f t="shared" ca="1" si="222"/>
        <v/>
      </c>
      <c r="VN50" s="97" t="str" cm="1">
        <f t="array" aca="1" ref="VN50" ca="1">IFERROR(INDIRECT(VL50),"")</f>
        <v/>
      </c>
      <c r="VO50" s="97" t="str">
        <f ca="1">IF(VN50="","",IF(AND(VK50=Stammdaten!$BX$20,VM50="0",VN50=1),SUBSTITUTE(TEXT(VN50,VM50)&amp;" "&amp;LEFT(VK50,LEN(VK50)-1),".",","),SUBSTITUTE(TEXT(VN50,VM50)&amp;" "&amp;VK50,".",",")))</f>
        <v/>
      </c>
      <c r="VP50" s="97" t="str">
        <f t="shared" ca="1" si="119"/>
        <v/>
      </c>
      <c r="VQ50" s="97" t="str" cm="1">
        <f t="array" aca="1" ref="VQ50" ca="1">IFERROR(LEFT(INDIRECT(VP50),1)&amp;"]","")</f>
        <v/>
      </c>
      <c r="VR50" s="97" t="str">
        <f t="shared" ca="1" si="120"/>
        <v/>
      </c>
      <c r="VS50" s="97" t="str">
        <f ca="1">IFERROR(LEFT(VJ50,FIND(Stammdaten!$CA$4,VJ50,1)-2),IFERROR(LEFT(VJ50,FIND(Stammdaten!$CC$3,VJ50,1)-2),VJ50))</f>
        <v>Erste Spielsportart</v>
      </c>
      <c r="VT50" s="97" t="str">
        <f ca="1">IF(NOT(ISERROR(FIND(Stammdaten!$CA$4,VJ50,1))),Stammdaten!$CA$4,IF(VU50&lt;&gt;Stammdaten!$CC$3,VR50,""))</f>
        <v>nicht durchgeführt</v>
      </c>
      <c r="VU50" s="91" t="str">
        <f ca="1">IF(VN50=$A$2,Stammdaten!$CC$3,VO50)</f>
        <v/>
      </c>
      <c r="VV50" s="91" t="str" cm="1">
        <f t="array" aca="1" ref="VV50" ca="1">IFERROR(INDIRECT(ADDRESS(ROW($TW$5),VH50)),VH50)</f>
        <v>Zweite Spielsportart nicht durchgeführt</v>
      </c>
      <c r="VW50" s="97" t="str">
        <f t="shared" ca="1" si="223"/>
        <v/>
      </c>
      <c r="VX50" s="97" t="str" cm="1">
        <f t="array" aca="1" ref="VX50" ca="1">IFERROR(IF(INDIRECT(INDEX(INDIRECT(VX$5),MATCH(VV50,INDIRECT(VX$4),0)))&lt;&gt;"",INDEX(INDIRECT(VX$5),MATCH(VV50,INDIRECT(VX$4),0)),INDEX(INDIRECT(VX$6),MATCH(VV50,INDIRECT(VX$4),0))),"")</f>
        <v/>
      </c>
      <c r="VY50" s="97" t="str">
        <f t="shared" ca="1" si="224"/>
        <v/>
      </c>
      <c r="VZ50" s="97" t="str" cm="1">
        <f t="array" aca="1" ref="VZ50" ca="1">IFERROR(INDIRECT(VX50),"")</f>
        <v/>
      </c>
      <c r="WA50" s="97" t="str">
        <f ca="1">IF(VZ50="","",IF(AND(VW50=Stammdaten!$BX$20,VY50="0",VZ50=1),SUBSTITUTE(TEXT(VZ50,VY50)&amp;" "&amp;LEFT(VW50,LEN(VW50)-1),".",","),SUBSTITUTE(TEXT(VZ50,VY50)&amp;" "&amp;VW50,".",",")))</f>
        <v/>
      </c>
      <c r="WB50" s="97" t="str">
        <f t="shared" ca="1" si="121"/>
        <v/>
      </c>
      <c r="WC50" s="97" t="str" cm="1">
        <f t="array" aca="1" ref="WC50" ca="1">IFERROR(LEFT(INDIRECT(WB50),1)&amp;"]","")</f>
        <v/>
      </c>
      <c r="WD50" s="97" t="str">
        <f t="shared" ca="1" si="122"/>
        <v/>
      </c>
      <c r="WE50" s="97" t="str">
        <f ca="1">IFERROR(LEFT(VV50,FIND(Stammdaten!$CA$4,VV50,1)-2),IFERROR(LEFT(VV50,FIND(Stammdaten!$CC$3,VV50,1)-2),VV50))</f>
        <v>Zweite Spielsportart</v>
      </c>
      <c r="WF50" s="97" t="str">
        <f ca="1">IF(NOT(ISERROR(FIND(Stammdaten!$CA$4,VV50,1))),Stammdaten!$CA$4,IF(WG50&lt;&gt;Stammdaten!$CC$3,WD50,""))</f>
        <v>nicht durchgeführt</v>
      </c>
      <c r="WG50" s="91" t="str">
        <f ca="1">IF(VZ50=$A$2,Stammdaten!$CC$3,WA50)</f>
        <v/>
      </c>
      <c r="WH50" s="91" t="str" cm="1">
        <f t="array" aca="1" ref="WH50" ca="1">IFERROR(INDIRECT(ADDRESS(ROW($TW$5),VI50)),VI50)</f>
        <v>Dritte Spielsportart nicht durchgeführt</v>
      </c>
      <c r="WI50" s="97" t="str">
        <f t="shared" ca="1" si="225"/>
        <v/>
      </c>
      <c r="WJ50" s="97" t="str" cm="1">
        <f t="array" aca="1" ref="WJ50" ca="1">IFERROR(IF(INDIRECT(INDEX(INDIRECT(WJ$5),MATCH(WH50,INDIRECT(WJ$4),0)))&lt;&gt;"",INDEX(INDIRECT(WJ$5),MATCH(WH50,INDIRECT(WJ$4),0)),INDEX(INDIRECT(WJ$6),MATCH(WH50,INDIRECT(WJ$4),0))),"")</f>
        <v/>
      </c>
      <c r="WK50" s="97" t="str">
        <f t="shared" ca="1" si="226"/>
        <v/>
      </c>
      <c r="WL50" s="97" t="str" cm="1">
        <f t="array" aca="1" ref="WL50" ca="1">IFERROR(INDIRECT(WJ50),"")</f>
        <v/>
      </c>
      <c r="WM50" s="97" t="str">
        <f ca="1">IF(WL50="","",IF(AND(WI50=Stammdaten!$BX$20,WK50="0",WL50=1),SUBSTITUTE(TEXT(WL50,WK50)&amp;" "&amp;LEFT(WI50,LEN(WI50)-1),".",","),SUBSTITUTE(TEXT(WL50,WK50)&amp;" "&amp;WI50,".",",")))</f>
        <v/>
      </c>
      <c r="WN50" s="97" t="str">
        <f t="shared" ca="1" si="123"/>
        <v/>
      </c>
      <c r="WO50" s="97" t="str" cm="1">
        <f t="array" aca="1" ref="WO50" ca="1">IFERROR(LEFT(INDIRECT(WN50),1)&amp;"]","")</f>
        <v/>
      </c>
      <c r="WP50" s="97" t="str">
        <f t="shared" ca="1" si="124"/>
        <v/>
      </c>
      <c r="WQ50" s="97" t="str">
        <f ca="1">IFERROR(LEFT(WH50,FIND(Stammdaten!$CA$4,WH50,1)-2),IFERROR(LEFT(WH50,FIND(Stammdaten!$CC$3,WH50,1)-2),WH50))</f>
        <v>Dritte Spielsportart</v>
      </c>
      <c r="WR50" s="97" t="str">
        <f ca="1">IF(NOT(ISERROR(FIND(Stammdaten!$CA$4,WH50,1))),Stammdaten!$CA$4,IF(WS50&lt;&gt;Stammdaten!$CC$3,WP50,""))</f>
        <v>nicht durchgeführt</v>
      </c>
      <c r="WS50" s="91" t="str">
        <f ca="1">IF(WL50=$A$2,Stammdaten!$CC$3,WM50)</f>
        <v/>
      </c>
      <c r="WT50" s="97" t="str" cm="1">
        <f t="array" aca="1" ref="WT50" ca="1">INDIRECT(WT$5)</f>
        <v/>
      </c>
      <c r="WU50" s="97" t="str" cm="1">
        <f t="array" aca="1" ref="WU50" ca="1">INDIRECT(WU$5)</f>
        <v/>
      </c>
      <c r="WV50" s="97" t="str" cm="1">
        <f t="array" aca="1" ref="WV50" ca="1">INDIRECT(WV$5)</f>
        <v/>
      </c>
      <c r="WW50" s="97" t="str" cm="1">
        <f t="array" aca="1" ref="WW50" ca="1">INDIRECT(WW$5)</f>
        <v/>
      </c>
      <c r="WX50" s="97" t="str" cm="1">
        <f t="array" aca="1" ref="WX50" ca="1">INDIRECT(WX$5)</f>
        <v/>
      </c>
      <c r="WY50" s="97" cm="1">
        <f t="array" aca="1" ref="WY50" ca="1">IF(INDIRECT(WY$5)&lt;&gt;"",INDIRECT(WY$5),0)</f>
        <v>0</v>
      </c>
      <c r="WZ50" s="97" cm="1">
        <f t="array" aca="1" ref="WZ50" ca="1">IF(INDIRECT(WZ$5)&lt;&gt;"",INDIRECT(WZ$5),0)</f>
        <v>0</v>
      </c>
      <c r="XA50" s="97" cm="1">
        <f t="array" aca="1" ref="XA50" ca="1">IF(INDIRECT(XA$5)&lt;&gt;"",INDIRECT(XA$5),0)</f>
        <v>0</v>
      </c>
      <c r="XB50" s="97" cm="1">
        <f t="array" aca="1" ref="XB50" ca="1">IF(INDIRECT(XB$5)&lt;&gt;"",INDIRECT(XB$5),0)</f>
        <v>0</v>
      </c>
      <c r="XC50" s="97" cm="1">
        <f t="array" aca="1" ref="XC50" ca="1">IF(INDIRECT(XC$5)&lt;&gt;"",INDIRECT(XC$5),0)</f>
        <v>0</v>
      </c>
      <c r="XD50" s="97">
        <f t="shared" ca="1" si="125"/>
        <v>0</v>
      </c>
      <c r="XE50" s="97">
        <f t="shared" ca="1" si="125"/>
        <v>0</v>
      </c>
      <c r="XF50" s="97">
        <f t="shared" ca="1" si="125"/>
        <v>0</v>
      </c>
      <c r="XG50" s="97">
        <f t="shared" ca="1" si="227"/>
        <v>0</v>
      </c>
      <c r="XH50" s="108">
        <f t="shared" ca="1" si="228"/>
        <v>0</v>
      </c>
      <c r="XI50" s="108">
        <f t="shared" ca="1" si="126"/>
        <v>0</v>
      </c>
      <c r="XJ50" s="108" t="str">
        <f t="shared" ca="1" si="229"/>
        <v/>
      </c>
      <c r="XK50" s="97" t="str">
        <f ca="1">IF(XJ50="",Stammdaten!$BZ$1,IF(AND(XH50=0,XI50&gt;=XJ$25),$A$3,ROUND(SUM(XG50/XJ50)/XK$25,0)*XK$25))</f>
        <v>Zu wenige Werte</v>
      </c>
      <c r="XL50" s="108">
        <f t="shared" ca="1" si="230"/>
        <v>6</v>
      </c>
      <c r="XM50" s="97" t="str">
        <f t="shared" ca="1" si="231"/>
        <v/>
      </c>
      <c r="XN50" s="97" t="str">
        <f t="shared" ca="1" si="232"/>
        <v/>
      </c>
      <c r="XO50" s="97" t="str">
        <f t="shared" ca="1" si="233"/>
        <v/>
      </c>
      <c r="XP50" s="97" t="str">
        <f t="shared" ca="1" si="234"/>
        <v/>
      </c>
      <c r="XQ50" s="97" t="str">
        <f t="shared" ca="1" si="235"/>
        <v>g</v>
      </c>
      <c r="XR50" s="97" t="str">
        <f t="shared" ca="1" si="236"/>
        <v/>
      </c>
      <c r="XS50" s="97">
        <f t="shared" ca="1" si="237"/>
        <v>1</v>
      </c>
      <c r="XT50" s="97" t="str">
        <f ca="1">IF(OR(Geschlecht[[#This Row],[Geschlecht (Skala)]]="",NOT(ISNUMBER(XJ50))),"",XS50)</f>
        <v/>
      </c>
      <c r="XU50" s="97" t="str">
        <f t="shared" ca="1" si="238"/>
        <v/>
      </c>
      <c r="XV50" s="97"/>
      <c r="XW50" s="308" t="str">
        <f t="shared" ca="1" si="127"/>
        <v>Zu wenige Werte</v>
      </c>
      <c r="XX50" s="97"/>
      <c r="XY50" s="97" t="str">
        <f t="shared" ca="1" si="128"/>
        <v>Zu wenige Werte</v>
      </c>
      <c r="XZ50" s="97" t="str">
        <f t="shared" ca="1" si="129"/>
        <v>Zu wenige Werte</v>
      </c>
      <c r="YA50" s="97" t="str">
        <f t="shared" ca="1" si="130"/>
        <v>Zu wenige Werte</v>
      </c>
      <c r="YB50" s="97" t="str">
        <f t="shared" ca="1" si="131"/>
        <v>Zu wenige Werte</v>
      </c>
      <c r="YC50" s="97">
        <f t="shared" ca="1" si="239"/>
        <v>0</v>
      </c>
      <c r="YD50" s="108">
        <f t="shared" ca="1" si="240"/>
        <v>0</v>
      </c>
      <c r="YE50" s="108">
        <f t="shared" ca="1" si="241"/>
        <v>0</v>
      </c>
      <c r="YF50" s="108" t="str">
        <f t="shared" ca="1" si="242"/>
        <v/>
      </c>
      <c r="YG50" s="97" t="str">
        <f ca="1">IF(YF50="",Stammdaten!$BZ$1,IF(YE50=YF$25,$A$3,ROUND(SUM(YC50/YF50)/YG$25,0)*YG$25))</f>
        <v>Zu wenige Werte</v>
      </c>
      <c r="YH50" s="97" t="str">
        <f ca="1">IF(NOT(ISNUMBER(XY50)),"",IF(YH$11&lt;&gt;"2+",TEXT(XY50,YH$11)&amp;" / ",IF(RIGHT(XY50*100,2)="00",TEXT(XY50,"0"&amp;Stammdaten!$AZ$3&amp;"0")&amp;" / ",XY50&amp;" / ")))</f>
        <v/>
      </c>
      <c r="YI50" s="97" t="str">
        <f ca="1">IF(NOT(ISNUMBER(XZ50)),"",IF(YI$11&lt;&gt;"2+",TEXT(XZ50,YI$11)&amp;" / ",IF(RIGHT(XZ50*100,2)="00",TEXT(XZ50,"0"&amp;Stammdaten!$AZ$3&amp;"0")&amp;" / ",XZ50&amp;" / ")))</f>
        <v/>
      </c>
      <c r="YJ50" s="97" t="str">
        <f ca="1">IF(NOT(ISNUMBER(YA50)),"",IF(YJ$11&lt;&gt;"2+",TEXT(YA50,YJ$11)&amp;" / ",IF(RIGHT(YA50*100,2)="00",TEXT(YA50,"0"&amp;Stammdaten!$AZ$3&amp;"0")&amp;" / ",YA50&amp;" / ")))</f>
        <v/>
      </c>
      <c r="YK50" s="97" t="str">
        <f ca="1">IF(NOT(ISNUMBER(YB50)),"",IF(YK$11&lt;&gt;"2+",TEXT(YB50,YK$11)&amp;" / ",IF(RIGHT(YB50*100,2)="00",TEXT(YB50,"0"&amp;Stammdaten!$AZ$3&amp;"0")&amp;" / ",YB50&amp;" / ")))</f>
        <v/>
      </c>
      <c r="YL50" s="97" t="str">
        <f t="shared" ca="1" si="243"/>
        <v/>
      </c>
      <c r="YM50" s="97" t="str">
        <f>IF(Geschlecht[[#This Row],[Geschlecht (Skala)]]="","",IF(ISNUMBER(XY50),1,IF(XY50=$A$3,$A$2,"R")))</f>
        <v/>
      </c>
      <c r="YN50" s="97" t="str">
        <f>IF(Geschlecht[[#This Row],[Geschlecht (Skala)]]="","",IF(ISNUMBER(XZ50),1,IF(XZ50=$A$3,$A$2,"R")))</f>
        <v/>
      </c>
      <c r="YO50" s="97" t="str">
        <f>IF(Geschlecht[[#This Row],[Geschlecht (Skala)]]="","",IF(ISNUMBER(YA50),1,IF(YA50=$A$3,$A$2,"R")))</f>
        <v/>
      </c>
      <c r="YP50" s="97" t="str">
        <f>IF(Geschlecht[[#This Row],[Geschlecht (Skala)]]="","",IF(ISNUMBER(YB50),1,IF(YB50=$A$3,$A$2,"R")))</f>
        <v/>
      </c>
      <c r="YQ50" s="97" t="str">
        <f t="shared" si="244"/>
        <v>g</v>
      </c>
      <c r="YR50" s="97" t="str">
        <f t="shared" ca="1" si="245"/>
        <v/>
      </c>
      <c r="YS50" s="97">
        <f t="shared" ca="1" si="246"/>
        <v>1</v>
      </c>
      <c r="YT50" s="97" t="str">
        <f ca="1">IF(OR(Geschlecht[[#This Row],[Geschlecht (Skala)]]="",NOT(ISNUMBER(YG50))),"",YS50)</f>
        <v/>
      </c>
      <c r="YU50" s="97"/>
      <c r="YV50" s="311" t="str">
        <f t="shared" si="247"/>
        <v>D</v>
      </c>
      <c r="YW50" s="302"/>
      <c r="YX50" s="311" t="str">
        <f t="shared" si="248"/>
        <v>D</v>
      </c>
      <c r="YY50" s="302"/>
      <c r="YZ50" s="311" t="str">
        <f t="shared" si="249"/>
        <v>D</v>
      </c>
      <c r="ZA50" s="302"/>
      <c r="ZB50" s="311" t="str">
        <f t="shared" si="250"/>
        <v>D</v>
      </c>
      <c r="ZC50" s="97"/>
      <c r="ZD50" s="97" t="str">
        <f t="shared" ca="1" si="132"/>
        <v/>
      </c>
      <c r="ZE50" s="97"/>
      <c r="ZF50" s="308" t="str">
        <f t="shared" ca="1" si="251"/>
        <v>Zu wenige Werte</v>
      </c>
      <c r="ZH50" s="317" t="s">
        <v>134</v>
      </c>
      <c r="ZJ50" s="91" t="str" cm="1">
        <f t="array" ref="ZJ50">IF(OR(Geschlecht[[#This Row],[Geschlecht (Skala)]]="",ZH50="",ZH50=Stammdaten!$BZ$5),"",REPLACE(INDEX(StdDisziplinen[TabÜberschriftNote],ZH$3),FIND("X",INDEX(StdDisziplinen[TabÜberschriftNote],ZH$3),1),1,Geschlecht[[#This Row],[Geschlecht (Skala)]]))</f>
        <v/>
      </c>
      <c r="ZK50" s="314"/>
      <c r="ZM50" s="315"/>
      <c r="ZN50" s="97" t="str">
        <f>IFERROR(IFERROR(SUBSTITUTE(SchwimmenResultatMin[[#This Row],[Min]],".",",")*1,SUBSTITUTE(SchwimmenResultatMin[[#This Row],[Min]],",",".")*1),"")</f>
        <v/>
      </c>
      <c r="ZO50" s="91" t="e">
        <f>INT(SchwimmenResultatMin[[#This Row],[Resultat]])=SchwimmenResultatMin[[#This Row],[Resultat]]</f>
        <v>#VALUE!</v>
      </c>
      <c r="ZP50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0" s="315"/>
      <c r="ZS50" s="97" t="str">
        <f>IFERROR(IFERROR(SUBSTITUTE(SchwimmenResultatSek[[#This Row],[Sek]],".",",")*1,SUBSTITUTE(SchwimmenResultatSek[[#This Row],[Sek]],",",".")*1),"")</f>
        <v/>
      </c>
      <c r="ZT50" s="108" t="e">
        <f>INT(SchwimmenResultatSek[[#This Row],[Resultat]])=SchwimmenResultatSek[[#This Row],[Resultat]]</f>
        <v>#VALUE!</v>
      </c>
      <c r="ZU50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0" s="97" t="str" cm="1">
        <f t="array" aca="1" ref="ZW50" ca="1">IF(AND(INDIRECT(ZW$2)="",INDIRECT(ZX$2)=""),"",IFERROR((INDIRECT(ZW$2)*$ZW$25)+INDIRECT(ZX$2),""))</f>
        <v/>
      </c>
      <c r="ZX50" s="91" t="str">
        <f ca="1">REPLACE(ZW$4,ZX$6,1,Geschlecht[[#This Row],[Geschlecht (Skala)]])</f>
        <v>Schwimmen_[Resultat]</v>
      </c>
      <c r="ZY50" s="91" t="str">
        <f ca="1">IFERROR(REPLACE($ZX50,FIND(Stammdaten!$V$2,$ZX50,1),LEN(Stammdaten!$V$2),Stammdaten!$BZ$9),"")</f>
        <v>Schwimmen_[Anzeige]</v>
      </c>
      <c r="ZZ50" s="97" t="str" cm="1">
        <f t="array" aca="1" ref="ZZ50" ca="1">IF(INDIRECT(ZW$3)="","",IF(INDIRECT(ZW$3)=0,0,IF(OR(INDIRECT(ZW$1)=$A$2,INDIRECT(ZW$1)=$A$3),$A$3,IFERROR(INDEX(INDIRECT(ZX50),MATCH(INDIRECT(ZW$3),INDIRECT(ZX50),ZY$25)),IFERROR(IF(ZY$25=-1,MAX(INDIRECT(ZX50)),IF(ZY$25=1,MIN(INDIRECT(ZX50)))),"")))))</f>
        <v/>
      </c>
      <c r="AAA50" s="97" t="str" cm="1">
        <f t="array" aca="1" ref="AAA50" ca="1">IF(INDIRECT(ZX$5)=0,0,IF(OR(INDIRECT(ZW$1)=$A$2,INDIRECT(ZW$1)=$A$3),$A$3,IFERROR(INDEX(INDIRECT($ZY50),MATCH(INDIRECT(ZX$5),INDIRECT($ZX50),0)),"")))</f>
        <v/>
      </c>
      <c r="AAC50" s="91" t="str">
        <f ca="1">REPLACE(ZW$6,ZX$6,1,Geschlecht[[#This Row],[Geschlecht (Skala)]])</f>
        <v>Schwimmen_[Note]</v>
      </c>
      <c r="AAD50" s="97" t="str" cm="1">
        <f t="array" aca="1" ref="AAD50" ca="1">IFERROR(INDEX(INDIRECT(AAC50),MATCH(INDIRECT(ZX$5),INDIRECT(ZX50),0)),IF(INDIRECT(ZX$5)=0,1,""))</f>
        <v/>
      </c>
      <c r="AAE50" s="97"/>
      <c r="AAF50" s="96" t="str">
        <f>ZwölfMinLaufHalleResultat[[#This Row],[Resultat]]</f>
        <v/>
      </c>
      <c r="AAG50" s="96"/>
      <c r="AAH50" s="97" t="str">
        <f ca="1">ZwölfMinLaufHalleSkalawert[[#This Row],[Skala-Wert]]</f>
        <v/>
      </c>
      <c r="AAJ50" s="97" t="str">
        <f ca="1">ZwölfMinLaufHalleNote[[#This Row],[Note]]</f>
        <v/>
      </c>
      <c r="AAK50" s="97"/>
      <c r="AAL50" s="96" t="str">
        <f>ZwölfMinLaufimFreienResultat[[#This Row],[Resultat]]</f>
        <v/>
      </c>
      <c r="AAM50" s="96"/>
      <c r="AAN50" s="97" t="str">
        <f ca="1">ZwölfMinLaufimFreienSkalawert[[#This Row],[Skala-Wert]]</f>
        <v/>
      </c>
      <c r="AAP50" s="97" t="str">
        <f ca="1">ZwölfMinLaufimFreienNote[[#This Row],[Note]]</f>
        <v/>
      </c>
      <c r="AAQ50" s="97"/>
      <c r="AAR50" s="307"/>
      <c r="AAS50" s="96" t="str">
        <f>IFERROR(IFERROR(SUBSTITUTE(BeweglichkeitResultat[[#This Row],[Eingabe]],".",",")*1,SUBSTITUTE(BeweglichkeitResultat[[#This Row],[Eingabe]],",",".")*1),"")</f>
        <v/>
      </c>
      <c r="AAT50" s="96" t="e">
        <f>INT(BeweglichkeitResultat[[#This Row],[Resultat]])=BeweglichkeitResultat[[#This Row],[Resultat]]</f>
        <v>#VALUE!</v>
      </c>
      <c r="AAU50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0" s="96"/>
      <c r="AAW50" s="91" t="str" cm="1">
        <f t="array" aca="1" ref="AAW50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0" s="96" t="str">
        <f ca="1">REPLACE(AAW$4,AAX$6,1,Geschlecht[[#This Row],[Geschlecht (Skala)]])</f>
        <v>Beweglichkeit_[Resultat]</v>
      </c>
      <c r="AAY50" s="96" t="str" cm="1">
        <f t="array" aca="1" ref="AAY50" ca="1">IF(OR(INDIRECT(AAW$1)=$A$2,INDIRECT(AAW$1)=$A$3),$A$3,IF(OR(INDIRECT(AAW$2)="",AND(Geschlecht[[#This Row],[Geschlecht (Skala)]]=Stammdaten!$D$7,INDIRECT(AAW$2)&lt;0)),"",IFERROR(INDEX(INDIRECT(AAX50),MATCH(INDIRECT(AAW$3),INDIRECT(AAX50),AAX$25)),IFERROR(IF(AAX$25=-1,MAX(INDIRECT(AAX50)),IF(AAX$25=1,MIN(INDIRECT(AAX50)))),""))))</f>
        <v/>
      </c>
      <c r="AAZ50" s="97" t="str" cm="1">
        <f t="array" aca="1" ref="AAZ50" ca="1">IF(INDIRECT(AAW$1)="","",IF(INDIRECT(AAW$1)=0,0,IF(OR(INDIRECT(AAW$1)=$A$2,INDIRECT(AAW$1)=$A$3),$A$3,IFERROR(INDEX(INDIRECT(AAY50),MATCH(INDIRECT(AAW$3),INDIRECT(AAY50),AAY$27)),IFERROR(IF(AAY$27=-1,MAX(INDIRECT(AAY50)),IF(AAY$27=1,MIN(INDIRECT(AAY50)))),"")))))</f>
        <v/>
      </c>
      <c r="ABA50" s="96" t="str">
        <f ca="1">REPLACE(AAW$6,AAX$6,1,Geschlecht[[#This Row],[Geschlecht (Skala)]])</f>
        <v>Beweglichkeit_[Note]</v>
      </c>
      <c r="ABB50" s="91" t="str" cm="1">
        <f t="array" aca="1" ref="ABB50" ca="1">IFERROR(INDEX(INDIRECT(ABA50),MATCH(INDIRECT(AAW$5),INDIRECT(AAX50),0)),"")</f>
        <v/>
      </c>
      <c r="ABC50" s="97" t="str" cm="1">
        <f t="array" aca="1" ref="ABC50" ca="1">IFERROR(INDEX(INDIRECT(ABB50),MATCH(INDIRECT(AAW$5),INDIRECT(AAY50),0)),"")</f>
        <v/>
      </c>
      <c r="ABD50" s="307"/>
      <c r="ABE50" s="96" t="str">
        <f>IFERROR(IFERROR(SUBSTITUTE(RumpfkraftResultat[[#This Row],[Eingabe]],".",",")*1,SUBSTITUTE(RumpfkraftResultat[[#This Row],[Eingabe]],",",".")*1),"")</f>
        <v/>
      </c>
      <c r="ABF50" s="96" t="e">
        <f>INT(RumpfkraftResultat[[#This Row],[Resultat]])=RumpfkraftResultat[[#This Row],[Resultat]]</f>
        <v>#VALUE!</v>
      </c>
      <c r="ABG50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0" s="96"/>
      <c r="ABI50" s="91" t="str" cm="1">
        <f t="array" aca="1" ref="ABI50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0" s="96" t="str">
        <f ca="1">REPLACE(ABI$4,ABJ$6,1,Geschlecht[[#This Row],[Geschlecht (Skala)]])</f>
        <v>Rumpfkraft_[Resultat]</v>
      </c>
      <c r="ABK50" s="97" t="str" cm="1">
        <f t="array" aca="1" ref="ABK50" ca="1">IF(INDIRECT(ABI$1)="","",IF(OR(INDIRECT(ABI$1)=$A$2,INDIRECT(ABI$1)=$A$3),$A$3,IFERROR(INDEX(INDIRECT(ABJ50),MATCH(INDIRECT(ABI$3),INDIRECT(ABJ50),ABJ$25)),IFERROR(IF(ABJ$25=-1,MAX(INDIRECT(ABJ50)),IF(ABJ$25=1,MIN(INDIRECT(ABJ50)))),""))))</f>
        <v/>
      </c>
      <c r="ABM50" s="91" t="str">
        <f ca="1">REPLACE(ABI$6,ABJ$6,1,Geschlecht[[#This Row],[Geschlecht (Skala)]])</f>
        <v>Rumpfkraft_[Note]</v>
      </c>
      <c r="ABN50" s="97" t="str" cm="1">
        <f t="array" aca="1" ref="ABN50" ca="1">IFERROR(INDEX(INDIRECT(ABM50),MATCH(INDIRECT(ABI$5),INDIRECT(ABJ50),0)),"")</f>
        <v/>
      </c>
      <c r="ABO50" s="97"/>
      <c r="ABP50" s="96" t="str">
        <f>SechzigmLaufResultat[[#This Row],[Resultat]]</f>
        <v/>
      </c>
      <c r="ABQ50" s="96"/>
      <c r="ABR50" s="97" t="str">
        <f ca="1">SechzigmLaufSkalawert[[#This Row],[Skala-Wert]]</f>
        <v/>
      </c>
      <c r="ABT50" s="97" t="str">
        <f ca="1">SechzigmLaufNote[[#This Row],[Note]]</f>
        <v/>
      </c>
      <c r="ABU50" s="97"/>
      <c r="ABV50" s="96" t="str">
        <f>AchtzigmLaufResultat[[#This Row],[Resultat]]</f>
        <v/>
      </c>
      <c r="ABW50" s="96"/>
      <c r="ABX50" s="97" t="str">
        <f ca="1">AchtzigmLaufSkalawert[[#This Row],[Skala-Wert]]</f>
        <v/>
      </c>
      <c r="ABZ50" s="97" t="str">
        <f ca="1">AchtzigmLaufNote[[#This Row],[Note]]</f>
        <v/>
      </c>
      <c r="ACA50" s="97"/>
      <c r="ACB50" s="307"/>
      <c r="ACC50" s="96" t="str">
        <f>IFERROR(IFERROR(SUBSTITUTE(KonditionsparcoursResultat[[#This Row],[Eingabe]],".",",")*1,SUBSTITUTE(KonditionsparcoursResultat[[#This Row],[Eingabe]],",",".")*1),"")</f>
        <v/>
      </c>
      <c r="ACD50" s="96" t="e">
        <f>INT(KonditionsparcoursResultat[[#This Row],[Resultat]])=KonditionsparcoursResultat[[#This Row],[Resultat]]</f>
        <v>#VALUE!</v>
      </c>
      <c r="ACE50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0" s="96"/>
      <c r="ACG50" s="91" t="str" cm="1">
        <f t="array" aca="1" ref="ACG50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0" s="96" t="str">
        <f ca="1">LEFT(Geschlecht[[#This Row],[Geschlecht (Skala)]],1)&amp;ACM$4</f>
        <v>2</v>
      </c>
      <c r="ACI50" s="96" t="str">
        <f t="shared" ca="1" si="133"/>
        <v>Konditionsparcours_2[Resultat]</v>
      </c>
      <c r="ACJ50" s="97" t="str" cm="1">
        <f t="array" aca="1" ref="ACJ50" ca="1">IF(INDIRECT(ACG$1)="","",IF(OR(INDIRECT(ACG$1)=$A$2,INDIRECT(ACG$1)=$A$3),$A$3,IFERROR(INDEX(INDIRECT(ACI50),MATCH(INDIRECT(ACG$3),INDIRECT(ACI50),ACI$25)),IFERROR(IF(ACI$25=-1,MAX(INDIRECT(ACI50)),IF(ACI$25=1,MIN(INDIRECT(ACI50)))),""))))</f>
        <v/>
      </c>
      <c r="ACL50" s="91" t="str">
        <f t="shared" ca="1" si="134"/>
        <v>Konditionsparcours_2[Note]</v>
      </c>
      <c r="ACM50" s="97" t="str" cm="1">
        <f t="array" aca="1" ref="ACM50" ca="1">IFERROR(INDEX(INDIRECT(ACL50),MATCH(INDIRECT(ACG$5),INDIRECT(ACI50),0)),"")</f>
        <v/>
      </c>
      <c r="ACN50" s="102"/>
    </row>
    <row r="51" spans="1:768">
      <c r="A51" s="305">
        <v>24</v>
      </c>
      <c r="B51" s="133"/>
      <c r="C51" s="133"/>
      <c r="E51" s="306"/>
      <c r="G51" s="307"/>
      <c r="H51" s="96" t="str">
        <f>IFERROR(IFERROR(SUBSTITUTE(SechzigmLaufResultat[[#This Row],[Eingabe]],".",",")*1,SUBSTITUTE(SechzigmLaufResultat[[#This Row],[Eingabe]],",",".")*1),"")</f>
        <v/>
      </c>
      <c r="I51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1" s="96"/>
      <c r="K51" s="91" t="str" cm="1">
        <f t="array" aca="1" ref="K51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1" s="96" t="str">
        <f ca="1">LEFT(Geschlecht[[#This Row],[Geschlecht (Skala)]],1)&amp;Q$4</f>
        <v>2</v>
      </c>
      <c r="M51" s="96" t="str">
        <f t="shared" ca="1" si="37"/>
        <v>SechzigmLauf_2[Resultat]</v>
      </c>
      <c r="N51" s="97" t="str" cm="1">
        <f t="array" aca="1" ref="N51" ca="1">IF(INDIRECT(K$1)="","",IF(INDIRECT(K$2)=0,0,IF(OR(INDIRECT(K$1)=$A$2,INDIRECT(K$1)=$A$3),$A$3,IFERROR(INDEX(INDIRECT(M51),MATCH(INDIRECT(K$3),INDIRECT(M51),M$25)),IFERROR(IF(M$25=-1,MAX(INDIRECT(M51)),IF(M$25=1,MIN(INDIRECT(M51)))),"")))))</f>
        <v/>
      </c>
      <c r="P51" s="91" t="str">
        <f t="shared" ca="1" si="38"/>
        <v>SechzigmLauf_2[Note]</v>
      </c>
      <c r="Q51" s="97" t="str" cm="1">
        <f t="array" aca="1" ref="Q51" ca="1">IFERROR(INDEX(INDIRECT(P51),MATCH(INDIRECT(K$5),INDIRECT(M51),0)),IF(INDIRECT(K$5)=0,1,""))</f>
        <v/>
      </c>
      <c r="R51" s="97"/>
      <c r="S51" s="307"/>
      <c r="T51" s="96" t="str">
        <f>IFERROR(IFERROR(SUBSTITUTE(AchtzigmLaufResultat[[#This Row],[Eingabe]],".",",")*1,SUBSTITUTE(AchtzigmLaufResultat[[#This Row],[Eingabe]],",",".")*1),"")</f>
        <v/>
      </c>
      <c r="U51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1" s="96"/>
      <c r="W51" s="91" t="str" cm="1">
        <f t="array" aca="1" ref="W51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1" s="96" t="str">
        <f ca="1">LEFT(Geschlecht[[#This Row],[Geschlecht (Skala)]],1)&amp;AC$4</f>
        <v>2</v>
      </c>
      <c r="Y51" s="96" t="str">
        <f t="shared" ca="1" si="39"/>
        <v>AchtzigmLauf_2[Resultat]</v>
      </c>
      <c r="Z51" s="97" t="str" cm="1">
        <f t="array" aca="1" ref="Z51" ca="1">IF(INDIRECT(W$1)="","",IF(INDIRECT(W$2)=0,0,IF(OR(INDIRECT(W$1)=$A$2,INDIRECT(W$1)=$A$3),$A$3,IFERROR(INDEX(INDIRECT(Y51),MATCH(INDIRECT(W$3),INDIRECT(Y51),Y$25)),IFERROR(IF(Y$25=-1,MAX(INDIRECT(Y51)),IF(Y$25=1,MIN(INDIRECT(Y51)))),"")))))</f>
        <v/>
      </c>
      <c r="AB51" s="91" t="str">
        <f t="shared" ca="1" si="40"/>
        <v>AchtzigmLauf_2[Note]</v>
      </c>
      <c r="AC51" s="97" t="str" cm="1">
        <f t="array" aca="1" ref="AC51" ca="1">IFERROR(INDEX(INDIRECT(AB51),MATCH(INDIRECT(W$5),INDIRECT(Y51),0)),IF(INDIRECT(W$5)=0,1,""))</f>
        <v/>
      </c>
      <c r="AD51" s="97"/>
      <c r="AE51" s="307"/>
      <c r="AF51" s="96" t="str">
        <f>IFERROR(IFERROR(SUBSTITUTE(ZwölfMinLaufHalleResultat[[#This Row],[Eingabe]],".",",")*1,SUBSTITUTE(ZwölfMinLaufHalleResultat[[#This Row],[Eingabe]],",",".")*1),"")</f>
        <v/>
      </c>
      <c r="AG51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1" s="96"/>
      <c r="AI51" s="91" t="str" cm="1">
        <f t="array" aca="1" ref="AI51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1" s="96" t="str">
        <f ca="1">LEFT(Geschlecht[[#This Row],[Geschlecht (Skala)]],1)&amp;AO$4</f>
        <v>2</v>
      </c>
      <c r="AK51" s="96" t="str">
        <f t="shared" ca="1" si="41"/>
        <v>ZwölfMinLaufHalle_2[Resultat]</v>
      </c>
      <c r="AL51" s="97" t="str" cm="1">
        <f t="array" aca="1" ref="AL51" ca="1">IF(INDIRECT(AI$1)="","",IF(INDIRECT(AI$2)=0,0,IF(OR(INDIRECT(AI$1)=$A$2,INDIRECT(AI$1)=$A$3),$A$3,IFERROR(INDEX(INDIRECT(AK51),MATCH(INDIRECT(AI$3),INDIRECT(AK51),AK$25)),IFERROR(IF(AK$25=-1,MAX(INDIRECT(AK51)),IF(AK$25=1,MIN(INDIRECT(AK51)))),"")))))</f>
        <v/>
      </c>
      <c r="AN51" s="91" t="str">
        <f t="shared" ca="1" si="42"/>
        <v>ZwölfMinLaufHalle_2[Note]</v>
      </c>
      <c r="AO51" s="97" t="str" cm="1">
        <f t="array" aca="1" ref="AO51" ca="1">IFERROR(INDEX(INDIRECT(AN51),MATCH(INDIRECT(AI$5),INDIRECT(AK51),0)),IF(INDIRECT(AI$5)=0,1,""))</f>
        <v/>
      </c>
      <c r="AP51" s="97"/>
      <c r="AQ51" s="307"/>
      <c r="AR51" s="96" t="str">
        <f>IFERROR(IFERROR(SUBSTITUTE(ZwölfMinLaufimFreienResultat[[#This Row],[Eingabe]],".",",")*1,SUBSTITUTE(ZwölfMinLaufimFreienResultat[[#This Row],[Eingabe]],",",".")*1),"")</f>
        <v/>
      </c>
      <c r="AS51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1" s="96"/>
      <c r="AU51" s="91" t="str" cm="1">
        <f t="array" aca="1" ref="AU51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1" s="96" t="str">
        <f ca="1">LEFT(Geschlecht[[#This Row],[Geschlecht (Skala)]],1)&amp;BA$4</f>
        <v>2</v>
      </c>
      <c r="AW51" s="96" t="str">
        <f t="shared" ca="1" si="43"/>
        <v>ZwölfMinLaufimFreien_2[Resultat]</v>
      </c>
      <c r="AX51" s="97" t="str" cm="1">
        <f t="array" aca="1" ref="AX51" ca="1">IF(INDIRECT(AU$1)="","",IF(INDIRECT(AU$2)=0,0,IF(OR(INDIRECT(AU$1)=$A$2,INDIRECT(AU$1)=$A$3),$A$3,IFERROR(INDEX(INDIRECT(AW51),MATCH(INDIRECT(AU$3),INDIRECT(AW51),AW$25)),IFERROR(IF(AW$25=-1,MAX(INDIRECT(AW51)),IF(AW$25=1,MIN(INDIRECT(AW51)))),"")))))</f>
        <v/>
      </c>
      <c r="AZ51" s="91" t="str">
        <f t="shared" ca="1" si="44"/>
        <v>ZwölfMinLaufimFreien_2[Note]</v>
      </c>
      <c r="BA51" s="97" t="str" cm="1">
        <f t="array" aca="1" ref="BA51" ca="1">IFERROR(INDEX(INDIRECT(AZ51),MATCH(INDIRECT(AU$5),INDIRECT(AW51),0)),IF(INDIRECT(AU$5)=0,1,""))</f>
        <v/>
      </c>
      <c r="BB51" s="97"/>
      <c r="BC51" s="307"/>
      <c r="BD51" s="96" t="str">
        <f>IFERROR(IFERROR(SUBSTITUTE(HochsprungResultat[[#This Row],[Eingabe]],".",",")*1,SUBSTITUTE(HochsprungResultat[[#This Row],[Eingabe]],",",".")*1),"")</f>
        <v/>
      </c>
      <c r="BE51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1" s="96"/>
      <c r="BG51" s="91" t="str" cm="1">
        <f t="array" aca="1" ref="BG51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1" s="96" t="str">
        <f ca="1">LEFT(Geschlecht[[#This Row],[Geschlecht (Skala)]],1)&amp;BM$4</f>
        <v>2</v>
      </c>
      <c r="BI51" s="96" t="str">
        <f t="shared" ca="1" si="45"/>
        <v>Hochsprung_2[Resultat]</v>
      </c>
      <c r="BJ51" s="97" t="str" cm="1">
        <f t="array" aca="1" ref="BJ51" ca="1">IF(INDIRECT(BG$1)="","",IF(INDIRECT(BG$2)=0,0,IF(OR(INDIRECT(BG$1)=$A$2,INDIRECT(BG$1)=$A$3),$A$3,IFERROR(INDEX(INDIRECT(BI51),MATCH(INDIRECT(BG$3),INDIRECT(BI51),BI$25)),IFERROR(IF(BI$25=-1,MAX(INDIRECT(BI51)),IF(BI$25=1,MIN(INDIRECT(BI51)))),"")))))</f>
        <v/>
      </c>
      <c r="BL51" s="91" t="str">
        <f t="shared" ca="1" si="46"/>
        <v>Hochsprung_2[Note]</v>
      </c>
      <c r="BM51" s="97" t="str" cm="1">
        <f t="array" aca="1" ref="BM51" ca="1">IFERROR(INDEX(INDIRECT(BL51),MATCH(INDIRECT(BG$5),INDIRECT(BI51),0)),IF(INDIRECT(BG$5)=0,1,""))</f>
        <v/>
      </c>
      <c r="BN51" s="97"/>
      <c r="BO51" s="307"/>
      <c r="BP51" s="96" t="str">
        <f>IFERROR(IFERROR(SUBSTITUTE(WeitsprungResultat[[#This Row],[Eingabe]],".",",")*1,SUBSTITUTE(WeitsprungResultat[[#This Row],[Eingabe]],",",".")*1),"")</f>
        <v/>
      </c>
      <c r="BQ51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1" s="96"/>
      <c r="BS51" s="91" t="str" cm="1">
        <f t="array" aca="1" ref="BS51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1" s="96" t="str">
        <f ca="1">LEFT(Geschlecht[[#This Row],[Geschlecht (Skala)]],1)&amp;BY$4</f>
        <v>2</v>
      </c>
      <c r="BU51" s="96" t="str">
        <f t="shared" ca="1" si="47"/>
        <v>Weitsprung_2[Resultat]</v>
      </c>
      <c r="BV51" s="97" t="str" cm="1">
        <f t="array" aca="1" ref="BV51" ca="1">IF(INDIRECT(BS$1)="","",IF(INDIRECT(BS$2)=0,0,IF(OR(INDIRECT(BS$1)=$A$2,INDIRECT(BS$1)=$A$3),$A$3,IFERROR(INDEX(INDIRECT(BU51),MATCH(INDIRECT(BS$3),INDIRECT(BU51),BU$25)),IFERROR(IF(BU$25=-1,MAX(INDIRECT(BU51)),IF(BU$25=1,MIN(INDIRECT(BU51)))),"")))))</f>
        <v/>
      </c>
      <c r="BX51" s="91" t="str">
        <f t="shared" ca="1" si="48"/>
        <v>Weitsprung_2[Note]</v>
      </c>
      <c r="BY51" s="97" t="str" cm="1">
        <f t="array" aca="1" ref="BY51" ca="1">IFERROR(INDEX(INDIRECT(BX51),MATCH(INDIRECT(BS$5),INDIRECT(BU51),0)),IF(INDIRECT(BS$5)=0,1,""))</f>
        <v/>
      </c>
      <c r="BZ51" s="97"/>
      <c r="CA51" s="307"/>
      <c r="CB51" s="96" t="str">
        <f>IFERROR(IFERROR(SUBSTITUTE(BallwurfResultat[[#This Row],[Eingabe]],".",",")*1,SUBSTITUTE(BallwurfResultat[[#This Row],[Eingabe]],",",".")*1),"")</f>
        <v/>
      </c>
      <c r="CC51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1" s="96"/>
      <c r="CE51" s="91" t="str" cm="1">
        <f t="array" aca="1" ref="CE51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1" s="96" t="str">
        <f ca="1">LEFT(Geschlecht[[#This Row],[Geschlecht (Skala)]],1)&amp;CK$4</f>
        <v>2</v>
      </c>
      <c r="CG51" s="96" t="str">
        <f t="shared" ca="1" si="49"/>
        <v>Ballwurf_2[Resultat]</v>
      </c>
      <c r="CH51" s="97" t="str" cm="1">
        <f t="array" aca="1" ref="CH51" ca="1">IF(INDIRECT(CE$1)="","",IF(INDIRECT(CE$2)=0,0,IF(OR(INDIRECT(CE$1)=$A$2,INDIRECT(CE$1)=$A$3),$A$3,IFERROR(INDEX(INDIRECT(CG51),MATCH(INDIRECT(CE$3),INDIRECT(CG51),CG$25)),IFERROR(IF(CG$25=-1,MAX(INDIRECT(CG51)),IF(CG$25=1,MIN(INDIRECT(CG51)))),"")))))</f>
        <v/>
      </c>
      <c r="CJ51" s="91" t="str">
        <f t="shared" ca="1" si="50"/>
        <v>Ballwurf_2[Note]</v>
      </c>
      <c r="CK51" s="97" t="str" cm="1">
        <f t="array" aca="1" ref="CK51" ca="1">IFERROR(INDEX(INDIRECT(CJ51),MATCH(INDIRECT(CE$5),INDIRECT(CG51),0)),IF(INDIRECT(CE$5)=0,1,""))</f>
        <v/>
      </c>
      <c r="CL51" s="97"/>
      <c r="CM51" s="307"/>
      <c r="CN51" s="96" t="str">
        <f>IFERROR(IFERROR(SUBSTITUTE(KugelstossenResultat[[#This Row],[Eingabe]],".",",")*1,SUBSTITUTE(KugelstossenResultat[[#This Row],[Eingabe]],",",".")*1),"")</f>
        <v/>
      </c>
      <c r="CO51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1" s="96"/>
      <c r="CQ51" s="91" t="str" cm="1">
        <f t="array" aca="1" ref="CQ51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1" s="96" t="str">
        <f ca="1">LEFT(Geschlecht[[#This Row],[Geschlecht (Skala)]],1)&amp;CW$4</f>
        <v>2</v>
      </c>
      <c r="CS51" s="96" t="str">
        <f t="shared" ca="1" si="51"/>
        <v>Kugelstossen_2[Resultat]</v>
      </c>
      <c r="CT51" s="97" t="str" cm="1">
        <f t="array" aca="1" ref="CT51" ca="1">IF(INDIRECT(CQ$1)="","",IF(INDIRECT(CQ$2)=0,0,IF(OR(INDIRECT(CQ$1)=$A$2,INDIRECT(CQ$1)=$A$3),$A$3,IFERROR(INDEX(INDIRECT(CS51),MATCH(INDIRECT(CQ$3),INDIRECT(CS51),CS$25)),IFERROR(IF(CS$25=-1,MAX(INDIRECT(CS51)),IF(CS$25=1,MIN(INDIRECT(CS51)))),"")))))</f>
        <v/>
      </c>
      <c r="CV51" s="91" t="str">
        <f t="shared" ca="1" si="52"/>
        <v>Kugelstossen_2[Note]</v>
      </c>
      <c r="CW51" s="97" t="str" cm="1">
        <f t="array" aca="1" ref="CW51" ca="1">IFERROR(INDEX(INDIRECT(CV51),MATCH(INDIRECT(CQ$5),INDIRECT(CS51),0)),IF(INDIRECT(CQ$5)=0,1,""))</f>
        <v/>
      </c>
      <c r="CX51" s="97"/>
      <c r="CY51" s="307"/>
      <c r="CZ51" s="96" t="str">
        <f>IFERROR(IFERROR(SUBSTITUTE(SpeerwurfResultat[[#This Row],[Eingabe]],".",",")*1,SUBSTITUTE(SpeerwurfResultat[[#This Row],[Eingabe]],",",".")*1),"")</f>
        <v/>
      </c>
      <c r="DA51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1" s="96"/>
      <c r="DC51" s="91" t="str" cm="1">
        <f t="array" aca="1" ref="DC51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1" s="96" t="str">
        <f ca="1">LEFT(Geschlecht[[#This Row],[Geschlecht (Skala)]],1)&amp;DI$4</f>
        <v>2</v>
      </c>
      <c r="DE51" s="96" t="str">
        <f t="shared" ca="1" si="53"/>
        <v>Speerwurf_2[Resultat]</v>
      </c>
      <c r="DF51" s="97" t="str" cm="1">
        <f t="array" aca="1" ref="DF51" ca="1">IF(INDIRECT(DC$1)="","",IF(INDIRECT(DC$2)=0,0,IF(OR(INDIRECT(DC$1)=$A$2,INDIRECT(DC$1)=$A$3),$A$3,IFERROR(INDEX(INDIRECT(DE51),MATCH(INDIRECT(DC$3),INDIRECT(DE51),DE$25)),IFERROR(IF(DE$25=-1,MAX(INDIRECT(DE51)),IF(DE$25=1,MIN(INDIRECT(DE51)))),"")))))</f>
        <v/>
      </c>
      <c r="DH51" s="91" t="str">
        <f t="shared" ca="1" si="54"/>
        <v>Speerwurf_2[Note]</v>
      </c>
      <c r="DI51" s="97" t="str" cm="1">
        <f t="array" aca="1" ref="DI51" ca="1">IFERROR(INDEX(INDIRECT(DH51),MATCH(INDIRECT(DC$5),INDIRECT(DE51),0)),IF(INDIRECT(DC$5)=0,1,""))</f>
        <v/>
      </c>
      <c r="DJ51" s="97"/>
      <c r="DK51" s="97" t="str" cm="1">
        <f t="array" aca="1" ref="DK51" ca="1">INDIRECT(DK$5)</f>
        <v/>
      </c>
      <c r="DL51" s="97" t="str" cm="1">
        <f t="array" aca="1" ref="DL51" ca="1">INDIRECT(DL$5)</f>
        <v/>
      </c>
      <c r="DM51" s="97" t="str" cm="1">
        <f t="array" aca="1" ref="DM51" ca="1">INDIRECT(DM$5)</f>
        <v/>
      </c>
      <c r="DN51" s="97" t="str" cm="1">
        <f t="array" aca="1" ref="DN51" ca="1">INDIRECT(DN$5)</f>
        <v/>
      </c>
      <c r="DO51" s="97" t="str">
        <f t="shared" ca="1" si="135"/>
        <v>Sprintdisziplinen nicht durchgeführt</v>
      </c>
      <c r="DP51" s="97" t="str">
        <f t="shared" ca="1" si="136"/>
        <v/>
      </c>
      <c r="DQ51" s="108">
        <f t="shared" ca="1" si="137"/>
        <v>0</v>
      </c>
      <c r="DR51" s="108">
        <f t="shared" ca="1" si="138"/>
        <v>0</v>
      </c>
      <c r="DS51" s="108" t="str">
        <f t="shared" ca="1" si="139"/>
        <v/>
      </c>
      <c r="DT51" s="97" t="str">
        <f t="shared" ca="1" si="140"/>
        <v>Sprintdisziplinen nicht durchgeführt</v>
      </c>
      <c r="DU51" s="97" t="str">
        <f t="shared" ca="1" si="141"/>
        <v/>
      </c>
      <c r="DV51" s="97" t="str" cm="1">
        <f t="array" aca="1" ref="DV51" ca="1">IFERROR(IF(INDIRECT(INDEX(INDIRECT(DV$5),MATCH(DT51,INDIRECT(DV$4),0)))&lt;&gt;"",INDEX(INDIRECT(DV$5),MATCH(DT51,INDIRECT(DV$4),0)),INDEX(INDIRECT(DV$6),MATCH(DT51,INDIRECT(DV$4),0))),"")</f>
        <v/>
      </c>
      <c r="DW51" s="97" t="str">
        <f t="shared" ca="1" si="142"/>
        <v/>
      </c>
      <c r="DX51" s="97" t="str" cm="1">
        <f t="array" aca="1" ref="DX51" ca="1">IFERROR(INDIRECT(DV51),IF(NOT(ISERROR(FIND(Stammdaten!$CC$3,DT51,1))),$A$2,""))</f>
        <v/>
      </c>
      <c r="DY51" s="97" t="str">
        <f ca="1">IF(DX51="","",IF(AND(DU51=Stammdaten!$BX$20,DW51="0",DX51=1),SUBSTITUTE(TEXT(DX51,DW51)&amp;" "&amp;LEFT(DU51,LEN(DU51)-1),".",","),SUBSTITUTE(TEXT(DX51,DW51)&amp;" "&amp;DU51,".",",")))</f>
        <v/>
      </c>
      <c r="DZ51" s="97" t="str">
        <f t="shared" ca="1" si="55"/>
        <v/>
      </c>
      <c r="EA51" s="97" t="str" cm="1">
        <f t="array" aca="1" ref="EA51" ca="1">IFERROR(LEFT(INDIRECT(DZ51),1)&amp;"]","")</f>
        <v/>
      </c>
      <c r="EB51" s="97" t="str">
        <f t="shared" ca="1" si="56"/>
        <v/>
      </c>
      <c r="EC51" s="97" t="str">
        <f ca="1">IFERROR(LEFT(DT51,FIND(Stammdaten!$CA$4,DT51,1)-2),IFERROR(LEFT(DT51,FIND(Stammdaten!$CC$3,DT51,1)-2),DT51))</f>
        <v>Sprintdisziplinen</v>
      </c>
      <c r="ED51" s="97" t="str">
        <f ca="1">IF(NOT(ISERROR(FIND(Stammdaten!$CA$4,DT51,1))),Stammdaten!$CA$4,IF(EE51&lt;&gt;Stammdaten!$CC$3,EB51,""))</f>
        <v>nicht durchgeführt</v>
      </c>
      <c r="EE51" s="91" t="str">
        <f ca="1">IF(DX51=$A$2,Stammdaten!$CC$3,DY51)</f>
        <v/>
      </c>
      <c r="EF51" s="97" t="str" cm="1">
        <f t="array" aca="1" ref="EF51" ca="1">INDIRECT(EF$5)</f>
        <v/>
      </c>
      <c r="EG51" s="97" t="str" cm="1">
        <f t="array" aca="1" ref="EG51" ca="1">INDIRECT(EG$5)</f>
        <v/>
      </c>
      <c r="EH51" s="97" t="str" cm="1">
        <f t="array" aca="1" ref="EH51" ca="1">INDIRECT(EH$5)</f>
        <v/>
      </c>
      <c r="EI51" s="97" t="str" cm="1">
        <f t="array" aca="1" ref="EI51" ca="1">INDIRECT(EI$5)</f>
        <v/>
      </c>
      <c r="EJ51" s="97" t="str">
        <f t="shared" ca="1" si="143"/>
        <v>Ausdauerdisziplinen nicht durchgeführt</v>
      </c>
      <c r="EK51" s="97" t="str">
        <f t="shared" ca="1" si="144"/>
        <v/>
      </c>
      <c r="EL51" s="108">
        <f t="shared" ca="1" si="145"/>
        <v>0</v>
      </c>
      <c r="EM51" s="108">
        <f t="shared" ca="1" si="146"/>
        <v>0</v>
      </c>
      <c r="EN51" s="108" t="str">
        <f t="shared" ca="1" si="147"/>
        <v/>
      </c>
      <c r="EO51" s="97" t="str">
        <f t="shared" ca="1" si="148"/>
        <v>Ausdauerdisziplinen nicht durchgeführt</v>
      </c>
      <c r="EP51" s="97" t="str">
        <f t="shared" ca="1" si="149"/>
        <v/>
      </c>
      <c r="EQ51" s="97" t="str" cm="1">
        <f t="array" aca="1" ref="EQ51" ca="1">IFERROR(IF(INDIRECT(INDEX(INDIRECT(EQ$5),MATCH(EO51,INDIRECT(EQ$4),0)))&lt;&gt;"",INDEX(INDIRECT(EQ$5),MATCH(EO51,INDIRECT(EQ$4),0)),INDEX(INDIRECT(EQ$6),MATCH(EO51,INDIRECT(EQ$4),0))),"")</f>
        <v/>
      </c>
      <c r="ER51" s="97" t="str">
        <f t="shared" ca="1" si="150"/>
        <v/>
      </c>
      <c r="ES51" s="97" t="str" cm="1">
        <f t="array" aca="1" ref="ES51" ca="1">IFERROR(INDIRECT(EQ51),IF(NOT(ISERROR(FIND(Stammdaten!$CC$3,EO51,1))),$A$2,""))</f>
        <v/>
      </c>
      <c r="ET51" s="97" t="str">
        <f ca="1">IF(ES51="","",IF(AND(EP51=Stammdaten!$BX$20,ER51="0",ES51=1),SUBSTITUTE(TEXT(ES51,ER51)&amp;" "&amp;LEFT(EP51,LEN(EP51)-1),".",","),SUBSTITUTE(TEXT(ES51,ER51)&amp;" "&amp;EP51,".",",")))</f>
        <v/>
      </c>
      <c r="EU51" s="97" t="str">
        <f t="shared" ca="1" si="57"/>
        <v/>
      </c>
      <c r="EV51" s="97" t="str" cm="1">
        <f t="array" aca="1" ref="EV51" ca="1">IFERROR(LEFT(INDIRECT(EU51),1)&amp;"]","")</f>
        <v/>
      </c>
      <c r="EW51" s="97" t="str">
        <f t="shared" ca="1" si="58"/>
        <v/>
      </c>
      <c r="EX51" s="97" t="str">
        <f ca="1">IFERROR(LEFT(EO51,FIND(Stammdaten!$CA$4,EO51,1)-2),IFERROR(LEFT(EO51,FIND(Stammdaten!$CC$3,EO51,1)-2),EO51))</f>
        <v>Ausdauerdisziplinen</v>
      </c>
      <c r="EY51" s="97" t="str">
        <f ca="1">IF(NOT(ISERROR(FIND(Stammdaten!$CA$4,EO51,1))),Stammdaten!$CA$4,IF(EZ51&lt;&gt;Stammdaten!$CC$3,EW51,""))</f>
        <v>nicht durchgeführt</v>
      </c>
      <c r="EZ51" s="91" t="str">
        <f ca="1">IF(ES51=$A$2,Stammdaten!$CC$3,ET51)</f>
        <v/>
      </c>
      <c r="FA51" s="97" t="str" cm="1">
        <f t="array" aca="1" ref="FA51" ca="1">INDIRECT(FA$5)</f>
        <v/>
      </c>
      <c r="FB51" s="97" t="str" cm="1">
        <f t="array" aca="1" ref="FB51" ca="1">INDIRECT(FB$5)</f>
        <v/>
      </c>
      <c r="FC51" s="97" t="str" cm="1">
        <f t="array" aca="1" ref="FC51" ca="1">INDIRECT(FC$5)</f>
        <v/>
      </c>
      <c r="FD51" s="97" t="str" cm="1">
        <f t="array" aca="1" ref="FD51" ca="1">INDIRECT(FD$5)</f>
        <v/>
      </c>
      <c r="FE51" s="97" t="str">
        <f t="shared" ca="1" si="151"/>
        <v>Sprungdisziplinen nicht durchgeführt</v>
      </c>
      <c r="FF51" s="97" t="str">
        <f t="shared" ca="1" si="152"/>
        <v/>
      </c>
      <c r="FG51" s="108">
        <f t="shared" ca="1" si="153"/>
        <v>0</v>
      </c>
      <c r="FH51" s="108">
        <f t="shared" ca="1" si="154"/>
        <v>0</v>
      </c>
      <c r="FI51" s="108" t="str">
        <f t="shared" ca="1" si="155"/>
        <v/>
      </c>
      <c r="FJ51" s="97" t="str">
        <f t="shared" ca="1" si="156"/>
        <v>Sprungdisziplinen nicht durchgeführt</v>
      </c>
      <c r="FK51" s="97" t="str">
        <f t="shared" ca="1" si="157"/>
        <v/>
      </c>
      <c r="FL51" s="97" t="str" cm="1">
        <f t="array" aca="1" ref="FL51" ca="1">IFERROR(IF(INDIRECT(INDEX(INDIRECT(FL$5),MATCH(FJ51,INDIRECT(FL$4),0)))&lt;&gt;"",INDEX(INDIRECT(FL$5),MATCH(FJ51,INDIRECT(FL$4),0)),INDEX(INDIRECT(FL$6),MATCH(FJ51,INDIRECT(FL$4),0))),"")</f>
        <v/>
      </c>
      <c r="FM51" s="97" t="str">
        <f t="shared" ca="1" si="158"/>
        <v/>
      </c>
      <c r="FN51" s="97" t="str" cm="1">
        <f t="array" aca="1" ref="FN51" ca="1">IFERROR(INDIRECT(FL51),IF(NOT(ISERROR(FIND(Stammdaten!$CC$3,FJ51,1))),$A$2,""))</f>
        <v/>
      </c>
      <c r="FO51" s="97" t="str">
        <f ca="1">IF(FN51="","",IF(AND(FK51=Stammdaten!$BX$20,FM51="0",FN51=1),SUBSTITUTE(TEXT(FN51,FM51)&amp;" "&amp;LEFT(FK51,LEN(FK51)-1),".",","),SUBSTITUTE(TEXT(FN51,FM51)&amp;" "&amp;FK51,".",",")))</f>
        <v/>
      </c>
      <c r="FP51" s="97" t="str">
        <f t="shared" ca="1" si="59"/>
        <v/>
      </c>
      <c r="FQ51" s="97" t="str" cm="1">
        <f t="array" aca="1" ref="FQ51" ca="1">IFERROR(LEFT(INDIRECT(FP51),1)&amp;"]","")</f>
        <v/>
      </c>
      <c r="FR51" s="97" t="str">
        <f t="shared" ca="1" si="60"/>
        <v/>
      </c>
      <c r="FS51" s="97" t="str">
        <f ca="1">IFERROR(LEFT(FJ51,FIND(Stammdaten!$CA$4,FJ51,1)-2),IFERROR(LEFT(FJ51,FIND(Stammdaten!$CC$3,FJ51,1)-2),FJ51))</f>
        <v>Sprungdisziplinen</v>
      </c>
      <c r="FT51" s="97" t="str">
        <f ca="1">IF(NOT(ISERROR(FIND(Stammdaten!$CA$4,FJ51,1))),Stammdaten!$CA$4,IF(FU51&lt;&gt;Stammdaten!$CC$3,FR51,""))</f>
        <v>nicht durchgeführt</v>
      </c>
      <c r="FU51" s="91" t="str">
        <f ca="1">IF(FN51=$A$2,Stammdaten!$CC$3,FO51)</f>
        <v/>
      </c>
      <c r="FV51" s="97" t="str" cm="1">
        <f t="array" aca="1" ref="FV51" ca="1">INDIRECT(FV$5)</f>
        <v/>
      </c>
      <c r="FW51" s="97" t="str" cm="1">
        <f t="array" aca="1" ref="FW51" ca="1">INDIRECT(FW$5)</f>
        <v/>
      </c>
      <c r="FX51" s="97" t="str" cm="1">
        <f t="array" aca="1" ref="FX51" ca="1">INDIRECT(FX$5)</f>
        <v/>
      </c>
      <c r="FY51" s="97" t="str" cm="1">
        <f t="array" aca="1" ref="FY51" ca="1">INDIRECT(FY$5)</f>
        <v/>
      </c>
      <c r="FZ51" s="97" t="str" cm="1">
        <f t="array" aca="1" ref="FZ51" ca="1">INDIRECT(FZ$5)</f>
        <v/>
      </c>
      <c r="GA51" s="97" t="str" cm="1">
        <f t="array" aca="1" ref="GA51" ca="1">INDIRECT(GA$5)</f>
        <v/>
      </c>
      <c r="GB51" s="97" t="str">
        <f t="shared" ca="1" si="159"/>
        <v>Wurfdisziplinen nicht durchgeführt</v>
      </c>
      <c r="GC51" s="97" t="str">
        <f t="shared" ca="1" si="160"/>
        <v/>
      </c>
      <c r="GD51" s="108">
        <f t="shared" ca="1" si="161"/>
        <v>0</v>
      </c>
      <c r="GE51" s="108">
        <f t="shared" ca="1" si="162"/>
        <v>0</v>
      </c>
      <c r="GF51" s="108" t="str">
        <f t="shared" ca="1" si="163"/>
        <v/>
      </c>
      <c r="GG51" s="97" t="str">
        <f t="shared" ca="1" si="164"/>
        <v>Wurfdisziplinen nicht durchgeführt</v>
      </c>
      <c r="GH51" s="97" t="str">
        <f t="shared" ca="1" si="165"/>
        <v/>
      </c>
      <c r="GI51" s="97" t="str" cm="1">
        <f t="array" aca="1" ref="GI51" ca="1">IFERROR(IF(INDIRECT(INDEX(INDIRECT(GI$5),MATCH(GG51,INDIRECT(GI$4),0)))&lt;&gt;"",INDEX(INDIRECT(GI$5),MATCH(GG51,INDIRECT(GI$4),0)),INDEX(INDIRECT(GI$6),MATCH(GG51,INDIRECT(GI$4),0))),"")</f>
        <v/>
      </c>
      <c r="GJ51" s="97" t="str">
        <f t="shared" ca="1" si="166"/>
        <v/>
      </c>
      <c r="GK51" s="97" t="str" cm="1">
        <f t="array" aca="1" ref="GK51" ca="1">IFERROR(INDIRECT(GI51),IF(NOT(ISERROR(FIND(Stammdaten!$CC$3,GG51,1))),$A$2,""))</f>
        <v/>
      </c>
      <c r="GL51" s="97" t="str">
        <f ca="1">IF(GK51="","",IF(AND(GH51=Stammdaten!$BX$20,GJ51="0",GK51=1),SUBSTITUTE(TEXT(GK51,GJ51)&amp;" "&amp;LEFT(GH51,LEN(GH51)-1),".",","),SUBSTITUTE(TEXT(GK51,GJ51)&amp;" "&amp;GH51,".",",")))</f>
        <v/>
      </c>
      <c r="GM51" s="97" t="str">
        <f t="shared" ca="1" si="61"/>
        <v/>
      </c>
      <c r="GN51" s="97" t="str" cm="1">
        <f t="array" aca="1" ref="GN51" ca="1">IFERROR(LEFT(INDIRECT(GM51),1)&amp;"]","")</f>
        <v/>
      </c>
      <c r="GO51" s="97" t="str">
        <f t="shared" ca="1" si="62"/>
        <v/>
      </c>
      <c r="GP51" s="97" t="str">
        <f ca="1">IFERROR(LEFT(GG51,FIND(Stammdaten!$CA$4,GG51,1)-2),IFERROR(LEFT(GG51,FIND(Stammdaten!$CC$3,GG51,1)-2),GG51))</f>
        <v>Wurfdisziplinen</v>
      </c>
      <c r="GQ51" s="97" t="str">
        <f ca="1">IF(NOT(ISERROR(FIND(Stammdaten!$CA$4,GG51,1))),Stammdaten!$CA$4,IF(GR51&lt;&gt;Stammdaten!$CC$3,GO51,""))</f>
        <v>nicht durchgeführt</v>
      </c>
      <c r="GR51" s="91" t="str">
        <f ca="1">IF(GK51=$A$2,Stammdaten!$CC$3,GL51)</f>
        <v/>
      </c>
      <c r="GS51" s="97" t="str">
        <f t="shared" ca="1" si="63"/>
        <v/>
      </c>
      <c r="GT51" s="97" t="str">
        <f t="shared" ca="1" si="64"/>
        <v/>
      </c>
      <c r="GU51" s="97" t="str">
        <f t="shared" ca="1" si="65"/>
        <v/>
      </c>
      <c r="GV51" s="97" t="str">
        <f t="shared" ca="1" si="66"/>
        <v/>
      </c>
      <c r="GW51" s="97">
        <f t="shared" ca="1" si="167"/>
        <v>0</v>
      </c>
      <c r="GX51" s="108">
        <f t="shared" ca="1" si="168"/>
        <v>0</v>
      </c>
      <c r="GY51" s="108">
        <f t="shared" ca="1" si="169"/>
        <v>0</v>
      </c>
      <c r="GZ51" s="108" t="str">
        <f t="shared" ca="1" si="170"/>
        <v/>
      </c>
      <c r="HA51" s="97" t="str">
        <f ca="1">IF(GZ51="",Stammdaten!$BZ$1,IF(AND(GX51=0,GY51&gt;=GZ$25),$A$3,ROUND(SUM(GW51/GZ51)/HA$25,0)*HA$25))</f>
        <v>Zu wenige Werte</v>
      </c>
      <c r="HB51" s="108">
        <f t="shared" ca="1" si="171"/>
        <v>6</v>
      </c>
      <c r="HC51" s="97" t="str">
        <f t="shared" ca="1" si="172"/>
        <v/>
      </c>
      <c r="HD51" s="97" t="str">
        <f t="shared" ca="1" si="173"/>
        <v/>
      </c>
      <c r="HE51" s="97" t="str">
        <f t="shared" ca="1" si="174"/>
        <v/>
      </c>
      <c r="HF51" s="97" t="str">
        <f t="shared" ca="1" si="175"/>
        <v/>
      </c>
      <c r="HG51" s="97" t="str">
        <f t="shared" ca="1" si="176"/>
        <v/>
      </c>
      <c r="HH51" s="97" t="str">
        <f t="shared" ca="1" si="177"/>
        <v>g</v>
      </c>
      <c r="HI51" s="97" t="str">
        <f t="shared" ca="1" si="178"/>
        <v/>
      </c>
      <c r="HJ51" s="97">
        <f t="shared" ca="1" si="179"/>
        <v>1</v>
      </c>
      <c r="HK51" s="97" t="str">
        <f ca="1">IF(OR(Geschlecht[[#This Row],[Geschlecht (Skala)]]="",NOT(ISNUMBER(GZ51))),"",HJ51)</f>
        <v/>
      </c>
      <c r="HL51" s="97" t="str">
        <f t="shared" ca="1" si="180"/>
        <v/>
      </c>
      <c r="HM51" s="97"/>
      <c r="HN51" s="308" t="str">
        <f t="shared" ca="1" si="68"/>
        <v>Zu wenige Werte</v>
      </c>
      <c r="HO51" s="97"/>
      <c r="HP51" s="307"/>
      <c r="HQ51" s="96" t="str">
        <f>IFERROR(IFERROR(SUBSTITUTE(ReckResultat[[#This Row],[Eingabe]],".",",")*1,SUBSTITUTE(ReckResultat[[#This Row],[Eingabe]],",",".")*1),"")</f>
        <v/>
      </c>
      <c r="HR51" s="96" t="e">
        <f>INT(ReckResultat[[#This Row],[Resultat]])=ReckResultat[[#This Row],[Resultat]]</f>
        <v>#VALUE!</v>
      </c>
      <c r="HS51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1" s="96"/>
      <c r="HX51" s="97"/>
      <c r="HY51" s="307"/>
      <c r="HZ51" s="96" t="str">
        <f>IFERROR(IFERROR(SUBSTITUTE(BodenResultat[[#This Row],[Eingabe]],".",",")*1,SUBSTITUTE(BodenResultat[[#This Row],[Eingabe]],",",".")*1),"")</f>
        <v/>
      </c>
      <c r="IA51" s="96" t="e">
        <f>INT(BodenResultat[[#This Row],[Resultat]])=BodenResultat[[#This Row],[Resultat]]</f>
        <v>#VALUE!</v>
      </c>
      <c r="IB51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1" s="96"/>
      <c r="IG51" s="97"/>
      <c r="IH51" s="307"/>
      <c r="II51" s="96" t="str">
        <f>IFERROR(IFERROR(SUBSTITUTE(StufenbarrenResultat[[#This Row],[Eingabe]],".",",")*1,SUBSTITUTE(StufenbarrenResultat[[#This Row],[Eingabe]],",",".")*1),"")</f>
        <v/>
      </c>
      <c r="IJ51" s="96" t="e">
        <f>INT(StufenbarrenResultat[[#This Row],[Resultat]])=StufenbarrenResultat[[#This Row],[Resultat]]</f>
        <v>#VALUE!</v>
      </c>
      <c r="IK51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1" s="96"/>
      <c r="IP51" s="97"/>
      <c r="IQ51" s="307"/>
      <c r="IR51" s="96" t="str">
        <f>IFERROR(IFERROR(SUBSTITUTE(ParallelbarrenResultat[[#This Row],[Eingabe]],".",",")*1,SUBSTITUTE(ParallelbarrenResultat[[#This Row],[Eingabe]],",",".")*1),"")</f>
        <v/>
      </c>
      <c r="IS51" s="96" t="e">
        <f>INT(ParallelbarrenResultat[[#This Row],[Resultat]])=ParallelbarrenResultat[[#This Row],[Resultat]]</f>
        <v>#VALUE!</v>
      </c>
      <c r="IT51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1" s="96"/>
      <c r="IY51" s="97"/>
      <c r="IZ51" s="307"/>
      <c r="JA51" s="96" t="str">
        <f>IFERROR(IFERROR(SUBSTITUTE(SchaukelringeResultat[[#This Row],[Eingabe]],".",",")*1,SUBSTITUTE(SchaukelringeResultat[[#This Row],[Eingabe]],",",".")*1),"")</f>
        <v/>
      </c>
      <c r="JB51" s="96" t="e">
        <f>INT(SchaukelringeResultat[[#This Row],[Resultat]])=SchaukelringeResultat[[#This Row],[Resultat]]</f>
        <v>#VALUE!</v>
      </c>
      <c r="JC51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1" s="96"/>
      <c r="JH51" s="97"/>
      <c r="JI51" s="307"/>
      <c r="JJ51" s="96" t="str">
        <f>IFERROR(IFERROR(SUBSTITUTE(SprungResultat[[#This Row],[Eingabe]],".",",")*1,SUBSTITUTE(SprungResultat[[#This Row],[Eingabe]],",",".")*1),"")</f>
        <v/>
      </c>
      <c r="JK51" s="96" t="e">
        <f>INT(SprungResultat[[#This Row],[Resultat]])=SprungResultat[[#This Row],[Resultat]]</f>
        <v>#VALUE!</v>
      </c>
      <c r="JL51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1" s="96"/>
      <c r="JQ51" s="97"/>
      <c r="JR51" s="309" t="str" cm="1">
        <f t="array" aca="1" ref="JR51" ca="1">IF(AND(ISNUMBER(INDIRECT(JR$3)),INDIRECT(JR$3)&gt;0),INDIRECT(JR$3),"")</f>
        <v/>
      </c>
      <c r="JS51" s="309" t="str" cm="1">
        <f t="array" aca="1" ref="JS51" ca="1">IF(AND(ISNUMBER(INDIRECT(JS$3)),INDIRECT(JS$3)&gt;0),INDIRECT(JS$3),"")</f>
        <v/>
      </c>
      <c r="JT51" s="309" t="str" cm="1">
        <f t="array" aca="1" ref="JT51" ca="1">IF(AND(ISNUMBER(INDIRECT(JT$3)),INDIRECT(JT$3)&gt;0),INDIRECT(JT$3),"")</f>
        <v/>
      </c>
      <c r="JU51" s="309" t="str" cm="1">
        <f t="array" aca="1" ref="JU51" ca="1">IF(AND(ISNUMBER(INDIRECT(JU$3)),INDIRECT(JU$3)&gt;0),INDIRECT(JU$3),"")</f>
        <v/>
      </c>
      <c r="JV51" s="309" t="str" cm="1">
        <f t="array" aca="1" ref="JV51" ca="1">IF(AND(ISNUMBER(INDIRECT(JV$3)),INDIRECT(JV$3)&gt;0),INDIRECT(JV$3),"")</f>
        <v/>
      </c>
      <c r="JW51" s="309" t="str" cm="1">
        <f t="array" aca="1" ref="JW51" ca="1">IF(AND(ISNUMBER(INDIRECT(JW$3)),INDIRECT(JW$3)&gt;0),INDIRECT(JW$3),"")</f>
        <v/>
      </c>
      <c r="JX51" s="309" t="str">
        <f t="shared" ca="1" si="69"/>
        <v>x</v>
      </c>
      <c r="JY51" s="309" t="str">
        <f t="shared" ca="1" si="70"/>
        <v>y</v>
      </c>
      <c r="JZ51" s="309" t="str">
        <f t="shared" ca="1" si="71"/>
        <v>z</v>
      </c>
      <c r="KA51" s="309" t="str">
        <f t="shared" ca="1" si="181"/>
        <v>a</v>
      </c>
      <c r="KB51" s="309" t="str" cm="1">
        <f t="array" aca="1" ref="KB51" ca="1">IF(KA51="a","",INDEX($JR$23:$JW$23,,MATCH(KA51,$JR51:$JW51,0)))</f>
        <v/>
      </c>
      <c r="KC51" s="309" t="str" cm="1">
        <f t="array" aca="1" ref="KC51" ca="1">IF(OR(KB51="",KB51&gt;=$JW$23),"",INDEX(INDIRECT(ADDRESS(ROW($JR$23),KB51+1)):$JW$23,,MATCH(KA51,INDIRECT(ADDRESS(ROW(),KB51+1)):$JW51,0)))</f>
        <v/>
      </c>
      <c r="KD51" s="309" t="str" cm="1">
        <f t="array" aca="1" ref="KD51" ca="1">IF(OR(KC51="",KC51&gt;=$JW$23),"",INDEX(INDIRECT(ADDRESS(ROW($JR$23),KC51+1)):$JW$23,,MATCH(KA51,INDIRECT(ADDRESS(ROW(),KC51+1)):$JW51,0)))</f>
        <v/>
      </c>
      <c r="KE51" s="309" t="str">
        <f t="shared" ca="1" si="182"/>
        <v>c</v>
      </c>
      <c r="KF51" s="309" t="str" cm="1">
        <f t="array" aca="1" ref="KF51" ca="1">IF(OR(KE51="b",KE51="c"),"",INDEX($JR$23:$JW$23,,MATCH(KE51,$JR51:$JW51,0)))</f>
        <v/>
      </c>
      <c r="KG51" s="309" t="str" cm="1">
        <f t="array" aca="1" ref="KG51" ca="1">IF(OR(KF51="",KF51&gt;=$JW$23),"",INDEX(INDIRECT(ADDRESS(ROW($JR$23),KF51+1)):$JW$23,,MATCH(KE51,INDIRECT(ADDRESS(ROW(),KF51+1)):$JW51,0)))</f>
        <v/>
      </c>
      <c r="KH51" s="309" t="str">
        <f t="shared" ca="1" si="72"/>
        <v/>
      </c>
      <c r="KI51" s="309" t="str">
        <f t="shared" ca="1" si="183"/>
        <v>e</v>
      </c>
      <c r="KJ51" s="309" t="str">
        <f t="shared" ca="1" si="73"/>
        <v/>
      </c>
      <c r="KK51" s="309" t="str" cm="1">
        <f t="array" aca="1" ref="KK51" ca="1">IF(OR(KI51="d",KI51="e"),"",INDEX($JR$23:$JW$23,,MATCH(KI51,$JR51:$JW51,0)))</f>
        <v/>
      </c>
      <c r="KL51" s="309" t="str" cm="1">
        <f t="array" aca="1" ref="KL51" ca="1">IF(OR(KK51="",KK51&gt;=$JW$23),"",INDEX(INDIRECT(ADDRESS(ROW($JR$23),KK51+1)):$JW$23,,MATCH(KI51,INDIRECT(ADDRESS(ROW(),KK51+1)):$JW51,0)))</f>
        <v/>
      </c>
      <c r="KM51" s="309" t="str" cm="1">
        <f t="array" aca="1" ref="KM51" ca="1">IFERROR(IF(ISNUMBER(KB51),KB51,IF(ISNUMBER(KF51),KF51,IF(ISNUMBER(KJ51),KJ51,INDEX($JR$23:$JW$23,,MATCH(JX51,$JR51:$JW51,0))))),"x1")</f>
        <v>x1</v>
      </c>
      <c r="KN51" s="309" t="str" cm="1">
        <f t="array" aca="1" ref="KN51" ca="1">IFERROR(IF(ISNUMBER(KC51),KC51,IF(ISNUMBER(KG51),KG51,IF(ISNUMBER(KK51),KK51,INDEX($JR$23:$JW$23,,MATCH(JY51,$JR51:$JW51,0))))),IF(KM51="x1","x2","x1"))</f>
        <v>x2</v>
      </c>
      <c r="KO51" s="309" t="str" cm="1">
        <f t="array" aca="1" ref="KO51" ca="1">IFERROR(IF(ISNUMBER(KD51),KD51,IF(ISNUMBER(KH51),KH51,IF(ISNUMBER(KL51),KL51,INDEX($JR$23:$JW$23,,MATCH(JZ51,$JR51:$JW51,0))))),IF(KN51="x1","x2",IF(KN51="x2","x3","x1")))</f>
        <v>x3</v>
      </c>
      <c r="KP51" s="97" t="str" cm="1">
        <f t="array" aca="1" ref="KP51" ca="1">IF(OR(INDIRECT(KP$3)=$A$2,INDIRECT(KP$3)=$A$3),COLUMN(),"")</f>
        <v/>
      </c>
      <c r="KQ51" s="97" t="str" cm="1">
        <f t="array" aca="1" ref="KQ51" ca="1">IF(OR(INDIRECT(KQ$3)=$A$2,INDIRECT(KQ$3)=$A$3),COLUMN(),"")</f>
        <v/>
      </c>
      <c r="KR51" s="97" t="str" cm="1">
        <f t="array" aca="1" ref="KR51" ca="1">IF(OR(INDIRECT(KR$3)=$A$2,INDIRECT(KR$3)=$A$3),COLUMN(),"")</f>
        <v/>
      </c>
      <c r="KS51" s="97" t="str" cm="1">
        <f t="array" aca="1" ref="KS51" ca="1">IF(OR(INDIRECT(KS$3)=$A$2,INDIRECT(KS$3)=$A$3),COLUMN(),"")</f>
        <v/>
      </c>
      <c r="KT51" s="97" t="str" cm="1">
        <f t="array" aca="1" ref="KT51" ca="1">IF(OR(INDIRECT(KT$3)=$A$2,INDIRECT(KT$3)=$A$3),COLUMN(),"")</f>
        <v/>
      </c>
      <c r="KU51" s="97" t="str" cm="1">
        <f t="array" aca="1" ref="KU51" ca="1">IF(OR(INDIRECT(KU$3)=$A$2,INDIRECT(KU$3)=$A$3),COLUMN(),"")</f>
        <v/>
      </c>
      <c r="KV51" s="97" t="str" cm="1">
        <f t="array" aca="1" ref="KV51" ca="1">IF(AND(ISNUMBER(INDIRECT(KV$3)),INDIRECT(KV$3)=0),COLUMN(),"")</f>
        <v/>
      </c>
      <c r="KW51" s="97" t="str" cm="1">
        <f t="array" aca="1" ref="KW51" ca="1">IF(AND(ISNUMBER(INDIRECT(KW$3)),INDIRECT(KW$3)=0),COLUMN(),"")</f>
        <v/>
      </c>
      <c r="KX51" s="97" t="str" cm="1">
        <f t="array" aca="1" ref="KX51" ca="1">IF(AND(ISNUMBER(INDIRECT(KX$3)),INDIRECT(KX$3)=0),COLUMN(),"")</f>
        <v/>
      </c>
      <c r="KY51" s="97" t="str" cm="1">
        <f t="array" aca="1" ref="KY51" ca="1">IF(AND(ISNUMBER(INDIRECT(KY$3)),INDIRECT(KY$3)=0),COLUMN(),"")</f>
        <v/>
      </c>
      <c r="KZ51" s="97" t="str" cm="1">
        <f t="array" aca="1" ref="KZ51" ca="1">IF(AND(ISNUMBER(INDIRECT(KZ$3)),INDIRECT(KZ$3)=0),COLUMN(),"")</f>
        <v/>
      </c>
      <c r="LA51" s="97" t="str" cm="1">
        <f t="array" aca="1" ref="LA51" ca="1">IF(AND(ISNUMBER(INDIRECT(LA$3)),INDIRECT(LA$3)=0),COLUMN(),"")</f>
        <v/>
      </c>
      <c r="LB51" s="97" t="str">
        <f t="shared" ca="1" si="184"/>
        <v>x1</v>
      </c>
      <c r="LC51" s="97" t="str">
        <f t="shared" ca="1" si="185"/>
        <v>x2</v>
      </c>
      <c r="LD51" s="97" t="str">
        <f t="shared" ca="1" si="186"/>
        <v>x3</v>
      </c>
      <c r="LE51" s="97" t="str">
        <f ca="1">IFERROR(IF(ISNUMBER(LB51),LB51,SMALL($KV51:$LA51,VALUE(RIGHT(LB51,1)))),Stammdaten!$CA$17)</f>
        <v>Erstes Gerät nicht durchgeführt</v>
      </c>
      <c r="LF51" s="97" t="str">
        <f ca="1">IFERROR(IF(ISNUMBER(LC51),LC51,SMALL($KV51:$LA51,VALUE(RIGHT(LC51,1)))),Stammdaten!$CA$18)</f>
        <v>Zweites Gerät nicht durchgeführt</v>
      </c>
      <c r="LG51" s="97" t="str">
        <f ca="1">IFERROR(IF(ISNUMBER(LD51),LD51,SMALL($KV51:$LA51,VALUE(RIGHT(LD51,1)))),Stammdaten!$CA$19)</f>
        <v>Drittes Gerät nicht durchgeführt</v>
      </c>
      <c r="LH51" s="91" t="str" cm="1">
        <f t="array" aca="1" ref="LH51" ca="1">IFERROR(INDIRECT(ADDRESS(ROW($JR$5),LE51)),LE51)</f>
        <v>Erstes Gerät nicht durchgeführt</v>
      </c>
      <c r="LI51" s="97" t="str">
        <f t="shared" ca="1" si="187"/>
        <v/>
      </c>
      <c r="LJ51" s="97" t="str" cm="1">
        <f t="array" aca="1" ref="LJ51" ca="1">IFERROR(IF(INDIRECT(INDEX(INDIRECT(LJ$5),MATCH(LH51,INDIRECT(LJ$4),0)))&lt;&gt;"",INDEX(INDIRECT(LJ$5),MATCH(LH51,INDIRECT(LJ$4),0)),INDEX(INDIRECT(LJ$6),MATCH(LH51,INDIRECT(LJ$4),0))),"")</f>
        <v/>
      </c>
      <c r="LK51" s="97" t="str">
        <f t="shared" ca="1" si="188"/>
        <v/>
      </c>
      <c r="LL51" s="97" t="str" cm="1">
        <f t="array" aca="1" ref="LL51" ca="1">IFERROR(INDIRECT(LJ51),"")</f>
        <v/>
      </c>
      <c r="LM51" s="97" t="str">
        <f ca="1">IF(LL51="","",IF(AND(LI51=Stammdaten!$BX$20,LK51="0",LL51=1),SUBSTITUTE(TEXT(LL51,LK51)&amp;" "&amp;LEFT(LI51,LEN(LI51)-1),".",","),SUBSTITUTE(TEXT(LL51,LK51)&amp;" "&amp;LI51,".",",")))</f>
        <v/>
      </c>
      <c r="LN51" s="97" t="str">
        <f t="shared" ca="1" si="74"/>
        <v/>
      </c>
      <c r="LO51" s="97" t="str" cm="1">
        <f t="array" aca="1" ref="LO51" ca="1">IFERROR(LEFT(INDIRECT(LN51),1)&amp;"]","")</f>
        <v/>
      </c>
      <c r="LP51" s="97" t="str">
        <f t="shared" ca="1" si="75"/>
        <v/>
      </c>
      <c r="LQ51" s="97" t="str">
        <f ca="1">IFERROR(LEFT(LH51,FIND(Stammdaten!$CA$4,LH51,1)-2),IFERROR(LEFT(LH51,FIND(Stammdaten!$CC$3,LH51,1)-2),LH51))</f>
        <v>Erstes Gerät</v>
      </c>
      <c r="LR51" s="97" t="str">
        <f ca="1">IF(NOT(ISERROR(FIND(Stammdaten!$CA$4,LH51,1))),Stammdaten!$CA$4,IF(LS51&lt;&gt;Stammdaten!$CC$3,LP51,""))</f>
        <v>nicht durchgeführt</v>
      </c>
      <c r="LS51" s="91" t="str">
        <f ca="1">IF(LL51=$A$2,Stammdaten!$CC$3,LM51)</f>
        <v/>
      </c>
      <c r="LT51" s="91" t="str" cm="1">
        <f t="array" aca="1" ref="LT51" ca="1">IFERROR(INDIRECT(ADDRESS(ROW($JR$5),LF51)),LF51)</f>
        <v>Zweites Gerät nicht durchgeführt</v>
      </c>
      <c r="LU51" s="97" t="str">
        <f t="shared" ca="1" si="189"/>
        <v/>
      </c>
      <c r="LV51" s="97" t="str" cm="1">
        <f t="array" aca="1" ref="LV51" ca="1">IFERROR(IF(INDIRECT(INDEX(INDIRECT(LV$5),MATCH(LT51,INDIRECT(LV$4),0)))&lt;&gt;"",INDEX(INDIRECT(LV$5),MATCH(LT51,INDIRECT(LV$4),0)),INDEX(INDIRECT(LV$6),MATCH(LT51,INDIRECT(LV$4),0))),"")</f>
        <v/>
      </c>
      <c r="LW51" s="97" t="str">
        <f t="shared" ca="1" si="190"/>
        <v/>
      </c>
      <c r="LX51" s="97" t="str" cm="1">
        <f t="array" aca="1" ref="LX51" ca="1">IFERROR(INDIRECT(LV51),"")</f>
        <v/>
      </c>
      <c r="LY51" s="97" t="str">
        <f ca="1">IF(LX51="","",IF(AND(LU51=Stammdaten!$BX$20,LW51="0",LX51=1),SUBSTITUTE(TEXT(LX51,LW51)&amp;" "&amp;LEFT(LU51,LEN(LU51)-1),".",","),SUBSTITUTE(TEXT(LX51,LW51)&amp;" "&amp;LU51,".",",")))</f>
        <v/>
      </c>
      <c r="LZ51" s="97" t="str">
        <f t="shared" ca="1" si="76"/>
        <v/>
      </c>
      <c r="MA51" s="97" t="str" cm="1">
        <f t="array" aca="1" ref="MA51" ca="1">IFERROR(LEFT(INDIRECT(LZ51),1)&amp;"]","")</f>
        <v/>
      </c>
      <c r="MB51" s="97" t="str">
        <f t="shared" ca="1" si="77"/>
        <v/>
      </c>
      <c r="MC51" s="97" t="str">
        <f ca="1">IFERROR(LEFT(LT51,FIND(Stammdaten!$CA$4,LT51,1)-2),IFERROR(LEFT(LT51,FIND(Stammdaten!$CC$3,LT51,1)-2),LT51))</f>
        <v>Zweites Gerät</v>
      </c>
      <c r="MD51" s="97" t="str">
        <f ca="1">IF(NOT(ISERROR(FIND(Stammdaten!$CA$4,LT51,1))),Stammdaten!$CA$4,IF(ME51&lt;&gt;Stammdaten!$CC$3,MB51,""))</f>
        <v>nicht durchgeführt</v>
      </c>
      <c r="ME51" s="91" t="str">
        <f ca="1">IF(LX51=$A$2,Stammdaten!$CC$3,LY51)</f>
        <v/>
      </c>
      <c r="MF51" s="91" t="str" cm="1">
        <f t="array" aca="1" ref="MF51" ca="1">IFERROR(INDIRECT(ADDRESS(ROW($JR$5),LG51)),LG51)</f>
        <v>Drittes Gerät nicht durchgeführt</v>
      </c>
      <c r="MG51" s="97" t="str">
        <f t="shared" ca="1" si="191"/>
        <v/>
      </c>
      <c r="MH51" s="97" t="str" cm="1">
        <f t="array" aca="1" ref="MH51" ca="1">IFERROR(IF(INDIRECT(INDEX(INDIRECT(MH$5),MATCH(MF51,INDIRECT(MH$4),0)))&lt;&gt;"",INDEX(INDIRECT(MH$5),MATCH(MF51,INDIRECT(MH$4),0)),INDEX(INDIRECT(MH$6),MATCH(MF51,INDIRECT(MH$4),0))),"")</f>
        <v/>
      </c>
      <c r="MI51" s="97" t="str">
        <f t="shared" ca="1" si="192"/>
        <v/>
      </c>
      <c r="MJ51" s="97" t="str" cm="1">
        <f t="array" aca="1" ref="MJ51" ca="1">IFERROR(INDIRECT(MH51),"")</f>
        <v/>
      </c>
      <c r="MK51" s="97" t="str">
        <f ca="1">IF(MJ51="","",IF(AND(MG51=Stammdaten!$BX$20,MI51="0",MJ51=1),SUBSTITUTE(TEXT(MJ51,MI51)&amp;" "&amp;LEFT(MG51,LEN(MG51)-1),".",","),SUBSTITUTE(TEXT(MJ51,MI51)&amp;" "&amp;MG51,".",",")))</f>
        <v/>
      </c>
      <c r="ML51" s="97" t="str">
        <f t="shared" ca="1" si="78"/>
        <v/>
      </c>
      <c r="MM51" s="97" t="str" cm="1">
        <f t="array" aca="1" ref="MM51" ca="1">IFERROR(LEFT(INDIRECT(ML51),1)&amp;"]","")</f>
        <v/>
      </c>
      <c r="MN51" s="97" t="str">
        <f t="shared" ca="1" si="79"/>
        <v/>
      </c>
      <c r="MO51" s="97" t="str">
        <f ca="1">IFERROR(LEFT(MF51,FIND(Stammdaten!$CA$4,MF51,1)-2),IFERROR(LEFT(MF51,FIND(Stammdaten!$CC$3,MF51,1)-2),MF51))</f>
        <v>Drittes Gerät</v>
      </c>
      <c r="MP51" s="97" t="str">
        <f ca="1">IF(NOT(ISERROR(FIND(Stammdaten!$CA$4,MF51,1))),Stammdaten!$CA$4,IF(MQ51&lt;&gt;Stammdaten!$CC$3,MN51,""))</f>
        <v>nicht durchgeführt</v>
      </c>
      <c r="MQ51" s="91" t="str">
        <f ca="1">IF(MJ51=$A$2,Stammdaten!$CC$3,MK51)</f>
        <v/>
      </c>
      <c r="MR51" s="97">
        <f t="shared" ca="1" si="80"/>
        <v>0</v>
      </c>
      <c r="MS51" s="108">
        <f t="shared" ca="1" si="193"/>
        <v>0</v>
      </c>
      <c r="MT51" s="108">
        <f t="shared" ca="1" si="194"/>
        <v>0</v>
      </c>
      <c r="MU51" s="108">
        <f t="shared" ca="1" si="195"/>
        <v>0</v>
      </c>
      <c r="MV51" s="108" t="str">
        <f t="shared" ca="1" si="196"/>
        <v/>
      </c>
      <c r="MW51" s="97" t="str">
        <f ca="1">IF(MV51="",Stammdaten!$BZ$1,IF(AND(MS51+MT51=0,MU51&gt;=MV$25),$A$3,MR51))</f>
        <v>Zu wenige Werte</v>
      </c>
      <c r="MX51" s="97"/>
      <c r="MY51" s="91" t="str">
        <f t="shared" ca="1" si="81"/>
        <v/>
      </c>
      <c r="MZ51" s="96" t="str">
        <f>LEFT(Geschlecht[[#This Row],[Geschlecht (Skala)]],1)&amp;$MZ$27</f>
        <v>2</v>
      </c>
      <c r="NA51" s="96" t="str">
        <f t="shared" ca="1" si="82"/>
        <v>Geräteturnen_2[Resultat]</v>
      </c>
      <c r="NB51" s="97" t="str" cm="1">
        <f t="array" aca="1" ref="NB51" ca="1">IF(OR($MW51="",$MW51=Stammdaten!$BZ$1),"",IF($MW51=0,0,IF(OR($MW51=$A$2,$MW51=$A$3),$A$3,IFERROR(INDEX(INDIRECT(NA51),MATCH(INDIRECT(MY$3),INDIRECT(NA51),NA$25)),IFERROR(IF(NA$25=-1,MAX(INDIRECT(NA51)),IF(NA$25=1,MIN(INDIRECT(NA51)))),"")))))</f>
        <v/>
      </c>
      <c r="ND51" s="91" t="str">
        <f t="shared" ca="1" si="83"/>
        <v>Geräteturnen_2[Note]</v>
      </c>
      <c r="NE51" s="97" t="str" cm="1">
        <f t="array" aca="1" ref="NE51" ca="1">IFERROR(INDEX(INDIRECT(ND51),MATCH(INDIRECT(MY$5),INDIRECT(NA51),0)),IF(INDIRECT(MY$5)=0,1,""))</f>
        <v/>
      </c>
      <c r="NF51" s="97"/>
      <c r="NG51" s="307"/>
      <c r="NH51" s="96" t="str">
        <f>IFERROR(IFERROR(SUBSTITUTE(ParkourResultat[[#This Row],[Eingabe]],".",",")*1,SUBSTITUTE(ParkourResultat[[#This Row],[Eingabe]],",",".")*1),"")</f>
        <v/>
      </c>
      <c r="NI51" s="96" t="e">
        <f>INT(ParkourResultat[[#This Row],[Resultat]])=ParkourResultat[[#This Row],[Resultat]]</f>
        <v>#VALUE!</v>
      </c>
      <c r="NJ51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1" s="96"/>
      <c r="NL51" s="91" t="str" cm="1">
        <f t="array" aca="1" ref="NL51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1" s="96" t="str">
        <f ca="1">LEFT(Geschlecht[[#This Row],[Geschlecht (Skala)]],1)&amp;NR$4</f>
        <v>2</v>
      </c>
      <c r="NN51" s="96" t="str">
        <f t="shared" ca="1" si="84"/>
        <v>Parkour_2[Resultat]</v>
      </c>
      <c r="NO51" s="97" t="str" cm="1">
        <f t="array" aca="1" ref="NO51" ca="1">IF(INDIRECT(NL$1)="","",IF(INDIRECT(NL$2)=0,0,IF(OR(INDIRECT(NL$1)=$A$2,INDIRECT(NL$1)=$A$3),$A$3,IFERROR(INDEX(INDIRECT(NN51),MATCH(INDIRECT(NL$3),INDIRECT(NN51),NN$25)),IFERROR(IF(NN$25=-1,MAX(INDIRECT(NN51)),IF(NN$25=1,MIN(INDIRECT(NN51)))),"")))))</f>
        <v/>
      </c>
      <c r="NQ51" s="91" t="str">
        <f t="shared" ca="1" si="85"/>
        <v>Parkour_2[Note]</v>
      </c>
      <c r="NR51" s="97" t="str" cm="1">
        <f t="array" aca="1" ref="NR51" ca="1">IFERROR(INDEX(INDIRECT(NQ51),MATCH(INDIRECT(NL$5),INDIRECT(NN51),0)),IF(INDIRECT(NL$5)=0,1,""))</f>
        <v/>
      </c>
      <c r="NS51" s="97"/>
      <c r="NT51" s="97" t="str" cm="1">
        <f t="array" aca="1" ref="NT51" ca="1">INDIRECT(NT$5)</f>
        <v/>
      </c>
      <c r="NU51" s="97" t="str" cm="1">
        <f t="array" aca="1" ref="NU51" ca="1">INDIRECT(NU$5)</f>
        <v/>
      </c>
      <c r="NV51" s="97" t="str" cm="1">
        <f t="array" aca="1" ref="NV51" ca="1">INDIRECT(NV$5)</f>
        <v/>
      </c>
      <c r="NW51" s="97" t="str" cm="1">
        <f t="array" aca="1" ref="NW51" ca="1">INDIRECT(NW$5)</f>
        <v/>
      </c>
      <c r="NX51" s="97" t="str">
        <f t="shared" ca="1" si="86"/>
        <v>Parkour nicht durchgeführt</v>
      </c>
      <c r="NY51" s="97" t="str">
        <f t="shared" ca="1" si="197"/>
        <v/>
      </c>
      <c r="NZ51" s="97" t="str" cm="1">
        <f t="array" aca="1" ref="NZ51" ca="1">IFERROR(IF(INDIRECT(INDEX(INDIRECT(NZ$5),MATCH(NX51,INDIRECT(NZ$4),0)))&lt;&gt;"",INDEX(INDIRECT(NZ$5),MATCH(NX51,INDIRECT(NZ$4),0)),INDEX(INDIRECT(NZ$6),MATCH(NX51,INDIRECT(NZ$4),0))),"")</f>
        <v/>
      </c>
      <c r="OA51" s="97" t="str">
        <f t="shared" ca="1" si="198"/>
        <v/>
      </c>
      <c r="OB51" s="97" t="str" cm="1">
        <f t="array" aca="1" ref="OB51" ca="1">IFERROR(INDIRECT(NZ51),IF(NOT(ISERROR(FIND(Stammdaten!$CC$3,NX51,1))),$A$2,""))</f>
        <v/>
      </c>
      <c r="OC51" s="97" t="str">
        <f ca="1">IF(OB51="","",IF(AND(NY51=Stammdaten!$BX$20,OA51="0",OB51=1),SUBSTITUTE(TEXT(OB51,OA51)&amp;" "&amp;LEFT(NY51,LEN(NY51)-1),".",","),SUBSTITUTE(TEXT(OB51,OA51)&amp;" "&amp;NY51,".",",")))</f>
        <v/>
      </c>
      <c r="OD51" s="97" t="str">
        <f t="shared" ca="1" si="87"/>
        <v/>
      </c>
      <c r="OE51" s="97" t="str" cm="1">
        <f t="array" aca="1" ref="OE51" ca="1">IFERROR(LEFT(INDIRECT(OD51),1)&amp;"]","")</f>
        <v/>
      </c>
      <c r="OF51" s="97" t="str">
        <f t="shared" ca="1" si="88"/>
        <v/>
      </c>
      <c r="OG51" s="97" t="str">
        <f ca="1">IFERROR(LEFT(NX51,FIND(Stammdaten!$CA$4,NX51,1)-2),IFERROR(LEFT(NX51,FIND(Stammdaten!$CC$3,NX51,1)-2),NX51))</f>
        <v>Parkour</v>
      </c>
      <c r="OH51" s="97" t="str">
        <f ca="1">IF(NOT(ISERROR(FIND(Stammdaten!$CA$4,NX51,1))),Stammdaten!$CA$4,IF(OI51&lt;&gt;Stammdaten!$CC$3,OF51,""))</f>
        <v>nicht durchgeführt</v>
      </c>
      <c r="OI51" s="91" t="str">
        <f ca="1">IF(OB51=$A$2,Stammdaten!$CC$3,OC51)</f>
        <v/>
      </c>
      <c r="OJ51" s="97" t="str">
        <f t="shared" ca="1" si="89"/>
        <v/>
      </c>
      <c r="OK51" s="97" t="str">
        <f t="shared" ca="1" si="90"/>
        <v/>
      </c>
      <c r="OL51" s="97">
        <f t="shared" ca="1" si="199"/>
        <v>0</v>
      </c>
      <c r="OM51" s="108">
        <f t="shared" ca="1" si="91"/>
        <v>0</v>
      </c>
      <c r="ON51" s="108">
        <f t="shared" ca="1" si="92"/>
        <v>0</v>
      </c>
      <c r="OO51" s="108" t="str">
        <f t="shared" ca="1" si="200"/>
        <v/>
      </c>
      <c r="OP51" s="97" t="str">
        <f ca="1">IF(OO51="",Stammdaten!$BZ$1,IF(AND(OM51=0,ON51&gt;=OO$25),$A$3,ROUND(SUM(OL51/OO51)/OP$25,0)*OP$25))</f>
        <v>Zu wenige Werte</v>
      </c>
      <c r="OQ51" s="108">
        <f t="shared" ca="1" si="201"/>
        <v>6</v>
      </c>
      <c r="OR51" s="97" t="str">
        <f t="shared" ca="1" si="202"/>
        <v/>
      </c>
      <c r="OS51" s="97" t="str">
        <f t="shared" ca="1" si="203"/>
        <v/>
      </c>
      <c r="OT51" s="97" t="str">
        <f t="shared" ca="1" si="204"/>
        <v/>
      </c>
      <c r="OU51" s="97" t="str">
        <f t="shared" ca="1" si="205"/>
        <v>g</v>
      </c>
      <c r="OV51" s="97" t="str">
        <f t="shared" ca="1" si="206"/>
        <v/>
      </c>
      <c r="OW51" s="97">
        <f t="shared" ca="1" si="207"/>
        <v>1</v>
      </c>
      <c r="OX51" s="97" t="str">
        <f ca="1">IF(OR(Geschlecht[[#This Row],[Geschlecht (Skala)]]="",NOT(ISNUMBER(OO51))),"",OW51)</f>
        <v/>
      </c>
      <c r="OY51" s="97" t="str">
        <f t="shared" ca="1" si="208"/>
        <v/>
      </c>
      <c r="OZ51" s="97"/>
      <c r="PA51" s="308" t="str">
        <f t="shared" ca="1" si="209"/>
        <v>Zu wenige Werte</v>
      </c>
      <c r="PB51" s="97"/>
      <c r="PC51" s="307"/>
      <c r="PD51" s="96" t="str">
        <f>IFERROR(IFERROR(SUBSTITUTE(TanzenResultat[[#This Row],[Eingabe]],".",",")*1,SUBSTITUTE(TanzenResultat[[#This Row],[Eingabe]],",",".")*1),"")</f>
        <v/>
      </c>
      <c r="PE51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1" s="96"/>
      <c r="PG51" s="91" t="str" cm="1">
        <f t="array" aca="1" ref="PG51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1" s="96" t="str">
        <f ca="1">LEFT(Geschlecht[[#This Row],[Geschlecht (Skala)]],1)&amp;PM$4</f>
        <v>2</v>
      </c>
      <c r="PI51" s="96" t="str">
        <f t="shared" ca="1" si="93"/>
        <v>Tanzen_2[Resultat]</v>
      </c>
      <c r="PJ51" s="97" t="str" cm="1">
        <f t="array" aca="1" ref="PJ51" ca="1">IF(INDIRECT(PG$1)="","",IF(INDIRECT(PG$2)=0,0,IF(OR(INDIRECT(PG$1)=$A$2,INDIRECT(PG$1)=$A$3),$A$3,IFERROR(INDEX(INDIRECT(PI51),MATCH(INDIRECT(PG$3),INDIRECT(PI51),PI$25)),IFERROR(IF(PI$25=-1,MAX(INDIRECT(PI51)),IF(PI$25=1,MIN(INDIRECT(PI51)))),"")))))</f>
        <v/>
      </c>
      <c r="PL51" s="91" t="str">
        <f t="shared" ca="1" si="94"/>
        <v>Tanzen_2[Note]</v>
      </c>
      <c r="PM51" s="97" t="str" cm="1">
        <f t="array" aca="1" ref="PM51" ca="1">IFERROR(INDEX(INDIRECT(PL51),MATCH(INDIRECT(PG$5),INDIRECT(PI51),0)),IF(INDIRECT(PG$5)=0,1,""))</f>
        <v/>
      </c>
      <c r="PN51" s="97"/>
      <c r="PO51" s="307"/>
      <c r="PP51" s="96" t="str">
        <f>IFERROR(IFERROR(SUBSTITUTE(RopeSkippingResultat[[#This Row],[Eingabe]],".",",")*1,SUBSTITUTE(RopeSkippingResultat[[#This Row],[Eingabe]],",",".")*1),"")</f>
        <v/>
      </c>
      <c r="PQ51" s="96" t="e">
        <f>INT(RopeSkippingResultat[[#This Row],[Resultat]])=RopeSkippingResultat[[#This Row],[Resultat]]</f>
        <v>#VALUE!</v>
      </c>
      <c r="PR51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1" s="96"/>
      <c r="PT51" s="91" t="str" cm="1">
        <f t="array" aca="1" ref="PT51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1" s="96" t="str">
        <f ca="1">LEFT(Geschlecht[[#This Row],[Geschlecht (Skala)]],1)&amp;PZ$4</f>
        <v>2</v>
      </c>
      <c r="PV51" s="96" t="str">
        <f t="shared" ca="1" si="95"/>
        <v>RopeSkipping_2[Resultat]</v>
      </c>
      <c r="PW51" s="97" t="str" cm="1">
        <f t="array" aca="1" ref="PW51" ca="1">IF(INDIRECT(PT$1)="","",IF(INDIRECT(PT$2)=0,0,IF(OR(INDIRECT(PT$1)=$A$2,INDIRECT(PT$1)=$A$3),$A$3,IFERROR(INDEX(INDIRECT(PV51),MATCH(INDIRECT(PT$3),INDIRECT(PV51),PV$25)),IFERROR(IF(PV$25=-1,MAX(INDIRECT(PV51)),IF(PV$25=1,MIN(INDIRECT(PV51)))),"")))))</f>
        <v/>
      </c>
      <c r="PY51" s="91" t="str">
        <f t="shared" ca="1" si="96"/>
        <v>RopeSkipping_2[Note]</v>
      </c>
      <c r="PZ51" s="97" t="str" cm="1">
        <f t="array" aca="1" ref="PZ51" ca="1">IFERROR(INDEX(INDIRECT(PY51),MATCH(INDIRECT(PT$5),INDIRECT(PV51),0)),IF(INDIRECT(PT$5)=0,1,""))</f>
        <v/>
      </c>
      <c r="QA51" s="97"/>
      <c r="QB51" s="307"/>
      <c r="QC51" s="96" t="str">
        <f>IFERROR(IFERROR(SUBSTITUTE(AerobicResultat[[#This Row],[Eingabe]],".",",")*1,SUBSTITUTE(AerobicResultat[[#This Row],[Eingabe]],",",".")*1),"")</f>
        <v/>
      </c>
      <c r="QD51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1" s="96"/>
      <c r="QF51" s="91" t="str" cm="1">
        <f t="array" aca="1" ref="QF51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1" s="96" t="str">
        <f ca="1">LEFT(Geschlecht[[#This Row],[Geschlecht (Skala)]],1)&amp;QL$4</f>
        <v>2</v>
      </c>
      <c r="QH51" s="96" t="str">
        <f t="shared" ca="1" si="97"/>
        <v>Aerobic_2[Resultat]</v>
      </c>
      <c r="QI51" s="97" t="str" cm="1">
        <f t="array" aca="1" ref="QI51" ca="1">IF(INDIRECT(QF$1)="","",IF(INDIRECT(QF$2)=0,0,IF(OR(INDIRECT(QF$1)=$A$2,INDIRECT(QF$1)=$A$3),$A$3,IFERROR(INDEX(INDIRECT(QH51),MATCH(INDIRECT(QF$3),INDIRECT(QH51),QH$25)),IFERROR(IF(QH$25=-1,MAX(INDIRECT(QH51)),IF(QH$25=1,MIN(INDIRECT(QH51)))),"")))))</f>
        <v/>
      </c>
      <c r="QK51" s="91" t="str">
        <f t="shared" ca="1" si="98"/>
        <v>Aerobic_2[Note]</v>
      </c>
      <c r="QL51" s="97" t="str" cm="1">
        <f t="array" aca="1" ref="QL51" ca="1">IFERROR(INDEX(INDIRECT(QK51),MATCH(INDIRECT(QF$5),INDIRECT(QH51),0)),IF(INDIRECT(QF$5)=0,1,""))</f>
        <v/>
      </c>
      <c r="QM51" s="97"/>
      <c r="QN51" s="97" t="str" cm="1">
        <f t="array" aca="1" ref="QN51" ca="1">INDIRECT(QN$5)</f>
        <v/>
      </c>
      <c r="QO51" s="97" t="str" cm="1">
        <f t="array" aca="1" ref="QO51" ca="1">INDIRECT(QO$5)</f>
        <v/>
      </c>
      <c r="QP51" s="97" t="str" cm="1">
        <f t="array" aca="1" ref="QP51" ca="1">INDIRECT(QP$5)</f>
        <v/>
      </c>
      <c r="QQ51" s="97" t="str" cm="1">
        <f t="array" aca="1" ref="QQ51" ca="1">INDIRECT(QQ$5)</f>
        <v/>
      </c>
      <c r="QR51" s="97" t="str" cm="1">
        <f t="array" aca="1" ref="QR51" ca="1">INDIRECT(QR$5)</f>
        <v/>
      </c>
      <c r="QS51" s="97" t="str" cm="1">
        <f t="array" aca="1" ref="QS51" ca="1">INDIRECT(QS$5)</f>
        <v/>
      </c>
      <c r="QT51" s="97" t="str">
        <f t="shared" ca="1" si="99"/>
        <v>Darstellen und Tanzen nicht durchgeführt</v>
      </c>
      <c r="QU51" s="108">
        <f t="shared" ca="1" si="100"/>
        <v>0</v>
      </c>
      <c r="QV51" s="108">
        <f t="shared" ca="1" si="101"/>
        <v>0</v>
      </c>
      <c r="QW51" s="108" t="str">
        <f t="shared" ca="1" si="210"/>
        <v/>
      </c>
      <c r="QX51" s="97" t="str">
        <f t="shared" ca="1" si="211"/>
        <v>Darstellen und Tanzen nicht durchgeführt</v>
      </c>
      <c r="QY51" s="97" t="str">
        <f t="shared" ca="1" si="212"/>
        <v/>
      </c>
      <c r="QZ51" s="97" t="str" cm="1">
        <f t="array" aca="1" ref="QZ51" ca="1">IFERROR(IF(INDIRECT(INDEX(INDIRECT(QZ$5),MATCH(QX51,INDIRECT(QZ$4),0)))&lt;&gt;"",INDEX(INDIRECT(QZ$5),MATCH(QX51,INDIRECT(QZ$4),0)),INDEX(INDIRECT(QZ$6),MATCH(QX51,INDIRECT(QZ$4),0))),"")</f>
        <v/>
      </c>
      <c r="RA51" s="97" t="str">
        <f t="shared" ca="1" si="213"/>
        <v/>
      </c>
      <c r="RB51" s="97" t="str" cm="1">
        <f t="array" aca="1" ref="RB51" ca="1">IFERROR(INDIRECT(QZ51),IF(NOT(ISERROR(FIND(Stammdaten!$CC$3,QX51,1))),$A$2,""))</f>
        <v/>
      </c>
      <c r="RC51" s="97" t="str">
        <f ca="1">IF(RB51="","",IF(AND(QY51=Stammdaten!$BX$20,RA51="0",RB51=1),SUBSTITUTE(TEXT(RB51,RA51)&amp;" "&amp;LEFT(QY51,LEN(QY51)-1),".",","),SUBSTITUTE(TEXT(RB51,RA51)&amp;" "&amp;QY51,".",",")))</f>
        <v/>
      </c>
      <c r="RD51" s="97" t="str">
        <f t="shared" ca="1" si="102"/>
        <v/>
      </c>
      <c r="RE51" s="97" t="str" cm="1">
        <f t="array" aca="1" ref="RE51" ca="1">IFERROR(LEFT(INDIRECT(RD51),1)&amp;"]","")</f>
        <v/>
      </c>
      <c r="RF51" s="97" t="str">
        <f t="shared" ca="1" si="103"/>
        <v/>
      </c>
      <c r="RG51" s="97" t="str">
        <f ca="1">IFERROR(LEFT(QX51,FIND(Stammdaten!$CA$4,QX51,1)-2),IFERROR(LEFT(QX51,FIND(Stammdaten!$CC$3,QX51,1)-2),QX51))</f>
        <v>Darstellen und Tanzen</v>
      </c>
      <c r="RH51" s="97" t="str">
        <f ca="1">IF(NOT(ISERROR(FIND(Stammdaten!$CA$4,QX51,1))),Stammdaten!$CA$4,IF(RI51&lt;&gt;Stammdaten!$CC$3,RF51,""))</f>
        <v>nicht durchgeführt</v>
      </c>
      <c r="RI51" s="91" t="str">
        <f ca="1">IF(RB51=$A$2,Stammdaten!$CC$3,RC51)</f>
        <v/>
      </c>
      <c r="RJ51" s="108">
        <f t="shared" ca="1" si="214"/>
        <v>6</v>
      </c>
      <c r="RK51" s="97"/>
      <c r="RL51" s="308" t="str">
        <f ca="1">IF(QT51=$QT$4,Stammdaten!$BZ$1,IF(QT51=$QT$5,$A$3,QT51))</f>
        <v>Zu wenige Werte</v>
      </c>
      <c r="RM51" s="97"/>
      <c r="RN51" s="307"/>
      <c r="RO51" s="96" t="str">
        <f>IFERROR(IFERROR(SUBSTITUTE(BasketballResultat[[#This Row],[Eingabe]],".",",")*1,SUBSTITUTE(BasketballResultat[[#This Row],[Eingabe]],",",".")*1),"")</f>
        <v/>
      </c>
      <c r="RP51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1" s="96"/>
      <c r="RR51" s="91" t="str" cm="1">
        <f t="array" aca="1" ref="RR51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1" s="96" t="str">
        <f ca="1">LEFT(Geschlecht[[#This Row],[Geschlecht (Skala)]],1)&amp;RX$4</f>
        <v>2</v>
      </c>
      <c r="RT51" s="96" t="str">
        <f t="shared" ca="1" si="104"/>
        <v>Basketball_2[Resultat]</v>
      </c>
      <c r="RU51" s="97" t="str" cm="1">
        <f t="array" aca="1" ref="RU51" ca="1">IF(INDIRECT(RR$1)="","",IF(INDIRECT(RR$2)=0,0,IF(OR(INDIRECT(RR$1)=$A$2,INDIRECT(RR$1)=$A$3),$A$3,IFERROR(INDEX(INDIRECT(RT51),MATCH(INDIRECT(RR$3),INDIRECT(RT51),RT$25)),IFERROR(IF(RT$25=-1,MAX(INDIRECT(RT51)),IF(RT$25=1,MIN(INDIRECT(RT51)))),"")))))</f>
        <v/>
      </c>
      <c r="RW51" s="91" t="str">
        <f t="shared" ca="1" si="105"/>
        <v>Basketball_2[Note]</v>
      </c>
      <c r="RX51" s="97" t="str" cm="1">
        <f t="array" aca="1" ref="RX51" ca="1">IFERROR(INDEX(INDIRECT(RW51),MATCH(INDIRECT(RR$5),INDIRECT(RT51),0)),IF(INDIRECT(RR$5)=0,1,""))</f>
        <v/>
      </c>
      <c r="RY51" s="97"/>
      <c r="RZ51" s="307"/>
      <c r="SA51" s="96" t="str">
        <f>IFERROR(IFERROR(SUBSTITUTE(FussballResultat[[#This Row],[Eingabe]],".",",")*1,SUBSTITUTE(FussballResultat[[#This Row],[Eingabe]],",",".")*1),"")</f>
        <v/>
      </c>
      <c r="SB51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1" s="96"/>
      <c r="SD51" s="316" t="str" cm="1">
        <f t="array" aca="1" ref="SD51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1" s="96" t="str">
        <f ca="1">LEFT(Geschlecht[[#This Row],[Geschlecht (Skala)]],1)&amp;SJ$4</f>
        <v>2</v>
      </c>
      <c r="SF51" s="96" t="str">
        <f t="shared" ca="1" si="106"/>
        <v>Fussball_2[Resultat]</v>
      </c>
      <c r="SG51" s="97" t="str" cm="1">
        <f t="array" aca="1" ref="SG51" ca="1">IF(INDIRECT(SD$1)="","",IF(INDIRECT(SD$2)=0,0,IF(OR(INDIRECT(SD$1)=$A$2,INDIRECT(SD$1)=$A$3),$A$3,IFERROR(INDEX(INDIRECT(SF51),MATCH(INDIRECT(SD$3),INDIRECT(SF51),SF$25)),IFERROR(IF(SF$25=-1,MAX(INDIRECT(SF51)),IF(SF$25=1,MIN(INDIRECT(SF51)))),"")))))</f>
        <v/>
      </c>
      <c r="SI51" s="91" t="str">
        <f t="shared" ca="1" si="107"/>
        <v>Fussball_2[Note]</v>
      </c>
      <c r="SJ51" s="97" t="str" cm="1">
        <f t="array" aca="1" ref="SJ51" ca="1">IFERROR(INDEX(INDIRECT(SI51),MATCH(INDIRECT(SD$5),INDIRECT(SF51),0)),IF(INDIRECT(SD$5)=0,1,""))</f>
        <v/>
      </c>
      <c r="SK51" s="97"/>
      <c r="SL51" s="307"/>
      <c r="SM51" s="96" t="str">
        <f>IFERROR(IFERROR(SUBSTITUTE(HandballResultat[[#This Row],[Eingabe]],".",",")*1,SUBSTITUTE(HandballResultat[[#This Row],[Eingabe]],",",".")*1),"")</f>
        <v/>
      </c>
      <c r="SN51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1" s="96"/>
      <c r="SP51" s="91" t="str" cm="1">
        <f t="array" aca="1" ref="SP51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1" s="96" t="str">
        <f ca="1">LEFT(Geschlecht[[#This Row],[Geschlecht (Skala)]],1)&amp;SV$4</f>
        <v>2</v>
      </c>
      <c r="SR51" s="96" t="str">
        <f t="shared" ca="1" si="108"/>
        <v>Handball_2[Resultat]</v>
      </c>
      <c r="SS51" s="97" t="str" cm="1">
        <f t="array" aca="1" ref="SS51" ca="1">IF(INDIRECT(SP$1)="","",IF(INDIRECT(SP$2)=0,0,IF(OR(INDIRECT(SP$1)=$A$2,INDIRECT(SP$1)=$A$3),$A$3,IFERROR(INDEX(INDIRECT(SR51),MATCH(INDIRECT(SP$3),INDIRECT(SR51),SR$25)),IFERROR(IF(SR$25=-1,MAX(INDIRECT(SR51)),IF(SR$25=1,MIN(INDIRECT(SR51)))),"")))))</f>
        <v/>
      </c>
      <c r="SU51" s="91" t="str">
        <f t="shared" ca="1" si="109"/>
        <v>Handball_2[Note]</v>
      </c>
      <c r="SV51" s="97" t="str" cm="1">
        <f t="array" aca="1" ref="SV51" ca="1">IFERROR(INDEX(INDIRECT(SU51),MATCH(INDIRECT(SP$5),INDIRECT(SR51),0)),IF(INDIRECT(SP$5)=0,1,""))</f>
        <v/>
      </c>
      <c r="SW51" s="97"/>
      <c r="SX51" s="307"/>
      <c r="SY51" s="96" t="str">
        <f>IFERROR(IFERROR(SUBSTITUTE(UnihockeyResultat[[#This Row],[Eingabe]],".",",")*1,SUBSTITUTE(UnihockeyResultat[[#This Row],[Eingabe]],",",".")*1),"")</f>
        <v/>
      </c>
      <c r="SZ51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1" s="96"/>
      <c r="TB51" s="91" t="str" cm="1">
        <f t="array" aca="1" ref="TB51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1" s="96" t="str">
        <f ca="1">LEFT(Geschlecht[[#This Row],[Geschlecht (Skala)]],1)&amp;TH$4</f>
        <v>2</v>
      </c>
      <c r="TD51" s="96" t="str">
        <f t="shared" ca="1" si="110"/>
        <v>Unihockey_2[Resultat]</v>
      </c>
      <c r="TE51" s="97" t="str" cm="1">
        <f t="array" aca="1" ref="TE51" ca="1">IF(INDIRECT(TB$1)="","",IF(INDIRECT(TB$2)=0,0,IF(OR(INDIRECT(TB$1)=$A$2,INDIRECT(TB$1)=$A$3),$A$3,IFERROR(INDEX(INDIRECT(TD51),MATCH(INDIRECT(TB$3),INDIRECT(TD51),TD$25)),IFERROR(IF(TD$25=-1,MAX(INDIRECT(TD51)),IF(TD$25=1,MIN(INDIRECT(TD51)))),"")))))</f>
        <v/>
      </c>
      <c r="TG51" s="91" t="str">
        <f t="shared" ca="1" si="111"/>
        <v>Unihockey_2[Note]</v>
      </c>
      <c r="TH51" s="97" t="str" cm="1">
        <f t="array" aca="1" ref="TH51" ca="1">IFERROR(INDEX(INDIRECT(TG51),MATCH(INDIRECT(TB$5),INDIRECT(TD51),0)),IF(INDIRECT(TB$5)=0,1,""))</f>
        <v/>
      </c>
      <c r="TI51" s="97"/>
      <c r="TJ51" s="307"/>
      <c r="TK51" s="96" t="str">
        <f>IFERROR(IFERROR(SUBSTITUTE(VolleyballResultat[[#This Row],[Eingabe]],".",",")*1,SUBSTITUTE(VolleyballResultat[[#This Row],[Eingabe]],",",".")*1),"")</f>
        <v/>
      </c>
      <c r="TL51" s="96" t="e">
        <f>INT(VolleyballResultat[[#This Row],[Resultat]])=VolleyballResultat[[#This Row],[Resultat]]</f>
        <v>#VALUE!</v>
      </c>
      <c r="TM51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1" s="96"/>
      <c r="TO51" s="91" t="str" cm="1">
        <f t="array" aca="1" ref="TO51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1" s="96" t="str">
        <f ca="1">LEFT(Geschlecht[[#This Row],[Geschlecht (Skala)]],1)&amp;TU$4</f>
        <v>2</v>
      </c>
      <c r="TQ51" s="96" t="str">
        <f t="shared" ca="1" si="112"/>
        <v>Volleyball_2[Resultat]</v>
      </c>
      <c r="TR51" s="97" t="str" cm="1">
        <f t="array" aca="1" ref="TR51" ca="1">IF(INDIRECT(TO$1)="","",IF(INDIRECT(TO$2)=0,0,IF(OR(INDIRECT(TO$1)=$A$2,INDIRECT(TO$1)=$A$3),$A$3,IFERROR(INDEX(INDIRECT(TQ51),MATCH(INDIRECT(TO$3),INDIRECT(TQ51),TQ$25)),IFERROR(IF(TQ$25=-1,MAX(INDIRECT(TQ51)),IF(TQ$25=1,MIN(INDIRECT(TQ51)))),"")))))</f>
        <v/>
      </c>
      <c r="TT51" s="91" t="str">
        <f t="shared" ca="1" si="113"/>
        <v>Volleyball_2[Note]</v>
      </c>
      <c r="TU51" s="97" t="str" cm="1">
        <f t="array" aca="1" ref="TU51" ca="1">IFERROR(INDEX(INDIRECT(TT51),MATCH(INDIRECT(TO$5),INDIRECT(TQ51),0)),IF(INDIRECT(TO$5)=0,1,""))</f>
        <v/>
      </c>
      <c r="TV51" s="97"/>
      <c r="TW51" s="309" t="str" cm="1">
        <f t="array" aca="1" ref="TW51" ca="1">IF(AND(ISNUMBER(INDIRECT(TW$3)),INDIRECT(TW$3)&gt;1),INDIRECT(TW$3),"")</f>
        <v/>
      </c>
      <c r="TX51" s="309" t="str" cm="1">
        <f t="array" aca="1" ref="TX51" ca="1">IF(AND(ISNUMBER(INDIRECT(TX$3)),INDIRECT(TX$3)&gt;1),INDIRECT(TX$3),"")</f>
        <v/>
      </c>
      <c r="TY51" s="309" t="str" cm="1">
        <f t="array" aca="1" ref="TY51" ca="1">IF(AND(ISNUMBER(INDIRECT(TY$3)),INDIRECT(TY$3)&gt;1),INDIRECT(TY$3),"")</f>
        <v/>
      </c>
      <c r="TZ51" s="309" t="str" cm="1">
        <f t="array" aca="1" ref="TZ51" ca="1">IF(AND(ISNUMBER(INDIRECT(TZ$3)),INDIRECT(TZ$3)&gt;1),INDIRECT(TZ$3),"")</f>
        <v/>
      </c>
      <c r="UA51" s="309" t="str" cm="1">
        <f t="array" aca="1" ref="UA51" ca="1">IF(AND(ISNUMBER(INDIRECT(UA$3)),INDIRECT(UA$3)&gt;1),INDIRECT(UA$3),"")</f>
        <v/>
      </c>
      <c r="UB51" s="309" t="str">
        <f t="shared" ca="1" si="114"/>
        <v>x</v>
      </c>
      <c r="UC51" s="309" t="str">
        <f t="shared" ca="1" si="115"/>
        <v>y</v>
      </c>
      <c r="UD51" s="309" t="str">
        <f t="shared" ca="1" si="116"/>
        <v>z</v>
      </c>
      <c r="UE51" s="309" t="str">
        <f t="shared" ca="1" si="215"/>
        <v>a</v>
      </c>
      <c r="UF51" s="309" t="str" cm="1">
        <f t="array" aca="1" ref="UF51" ca="1">IF(UE51="a","",INDEX($TW$23:$UA$23,,MATCH(UE51,$TW51:$UA51,0)))</f>
        <v/>
      </c>
      <c r="UG51" s="309" t="str" cm="1">
        <f t="array" aca="1" ref="UG51" ca="1">IF(OR(UF51="",UF51&gt;=$UA$23),"",INDEX(INDIRECT(ADDRESS(ROW($TW$23),UF51+1)):$UA$23,,MATCH(UE51,INDIRECT(ADDRESS(ROW(),UF51+1)):$UA51,0)))</f>
        <v/>
      </c>
      <c r="UH51" s="309" t="str" cm="1">
        <f t="array" aca="1" ref="UH51" ca="1">IF(OR(UG51="",UG51&gt;=$UA$23),"",INDEX(INDIRECT(ADDRESS(ROW($TW$23),UG51+1)):$UA$23,,MATCH(UE51,INDIRECT(ADDRESS(ROW(),UG51+1)):$UA51,0)))</f>
        <v/>
      </c>
      <c r="UI51" s="309" t="str">
        <f t="shared" ca="1" si="216"/>
        <v>c</v>
      </c>
      <c r="UJ51" s="309" t="str" cm="1">
        <f t="array" aca="1" ref="UJ51" ca="1">IF(OR(UI51="b",UI51="c"),"",INDEX($TW$23:$UA$23,,MATCH(UI51,$TW51:$UA51,0)))</f>
        <v/>
      </c>
      <c r="UK51" s="309" t="str" cm="1">
        <f t="array" aca="1" ref="UK51" ca="1">IF(OR(UJ51="",UJ51&gt;=$UA$23),"",INDEX(INDIRECT(ADDRESS(ROW($TW$23),UJ51+1)):$UA$23,,MATCH(UI51,INDIRECT(ADDRESS(ROW(),UJ51+1)):$UA51,0)))</f>
        <v/>
      </c>
      <c r="UL51" s="309" t="str">
        <f t="shared" ca="1" si="117"/>
        <v/>
      </c>
      <c r="UM51" s="309" t="str">
        <f t="shared" ca="1" si="217"/>
        <v>e</v>
      </c>
      <c r="UN51" s="309" t="str">
        <f t="shared" ca="1" si="118"/>
        <v/>
      </c>
      <c r="UO51" s="309" t="str" cm="1">
        <f t="array" aca="1" ref="UO51" ca="1">IF(OR(UM51="d",UM51="e"),"",INDEX($TW$23:$UA$23,,MATCH(UM51,$TW51:$UA51,0)))</f>
        <v/>
      </c>
      <c r="UP51" s="309" t="str" cm="1">
        <f t="array" aca="1" ref="UP51" ca="1">IF(OR(UO51="",UO51&gt;=$UA$23),"",INDEX(INDIRECT(ADDRESS(ROW($TW$23),UO51+1)):$UA$23,,MATCH(UM51,INDIRECT(ADDRESS(ROW(),UO51+1)):$UA51,0)))</f>
        <v/>
      </c>
      <c r="UQ51" s="309" t="str" cm="1">
        <f t="array" aca="1" ref="UQ51" ca="1">IFERROR(IF(ISNUMBER(UF51),UF51,IF(ISNUMBER(UJ51),UJ51,IF(ISNUMBER(UN51),UN51,INDEX($TW$23:$UA$23,,MATCH(UB51,$TW51:$UA51,0))))),"x1")</f>
        <v>x1</v>
      </c>
      <c r="UR51" s="309" t="str" cm="1">
        <f t="array" aca="1" ref="UR51" ca="1">IFERROR(IF(ISNUMBER(UG51),UG51,IF(ISNUMBER(UK51),UK51,IF(ISNUMBER(UO51),UO51,INDEX($TW$23:$UA$23,,MATCH(UC51,$TW51:$UA51,0))))),IF(UQ51="x1","x2","x1"))</f>
        <v>x2</v>
      </c>
      <c r="US51" s="309" t="str" cm="1">
        <f t="array" aca="1" ref="US51" ca="1">IFERROR(IF(ISNUMBER(UH51),UH51,IF(ISNUMBER(UL51),UL51,IF(ISNUMBER(UP51),UP51,INDEX($TW$23:$UA$23,,MATCH(UD51,$TW51:$UA51,0))))),IF(UR51="x1","x2",IF(UR51="x2","x3","x1")))</f>
        <v>x3</v>
      </c>
      <c r="UT51" s="97" t="str" cm="1">
        <f t="array" aca="1" ref="UT51" ca="1">IF(OR(INDIRECT(UT$3)=$A$2,INDIRECT(UT$3)=$A$3),COLUMN(),"")</f>
        <v/>
      </c>
      <c r="UU51" s="97" t="str" cm="1">
        <f t="array" aca="1" ref="UU51" ca="1">IF(OR(INDIRECT(UU$3)=$A$2,INDIRECT(UU$3)=$A$3),COLUMN(),"")</f>
        <v/>
      </c>
      <c r="UV51" s="97" t="str" cm="1">
        <f t="array" aca="1" ref="UV51" ca="1">IF(OR(INDIRECT(UV$3)=$A$2,INDIRECT(UV$3)=$A$3),COLUMN(),"")</f>
        <v/>
      </c>
      <c r="UW51" s="97" t="str" cm="1">
        <f t="array" aca="1" ref="UW51" ca="1">IF(OR(INDIRECT(UW$3)=$A$2,INDIRECT(UW$3)=$A$3),COLUMN(),"")</f>
        <v/>
      </c>
      <c r="UX51" s="97" t="str" cm="1">
        <f t="array" aca="1" ref="UX51" ca="1">IF(OR(INDIRECT(UX$3)=$A$2,INDIRECT(UX$3)=$A$3),COLUMN(),"")</f>
        <v/>
      </c>
      <c r="UY51" s="97" t="str" cm="1">
        <f t="array" aca="1" ref="UY51" ca="1">IF(AND(ISNUMBER(INDIRECT(UY$3)),INDIRECT(UY$3)=0),COLUMN(),"")</f>
        <v/>
      </c>
      <c r="UZ51" s="97" t="str" cm="1">
        <f t="array" aca="1" ref="UZ51" ca="1">IF(AND(ISNUMBER(INDIRECT(UZ$3)),INDIRECT(UZ$3)=0),COLUMN(),"")</f>
        <v/>
      </c>
      <c r="VA51" s="97" t="str" cm="1">
        <f t="array" aca="1" ref="VA51" ca="1">IF(AND(ISNUMBER(INDIRECT(VA$3)),INDIRECT(VA$3)=0),COLUMN(),"")</f>
        <v/>
      </c>
      <c r="VB51" s="97" t="str" cm="1">
        <f t="array" aca="1" ref="VB51" ca="1">IF(AND(ISNUMBER(INDIRECT(VB$3)),INDIRECT(VB$3)=0),COLUMN(),"")</f>
        <v/>
      </c>
      <c r="VC51" s="97" t="str" cm="1">
        <f t="array" aca="1" ref="VC51" ca="1">IF(AND(ISNUMBER(INDIRECT(VC$3)),INDIRECT(VC$3)=0),COLUMN(),"")</f>
        <v/>
      </c>
      <c r="VD51" s="97" t="str">
        <f t="shared" ca="1" si="218"/>
        <v>x1</v>
      </c>
      <c r="VE51" s="97" t="str">
        <f t="shared" ca="1" si="219"/>
        <v>x2</v>
      </c>
      <c r="VF51" s="97" t="str">
        <f t="shared" ca="1" si="220"/>
        <v>x3</v>
      </c>
      <c r="VG51" s="97" t="str">
        <f ca="1">IFERROR(IF(ISNUMBER(VD51),VD51,SMALL($UY51:$VC51,VALUE(RIGHT(VD51,1)))),Stammdaten!$CB$17)</f>
        <v>Erste Spielsportart nicht durchgeführt</v>
      </c>
      <c r="VH51" s="97" t="str">
        <f ca="1">IFERROR(IF(ISNUMBER(VE51),VE51,SMALL($UY51:$VC51,VALUE(RIGHT(VE51,1)))),Stammdaten!$CB$18)</f>
        <v>Zweite Spielsportart nicht durchgeführt</v>
      </c>
      <c r="VI51" s="97" t="str">
        <f ca="1">IFERROR(IF(ISNUMBER(VF51),VF51,SMALL($UY51:$VC51,VALUE(RIGHT(VF51,1)))),Stammdaten!$CB$19)</f>
        <v>Dritte Spielsportart nicht durchgeführt</v>
      </c>
      <c r="VJ51" s="91" t="str" cm="1">
        <f t="array" aca="1" ref="VJ51" ca="1">IFERROR(INDIRECT(ADDRESS(ROW($TW$5),VG51)),VG51)</f>
        <v>Erste Spielsportart nicht durchgeführt</v>
      </c>
      <c r="VK51" s="97" t="str">
        <f t="shared" ca="1" si="221"/>
        <v/>
      </c>
      <c r="VL51" s="97" t="str" cm="1">
        <f t="array" aca="1" ref="VL51" ca="1">IFERROR(IF(INDIRECT(INDEX(INDIRECT(VL$5),MATCH(VJ51,INDIRECT(VL$4),0)))&lt;&gt;"",INDEX(INDIRECT(VL$5),MATCH(VJ51,INDIRECT(VL$4),0)),INDEX(INDIRECT(VL$6),MATCH(VJ51,INDIRECT(VL$4),0))),"")</f>
        <v/>
      </c>
      <c r="VM51" s="97" t="str">
        <f t="shared" ca="1" si="222"/>
        <v/>
      </c>
      <c r="VN51" s="97" t="str" cm="1">
        <f t="array" aca="1" ref="VN51" ca="1">IFERROR(INDIRECT(VL51),"")</f>
        <v/>
      </c>
      <c r="VO51" s="97" t="str">
        <f ca="1">IF(VN51="","",IF(AND(VK51=Stammdaten!$BX$20,VM51="0",VN51=1),SUBSTITUTE(TEXT(VN51,VM51)&amp;" "&amp;LEFT(VK51,LEN(VK51)-1),".",","),SUBSTITUTE(TEXT(VN51,VM51)&amp;" "&amp;VK51,".",",")))</f>
        <v/>
      </c>
      <c r="VP51" s="97" t="str">
        <f t="shared" ca="1" si="119"/>
        <v/>
      </c>
      <c r="VQ51" s="97" t="str" cm="1">
        <f t="array" aca="1" ref="VQ51" ca="1">IFERROR(LEFT(INDIRECT(VP51),1)&amp;"]","")</f>
        <v/>
      </c>
      <c r="VR51" s="97" t="str">
        <f t="shared" ca="1" si="120"/>
        <v/>
      </c>
      <c r="VS51" s="97" t="str">
        <f ca="1">IFERROR(LEFT(VJ51,FIND(Stammdaten!$CA$4,VJ51,1)-2),IFERROR(LEFT(VJ51,FIND(Stammdaten!$CC$3,VJ51,1)-2),VJ51))</f>
        <v>Erste Spielsportart</v>
      </c>
      <c r="VT51" s="97" t="str">
        <f ca="1">IF(NOT(ISERROR(FIND(Stammdaten!$CA$4,VJ51,1))),Stammdaten!$CA$4,IF(VU51&lt;&gt;Stammdaten!$CC$3,VR51,""))</f>
        <v>nicht durchgeführt</v>
      </c>
      <c r="VU51" s="91" t="str">
        <f ca="1">IF(VN51=$A$2,Stammdaten!$CC$3,VO51)</f>
        <v/>
      </c>
      <c r="VV51" s="91" t="str" cm="1">
        <f t="array" aca="1" ref="VV51" ca="1">IFERROR(INDIRECT(ADDRESS(ROW($TW$5),VH51)),VH51)</f>
        <v>Zweite Spielsportart nicht durchgeführt</v>
      </c>
      <c r="VW51" s="97" t="str">
        <f t="shared" ca="1" si="223"/>
        <v/>
      </c>
      <c r="VX51" s="97" t="str" cm="1">
        <f t="array" aca="1" ref="VX51" ca="1">IFERROR(IF(INDIRECT(INDEX(INDIRECT(VX$5),MATCH(VV51,INDIRECT(VX$4),0)))&lt;&gt;"",INDEX(INDIRECT(VX$5),MATCH(VV51,INDIRECT(VX$4),0)),INDEX(INDIRECT(VX$6),MATCH(VV51,INDIRECT(VX$4),0))),"")</f>
        <v/>
      </c>
      <c r="VY51" s="97" t="str">
        <f t="shared" ca="1" si="224"/>
        <v/>
      </c>
      <c r="VZ51" s="97" t="str" cm="1">
        <f t="array" aca="1" ref="VZ51" ca="1">IFERROR(INDIRECT(VX51),"")</f>
        <v/>
      </c>
      <c r="WA51" s="97" t="str">
        <f ca="1">IF(VZ51="","",IF(AND(VW51=Stammdaten!$BX$20,VY51="0",VZ51=1),SUBSTITUTE(TEXT(VZ51,VY51)&amp;" "&amp;LEFT(VW51,LEN(VW51)-1),".",","),SUBSTITUTE(TEXT(VZ51,VY51)&amp;" "&amp;VW51,".",",")))</f>
        <v/>
      </c>
      <c r="WB51" s="97" t="str">
        <f t="shared" ca="1" si="121"/>
        <v/>
      </c>
      <c r="WC51" s="97" t="str" cm="1">
        <f t="array" aca="1" ref="WC51" ca="1">IFERROR(LEFT(INDIRECT(WB51),1)&amp;"]","")</f>
        <v/>
      </c>
      <c r="WD51" s="97" t="str">
        <f t="shared" ca="1" si="122"/>
        <v/>
      </c>
      <c r="WE51" s="97" t="str">
        <f ca="1">IFERROR(LEFT(VV51,FIND(Stammdaten!$CA$4,VV51,1)-2),IFERROR(LEFT(VV51,FIND(Stammdaten!$CC$3,VV51,1)-2),VV51))</f>
        <v>Zweite Spielsportart</v>
      </c>
      <c r="WF51" s="97" t="str">
        <f ca="1">IF(NOT(ISERROR(FIND(Stammdaten!$CA$4,VV51,1))),Stammdaten!$CA$4,IF(WG51&lt;&gt;Stammdaten!$CC$3,WD51,""))</f>
        <v>nicht durchgeführt</v>
      </c>
      <c r="WG51" s="91" t="str">
        <f ca="1">IF(VZ51=$A$2,Stammdaten!$CC$3,WA51)</f>
        <v/>
      </c>
      <c r="WH51" s="91" t="str" cm="1">
        <f t="array" aca="1" ref="WH51" ca="1">IFERROR(INDIRECT(ADDRESS(ROW($TW$5),VI51)),VI51)</f>
        <v>Dritte Spielsportart nicht durchgeführt</v>
      </c>
      <c r="WI51" s="97" t="str">
        <f t="shared" ca="1" si="225"/>
        <v/>
      </c>
      <c r="WJ51" s="97" t="str" cm="1">
        <f t="array" aca="1" ref="WJ51" ca="1">IFERROR(IF(INDIRECT(INDEX(INDIRECT(WJ$5),MATCH(WH51,INDIRECT(WJ$4),0)))&lt;&gt;"",INDEX(INDIRECT(WJ$5),MATCH(WH51,INDIRECT(WJ$4),0)),INDEX(INDIRECT(WJ$6),MATCH(WH51,INDIRECT(WJ$4),0))),"")</f>
        <v/>
      </c>
      <c r="WK51" s="97" t="str">
        <f t="shared" ca="1" si="226"/>
        <v/>
      </c>
      <c r="WL51" s="97" t="str" cm="1">
        <f t="array" aca="1" ref="WL51" ca="1">IFERROR(INDIRECT(WJ51),"")</f>
        <v/>
      </c>
      <c r="WM51" s="97" t="str">
        <f ca="1">IF(WL51="","",IF(AND(WI51=Stammdaten!$BX$20,WK51="0",WL51=1),SUBSTITUTE(TEXT(WL51,WK51)&amp;" "&amp;LEFT(WI51,LEN(WI51)-1),".",","),SUBSTITUTE(TEXT(WL51,WK51)&amp;" "&amp;WI51,".",",")))</f>
        <v/>
      </c>
      <c r="WN51" s="97" t="str">
        <f t="shared" ca="1" si="123"/>
        <v/>
      </c>
      <c r="WO51" s="97" t="str" cm="1">
        <f t="array" aca="1" ref="WO51" ca="1">IFERROR(LEFT(INDIRECT(WN51),1)&amp;"]","")</f>
        <v/>
      </c>
      <c r="WP51" s="97" t="str">
        <f t="shared" ca="1" si="124"/>
        <v/>
      </c>
      <c r="WQ51" s="97" t="str">
        <f ca="1">IFERROR(LEFT(WH51,FIND(Stammdaten!$CA$4,WH51,1)-2),IFERROR(LEFT(WH51,FIND(Stammdaten!$CC$3,WH51,1)-2),WH51))</f>
        <v>Dritte Spielsportart</v>
      </c>
      <c r="WR51" s="97" t="str">
        <f ca="1">IF(NOT(ISERROR(FIND(Stammdaten!$CA$4,WH51,1))),Stammdaten!$CA$4,IF(WS51&lt;&gt;Stammdaten!$CC$3,WP51,""))</f>
        <v>nicht durchgeführt</v>
      </c>
      <c r="WS51" s="91" t="str">
        <f ca="1">IF(WL51=$A$2,Stammdaten!$CC$3,WM51)</f>
        <v/>
      </c>
      <c r="WT51" s="97" t="str" cm="1">
        <f t="array" aca="1" ref="WT51" ca="1">INDIRECT(WT$5)</f>
        <v/>
      </c>
      <c r="WU51" s="97" t="str" cm="1">
        <f t="array" aca="1" ref="WU51" ca="1">INDIRECT(WU$5)</f>
        <v/>
      </c>
      <c r="WV51" s="97" t="str" cm="1">
        <f t="array" aca="1" ref="WV51" ca="1">INDIRECT(WV$5)</f>
        <v/>
      </c>
      <c r="WW51" s="97" t="str" cm="1">
        <f t="array" aca="1" ref="WW51" ca="1">INDIRECT(WW$5)</f>
        <v/>
      </c>
      <c r="WX51" s="97" t="str" cm="1">
        <f t="array" aca="1" ref="WX51" ca="1">INDIRECT(WX$5)</f>
        <v/>
      </c>
      <c r="WY51" s="97" cm="1">
        <f t="array" aca="1" ref="WY51" ca="1">IF(INDIRECT(WY$5)&lt;&gt;"",INDIRECT(WY$5),0)</f>
        <v>0</v>
      </c>
      <c r="WZ51" s="97" cm="1">
        <f t="array" aca="1" ref="WZ51" ca="1">IF(INDIRECT(WZ$5)&lt;&gt;"",INDIRECT(WZ$5),0)</f>
        <v>0</v>
      </c>
      <c r="XA51" s="97" cm="1">
        <f t="array" aca="1" ref="XA51" ca="1">IF(INDIRECT(XA$5)&lt;&gt;"",INDIRECT(XA$5),0)</f>
        <v>0</v>
      </c>
      <c r="XB51" s="97" cm="1">
        <f t="array" aca="1" ref="XB51" ca="1">IF(INDIRECT(XB$5)&lt;&gt;"",INDIRECT(XB$5),0)</f>
        <v>0</v>
      </c>
      <c r="XC51" s="97" cm="1">
        <f t="array" aca="1" ref="XC51" ca="1">IF(INDIRECT(XC$5)&lt;&gt;"",INDIRECT(XC$5),0)</f>
        <v>0</v>
      </c>
      <c r="XD51" s="97">
        <f t="shared" ca="1" si="125"/>
        <v>0</v>
      </c>
      <c r="XE51" s="97">
        <f t="shared" ca="1" si="125"/>
        <v>0</v>
      </c>
      <c r="XF51" s="97">
        <f t="shared" ca="1" si="125"/>
        <v>0</v>
      </c>
      <c r="XG51" s="97">
        <f t="shared" ca="1" si="227"/>
        <v>0</v>
      </c>
      <c r="XH51" s="108">
        <f t="shared" ca="1" si="228"/>
        <v>0</v>
      </c>
      <c r="XI51" s="108">
        <f t="shared" ca="1" si="126"/>
        <v>0</v>
      </c>
      <c r="XJ51" s="108" t="str">
        <f t="shared" ca="1" si="229"/>
        <v/>
      </c>
      <c r="XK51" s="97" t="str">
        <f ca="1">IF(XJ51="",Stammdaten!$BZ$1,IF(AND(XH51=0,XI51&gt;=XJ$25),$A$3,ROUND(SUM(XG51/XJ51)/XK$25,0)*XK$25))</f>
        <v>Zu wenige Werte</v>
      </c>
      <c r="XL51" s="108">
        <f t="shared" ca="1" si="230"/>
        <v>6</v>
      </c>
      <c r="XM51" s="97" t="str">
        <f t="shared" ca="1" si="231"/>
        <v/>
      </c>
      <c r="XN51" s="97" t="str">
        <f t="shared" ca="1" si="232"/>
        <v/>
      </c>
      <c r="XO51" s="97" t="str">
        <f t="shared" ca="1" si="233"/>
        <v/>
      </c>
      <c r="XP51" s="97" t="str">
        <f t="shared" ca="1" si="234"/>
        <v/>
      </c>
      <c r="XQ51" s="97" t="str">
        <f t="shared" ca="1" si="235"/>
        <v>g</v>
      </c>
      <c r="XR51" s="97" t="str">
        <f t="shared" ca="1" si="236"/>
        <v/>
      </c>
      <c r="XS51" s="97">
        <f t="shared" ca="1" si="237"/>
        <v>1</v>
      </c>
      <c r="XT51" s="97" t="str">
        <f ca="1">IF(OR(Geschlecht[[#This Row],[Geschlecht (Skala)]]="",NOT(ISNUMBER(XJ51))),"",XS51)</f>
        <v/>
      </c>
      <c r="XU51" s="97" t="str">
        <f t="shared" ca="1" si="238"/>
        <v/>
      </c>
      <c r="XV51" s="97"/>
      <c r="XW51" s="308" t="str">
        <f t="shared" ca="1" si="127"/>
        <v>Zu wenige Werte</v>
      </c>
      <c r="XX51" s="97"/>
      <c r="XY51" s="97" t="str">
        <f t="shared" ca="1" si="128"/>
        <v>Zu wenige Werte</v>
      </c>
      <c r="XZ51" s="97" t="str">
        <f t="shared" ca="1" si="129"/>
        <v>Zu wenige Werte</v>
      </c>
      <c r="YA51" s="97" t="str">
        <f t="shared" ca="1" si="130"/>
        <v>Zu wenige Werte</v>
      </c>
      <c r="YB51" s="97" t="str">
        <f t="shared" ca="1" si="131"/>
        <v>Zu wenige Werte</v>
      </c>
      <c r="YC51" s="97">
        <f t="shared" ca="1" si="239"/>
        <v>0</v>
      </c>
      <c r="YD51" s="108">
        <f t="shared" ca="1" si="240"/>
        <v>0</v>
      </c>
      <c r="YE51" s="108">
        <f t="shared" ca="1" si="241"/>
        <v>0</v>
      </c>
      <c r="YF51" s="108" t="str">
        <f t="shared" ca="1" si="242"/>
        <v/>
      </c>
      <c r="YG51" s="97" t="str">
        <f ca="1">IF(YF51="",Stammdaten!$BZ$1,IF(YE51=YF$25,$A$3,ROUND(SUM(YC51/YF51)/YG$25,0)*YG$25))</f>
        <v>Zu wenige Werte</v>
      </c>
      <c r="YH51" s="97" t="str">
        <f ca="1">IF(NOT(ISNUMBER(XY51)),"",IF(YH$11&lt;&gt;"2+",TEXT(XY51,YH$11)&amp;" / ",IF(RIGHT(XY51*100,2)="00",TEXT(XY51,"0"&amp;Stammdaten!$AZ$3&amp;"0")&amp;" / ",XY51&amp;" / ")))</f>
        <v/>
      </c>
      <c r="YI51" s="97" t="str">
        <f ca="1">IF(NOT(ISNUMBER(XZ51)),"",IF(YI$11&lt;&gt;"2+",TEXT(XZ51,YI$11)&amp;" / ",IF(RIGHT(XZ51*100,2)="00",TEXT(XZ51,"0"&amp;Stammdaten!$AZ$3&amp;"0")&amp;" / ",XZ51&amp;" / ")))</f>
        <v/>
      </c>
      <c r="YJ51" s="97" t="str">
        <f ca="1">IF(NOT(ISNUMBER(YA51)),"",IF(YJ$11&lt;&gt;"2+",TEXT(YA51,YJ$11)&amp;" / ",IF(RIGHT(YA51*100,2)="00",TEXT(YA51,"0"&amp;Stammdaten!$AZ$3&amp;"0")&amp;" / ",YA51&amp;" / ")))</f>
        <v/>
      </c>
      <c r="YK51" s="97" t="str">
        <f ca="1">IF(NOT(ISNUMBER(YB51)),"",IF(YK$11&lt;&gt;"2+",TEXT(YB51,YK$11)&amp;" / ",IF(RIGHT(YB51*100,2)="00",TEXT(YB51,"0"&amp;Stammdaten!$AZ$3&amp;"0")&amp;" / ",YB51&amp;" / ")))</f>
        <v/>
      </c>
      <c r="YL51" s="97" t="str">
        <f t="shared" ca="1" si="243"/>
        <v/>
      </c>
      <c r="YM51" s="97" t="str">
        <f>IF(Geschlecht[[#This Row],[Geschlecht (Skala)]]="","",IF(ISNUMBER(XY51),1,IF(XY51=$A$3,$A$2,"R")))</f>
        <v/>
      </c>
      <c r="YN51" s="97" t="str">
        <f>IF(Geschlecht[[#This Row],[Geschlecht (Skala)]]="","",IF(ISNUMBER(XZ51),1,IF(XZ51=$A$3,$A$2,"R")))</f>
        <v/>
      </c>
      <c r="YO51" s="97" t="str">
        <f>IF(Geschlecht[[#This Row],[Geschlecht (Skala)]]="","",IF(ISNUMBER(YA51),1,IF(YA51=$A$3,$A$2,"R")))</f>
        <v/>
      </c>
      <c r="YP51" s="97" t="str">
        <f>IF(Geschlecht[[#This Row],[Geschlecht (Skala)]]="","",IF(ISNUMBER(YB51),1,IF(YB51=$A$3,$A$2,"R")))</f>
        <v/>
      </c>
      <c r="YQ51" s="97" t="str">
        <f t="shared" si="244"/>
        <v>g</v>
      </c>
      <c r="YR51" s="97" t="str">
        <f t="shared" ca="1" si="245"/>
        <v/>
      </c>
      <c r="YS51" s="97">
        <f t="shared" ca="1" si="246"/>
        <v>1</v>
      </c>
      <c r="YT51" s="97" t="str">
        <f ca="1">IF(OR(Geschlecht[[#This Row],[Geschlecht (Skala)]]="",NOT(ISNUMBER(YG51))),"",YS51)</f>
        <v/>
      </c>
      <c r="YU51" s="97"/>
      <c r="YV51" s="311" t="str">
        <f t="shared" si="247"/>
        <v>D</v>
      </c>
      <c r="YW51" s="302"/>
      <c r="YX51" s="311" t="str">
        <f t="shared" si="248"/>
        <v>D</v>
      </c>
      <c r="YY51" s="302"/>
      <c r="YZ51" s="311" t="str">
        <f t="shared" si="249"/>
        <v>D</v>
      </c>
      <c r="ZA51" s="302"/>
      <c r="ZB51" s="311" t="str">
        <f t="shared" si="250"/>
        <v>D</v>
      </c>
      <c r="ZC51" s="97"/>
      <c r="ZD51" s="97" t="str">
        <f t="shared" ca="1" si="132"/>
        <v/>
      </c>
      <c r="ZE51" s="97"/>
      <c r="ZF51" s="308" t="str">
        <f t="shared" ca="1" si="251"/>
        <v>Zu wenige Werte</v>
      </c>
      <c r="ZH51" s="317" t="s">
        <v>134</v>
      </c>
      <c r="ZJ51" s="91" t="str" cm="1">
        <f t="array" ref="ZJ51">IF(OR(Geschlecht[[#This Row],[Geschlecht (Skala)]]="",ZH51="",ZH51=Stammdaten!$BZ$5),"",REPLACE(INDEX(StdDisziplinen[TabÜberschriftNote],ZH$3),FIND("X",INDEX(StdDisziplinen[TabÜberschriftNote],ZH$3),1),1,Geschlecht[[#This Row],[Geschlecht (Skala)]]))</f>
        <v/>
      </c>
      <c r="ZK51" s="314"/>
      <c r="ZM51" s="315"/>
      <c r="ZN51" s="97" t="str">
        <f>IFERROR(IFERROR(SUBSTITUTE(SchwimmenResultatMin[[#This Row],[Min]],".",",")*1,SUBSTITUTE(SchwimmenResultatMin[[#This Row],[Min]],",",".")*1),"")</f>
        <v/>
      </c>
      <c r="ZO51" s="91" t="e">
        <f>INT(SchwimmenResultatMin[[#This Row],[Resultat]])=SchwimmenResultatMin[[#This Row],[Resultat]]</f>
        <v>#VALUE!</v>
      </c>
      <c r="ZP51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1" s="315"/>
      <c r="ZS51" s="97" t="str">
        <f>IFERROR(IFERROR(SUBSTITUTE(SchwimmenResultatSek[[#This Row],[Sek]],".",",")*1,SUBSTITUTE(SchwimmenResultatSek[[#This Row],[Sek]],",",".")*1),"")</f>
        <v/>
      </c>
      <c r="ZT51" s="108" t="e">
        <f>INT(SchwimmenResultatSek[[#This Row],[Resultat]])=SchwimmenResultatSek[[#This Row],[Resultat]]</f>
        <v>#VALUE!</v>
      </c>
      <c r="ZU51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1" s="97" t="str" cm="1">
        <f t="array" aca="1" ref="ZW51" ca="1">IF(AND(INDIRECT(ZW$2)="",INDIRECT(ZX$2)=""),"",IFERROR((INDIRECT(ZW$2)*$ZW$25)+INDIRECT(ZX$2),""))</f>
        <v/>
      </c>
      <c r="ZX51" s="91" t="str">
        <f ca="1">REPLACE(ZW$4,ZX$6,1,Geschlecht[[#This Row],[Geschlecht (Skala)]])</f>
        <v>Schwimmen_[Resultat]</v>
      </c>
      <c r="ZY51" s="91" t="str">
        <f ca="1">IFERROR(REPLACE($ZX51,FIND(Stammdaten!$V$2,$ZX51,1),LEN(Stammdaten!$V$2),Stammdaten!$BZ$9),"")</f>
        <v>Schwimmen_[Anzeige]</v>
      </c>
      <c r="ZZ51" s="97" t="str" cm="1">
        <f t="array" aca="1" ref="ZZ51" ca="1">IF(INDIRECT(ZW$3)="","",IF(INDIRECT(ZW$3)=0,0,IF(OR(INDIRECT(ZW$1)=$A$2,INDIRECT(ZW$1)=$A$3),$A$3,IFERROR(INDEX(INDIRECT(ZX51),MATCH(INDIRECT(ZW$3),INDIRECT(ZX51),ZY$25)),IFERROR(IF(ZY$25=-1,MAX(INDIRECT(ZX51)),IF(ZY$25=1,MIN(INDIRECT(ZX51)))),"")))))</f>
        <v/>
      </c>
      <c r="AAA51" s="97" t="str" cm="1">
        <f t="array" aca="1" ref="AAA51" ca="1">IF(INDIRECT(ZX$5)=0,0,IF(OR(INDIRECT(ZW$1)=$A$2,INDIRECT(ZW$1)=$A$3),$A$3,IFERROR(INDEX(INDIRECT($ZY51),MATCH(INDIRECT(ZX$5),INDIRECT($ZX51),0)),"")))</f>
        <v/>
      </c>
      <c r="AAC51" s="91" t="str">
        <f ca="1">REPLACE(ZW$6,ZX$6,1,Geschlecht[[#This Row],[Geschlecht (Skala)]])</f>
        <v>Schwimmen_[Note]</v>
      </c>
      <c r="AAD51" s="97" t="str" cm="1">
        <f t="array" aca="1" ref="AAD51" ca="1">IFERROR(INDEX(INDIRECT(AAC51),MATCH(INDIRECT(ZX$5),INDIRECT(ZX51),0)),IF(INDIRECT(ZX$5)=0,1,""))</f>
        <v/>
      </c>
      <c r="AAE51" s="97"/>
      <c r="AAF51" s="96" t="str">
        <f>ZwölfMinLaufHalleResultat[[#This Row],[Resultat]]</f>
        <v/>
      </c>
      <c r="AAG51" s="96"/>
      <c r="AAH51" s="97" t="str">
        <f ca="1">ZwölfMinLaufHalleSkalawert[[#This Row],[Skala-Wert]]</f>
        <v/>
      </c>
      <c r="AAJ51" s="97" t="str">
        <f ca="1">ZwölfMinLaufHalleNote[[#This Row],[Note]]</f>
        <v/>
      </c>
      <c r="AAK51" s="97"/>
      <c r="AAL51" s="96" t="str">
        <f>ZwölfMinLaufimFreienResultat[[#This Row],[Resultat]]</f>
        <v/>
      </c>
      <c r="AAM51" s="96"/>
      <c r="AAN51" s="97" t="str">
        <f ca="1">ZwölfMinLaufimFreienSkalawert[[#This Row],[Skala-Wert]]</f>
        <v/>
      </c>
      <c r="AAP51" s="97" t="str">
        <f ca="1">ZwölfMinLaufimFreienNote[[#This Row],[Note]]</f>
        <v/>
      </c>
      <c r="AAQ51" s="97"/>
      <c r="AAR51" s="307"/>
      <c r="AAS51" s="96" t="str">
        <f>IFERROR(IFERROR(SUBSTITUTE(BeweglichkeitResultat[[#This Row],[Eingabe]],".",",")*1,SUBSTITUTE(BeweglichkeitResultat[[#This Row],[Eingabe]],",",".")*1),"")</f>
        <v/>
      </c>
      <c r="AAT51" s="96" t="e">
        <f>INT(BeweglichkeitResultat[[#This Row],[Resultat]])=BeweglichkeitResultat[[#This Row],[Resultat]]</f>
        <v>#VALUE!</v>
      </c>
      <c r="AAU51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1" s="96"/>
      <c r="AAW51" s="91" t="str" cm="1">
        <f t="array" aca="1" ref="AAW51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1" s="96" t="str">
        <f ca="1">REPLACE(AAW$4,AAX$6,1,Geschlecht[[#This Row],[Geschlecht (Skala)]])</f>
        <v>Beweglichkeit_[Resultat]</v>
      </c>
      <c r="AAY51" s="96" t="str" cm="1">
        <f t="array" aca="1" ref="AAY51" ca="1">IF(OR(INDIRECT(AAW$1)=$A$2,INDIRECT(AAW$1)=$A$3),$A$3,IF(OR(INDIRECT(AAW$2)="",AND(Geschlecht[[#This Row],[Geschlecht (Skala)]]=Stammdaten!$D$7,INDIRECT(AAW$2)&lt;0)),"",IFERROR(INDEX(INDIRECT(AAX51),MATCH(INDIRECT(AAW$3),INDIRECT(AAX51),AAX$25)),IFERROR(IF(AAX$25=-1,MAX(INDIRECT(AAX51)),IF(AAX$25=1,MIN(INDIRECT(AAX51)))),""))))</f>
        <v/>
      </c>
      <c r="AAZ51" s="97" t="str" cm="1">
        <f t="array" aca="1" ref="AAZ51" ca="1">IF(INDIRECT(AAW$1)="","",IF(INDIRECT(AAW$1)=0,0,IF(OR(INDIRECT(AAW$1)=$A$2,INDIRECT(AAW$1)=$A$3),$A$3,IFERROR(INDEX(INDIRECT(AAY51),MATCH(INDIRECT(AAW$3),INDIRECT(AAY51),AAY$27)),IFERROR(IF(AAY$27=-1,MAX(INDIRECT(AAY51)),IF(AAY$27=1,MIN(INDIRECT(AAY51)))),"")))))</f>
        <v/>
      </c>
      <c r="ABA51" s="96" t="str">
        <f ca="1">REPLACE(AAW$6,AAX$6,1,Geschlecht[[#This Row],[Geschlecht (Skala)]])</f>
        <v>Beweglichkeit_[Note]</v>
      </c>
      <c r="ABB51" s="91" t="str" cm="1">
        <f t="array" aca="1" ref="ABB51" ca="1">IFERROR(INDEX(INDIRECT(ABA51),MATCH(INDIRECT(AAW$5),INDIRECT(AAX51),0)),"")</f>
        <v/>
      </c>
      <c r="ABC51" s="97" t="str" cm="1">
        <f t="array" aca="1" ref="ABC51" ca="1">IFERROR(INDEX(INDIRECT(ABB51),MATCH(INDIRECT(AAW$5),INDIRECT(AAY51),0)),"")</f>
        <v/>
      </c>
      <c r="ABD51" s="307"/>
      <c r="ABE51" s="96" t="str">
        <f>IFERROR(IFERROR(SUBSTITUTE(RumpfkraftResultat[[#This Row],[Eingabe]],".",",")*1,SUBSTITUTE(RumpfkraftResultat[[#This Row],[Eingabe]],",",".")*1),"")</f>
        <v/>
      </c>
      <c r="ABF51" s="96" t="e">
        <f>INT(RumpfkraftResultat[[#This Row],[Resultat]])=RumpfkraftResultat[[#This Row],[Resultat]]</f>
        <v>#VALUE!</v>
      </c>
      <c r="ABG51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1" s="96"/>
      <c r="ABI51" s="91" t="str" cm="1">
        <f t="array" aca="1" ref="ABI51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1" s="96" t="str">
        <f ca="1">REPLACE(ABI$4,ABJ$6,1,Geschlecht[[#This Row],[Geschlecht (Skala)]])</f>
        <v>Rumpfkraft_[Resultat]</v>
      </c>
      <c r="ABK51" s="97" t="str" cm="1">
        <f t="array" aca="1" ref="ABK51" ca="1">IF(INDIRECT(ABI$1)="","",IF(OR(INDIRECT(ABI$1)=$A$2,INDIRECT(ABI$1)=$A$3),$A$3,IFERROR(INDEX(INDIRECT(ABJ51),MATCH(INDIRECT(ABI$3),INDIRECT(ABJ51),ABJ$25)),IFERROR(IF(ABJ$25=-1,MAX(INDIRECT(ABJ51)),IF(ABJ$25=1,MIN(INDIRECT(ABJ51)))),""))))</f>
        <v/>
      </c>
      <c r="ABM51" s="91" t="str">
        <f ca="1">REPLACE(ABI$6,ABJ$6,1,Geschlecht[[#This Row],[Geschlecht (Skala)]])</f>
        <v>Rumpfkraft_[Note]</v>
      </c>
      <c r="ABN51" s="97" t="str" cm="1">
        <f t="array" aca="1" ref="ABN51" ca="1">IFERROR(INDEX(INDIRECT(ABM51),MATCH(INDIRECT(ABI$5),INDIRECT(ABJ51),0)),"")</f>
        <v/>
      </c>
      <c r="ABO51" s="97"/>
      <c r="ABP51" s="96" t="str">
        <f>SechzigmLaufResultat[[#This Row],[Resultat]]</f>
        <v/>
      </c>
      <c r="ABQ51" s="96"/>
      <c r="ABR51" s="97" t="str">
        <f ca="1">SechzigmLaufSkalawert[[#This Row],[Skala-Wert]]</f>
        <v/>
      </c>
      <c r="ABT51" s="97" t="str">
        <f ca="1">SechzigmLaufNote[[#This Row],[Note]]</f>
        <v/>
      </c>
      <c r="ABU51" s="97"/>
      <c r="ABV51" s="96" t="str">
        <f>AchtzigmLaufResultat[[#This Row],[Resultat]]</f>
        <v/>
      </c>
      <c r="ABW51" s="96"/>
      <c r="ABX51" s="97" t="str">
        <f ca="1">AchtzigmLaufSkalawert[[#This Row],[Skala-Wert]]</f>
        <v/>
      </c>
      <c r="ABZ51" s="97" t="str">
        <f ca="1">AchtzigmLaufNote[[#This Row],[Note]]</f>
        <v/>
      </c>
      <c r="ACA51" s="97"/>
      <c r="ACB51" s="307"/>
      <c r="ACC51" s="96" t="str">
        <f>IFERROR(IFERROR(SUBSTITUTE(KonditionsparcoursResultat[[#This Row],[Eingabe]],".",",")*1,SUBSTITUTE(KonditionsparcoursResultat[[#This Row],[Eingabe]],",",".")*1),"")</f>
        <v/>
      </c>
      <c r="ACD51" s="96" t="e">
        <f>INT(KonditionsparcoursResultat[[#This Row],[Resultat]])=KonditionsparcoursResultat[[#This Row],[Resultat]]</f>
        <v>#VALUE!</v>
      </c>
      <c r="ACE51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1" s="96"/>
      <c r="ACG51" s="91" t="str" cm="1">
        <f t="array" aca="1" ref="ACG51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1" s="96" t="str">
        <f ca="1">LEFT(Geschlecht[[#This Row],[Geschlecht (Skala)]],1)&amp;ACM$4</f>
        <v>2</v>
      </c>
      <c r="ACI51" s="96" t="str">
        <f t="shared" ca="1" si="133"/>
        <v>Konditionsparcours_2[Resultat]</v>
      </c>
      <c r="ACJ51" s="97" t="str" cm="1">
        <f t="array" aca="1" ref="ACJ51" ca="1">IF(INDIRECT(ACG$1)="","",IF(OR(INDIRECT(ACG$1)=$A$2,INDIRECT(ACG$1)=$A$3),$A$3,IFERROR(INDEX(INDIRECT(ACI51),MATCH(INDIRECT(ACG$3),INDIRECT(ACI51),ACI$25)),IFERROR(IF(ACI$25=-1,MAX(INDIRECT(ACI51)),IF(ACI$25=1,MIN(INDIRECT(ACI51)))),""))))</f>
        <v/>
      </c>
      <c r="ACL51" s="91" t="str">
        <f t="shared" ca="1" si="134"/>
        <v>Konditionsparcours_2[Note]</v>
      </c>
      <c r="ACM51" s="97" t="str" cm="1">
        <f t="array" aca="1" ref="ACM51" ca="1">IFERROR(INDEX(INDIRECT(ACL51),MATCH(INDIRECT(ACG$5),INDIRECT(ACI51),0)),"")</f>
        <v/>
      </c>
      <c r="ACN51" s="102"/>
    </row>
    <row r="52" spans="1:768">
      <c r="A52" s="305">
        <v>25</v>
      </c>
      <c r="B52" s="133"/>
      <c r="C52" s="133"/>
      <c r="E52" s="306"/>
      <c r="G52" s="307"/>
      <c r="H52" s="96" t="str">
        <f>IFERROR(IFERROR(SUBSTITUTE(SechzigmLaufResultat[[#This Row],[Eingabe]],".",",")*1,SUBSTITUTE(SechzigmLaufResultat[[#This Row],[Eingabe]],",",".")*1),"")</f>
        <v/>
      </c>
      <c r="I52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2" s="96"/>
      <c r="K52" s="91" t="str" cm="1">
        <f t="array" aca="1" ref="K52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2" s="96" t="str">
        <f ca="1">LEFT(Geschlecht[[#This Row],[Geschlecht (Skala)]],1)&amp;Q$4</f>
        <v>2</v>
      </c>
      <c r="M52" s="96" t="str">
        <f t="shared" ca="1" si="37"/>
        <v>SechzigmLauf_2[Resultat]</v>
      </c>
      <c r="N52" s="97" t="str" cm="1">
        <f t="array" aca="1" ref="N52" ca="1">IF(INDIRECT(K$1)="","",IF(INDIRECT(K$2)=0,0,IF(OR(INDIRECT(K$1)=$A$2,INDIRECT(K$1)=$A$3),$A$3,IFERROR(INDEX(INDIRECT(M52),MATCH(INDIRECT(K$3),INDIRECT(M52),M$25)),IFERROR(IF(M$25=-1,MAX(INDIRECT(M52)),IF(M$25=1,MIN(INDIRECT(M52)))),"")))))</f>
        <v/>
      </c>
      <c r="P52" s="91" t="str">
        <f t="shared" ca="1" si="38"/>
        <v>SechzigmLauf_2[Note]</v>
      </c>
      <c r="Q52" s="97" t="str" cm="1">
        <f t="array" aca="1" ref="Q52" ca="1">IFERROR(INDEX(INDIRECT(P52),MATCH(INDIRECT(K$5),INDIRECT(M52),0)),IF(INDIRECT(K$5)=0,1,""))</f>
        <v/>
      </c>
      <c r="R52" s="97"/>
      <c r="S52" s="307"/>
      <c r="T52" s="96" t="str">
        <f>IFERROR(IFERROR(SUBSTITUTE(AchtzigmLaufResultat[[#This Row],[Eingabe]],".",",")*1,SUBSTITUTE(AchtzigmLaufResultat[[#This Row],[Eingabe]],",",".")*1),"")</f>
        <v/>
      </c>
      <c r="U52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2" s="96"/>
      <c r="W52" s="91" t="str" cm="1">
        <f t="array" aca="1" ref="W52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2" s="96" t="str">
        <f ca="1">LEFT(Geschlecht[[#This Row],[Geschlecht (Skala)]],1)&amp;AC$4</f>
        <v>2</v>
      </c>
      <c r="Y52" s="96" t="str">
        <f t="shared" ca="1" si="39"/>
        <v>AchtzigmLauf_2[Resultat]</v>
      </c>
      <c r="Z52" s="97" t="str" cm="1">
        <f t="array" aca="1" ref="Z52" ca="1">IF(INDIRECT(W$1)="","",IF(INDIRECT(W$2)=0,0,IF(OR(INDIRECT(W$1)=$A$2,INDIRECT(W$1)=$A$3),$A$3,IFERROR(INDEX(INDIRECT(Y52),MATCH(INDIRECT(W$3),INDIRECT(Y52),Y$25)),IFERROR(IF(Y$25=-1,MAX(INDIRECT(Y52)),IF(Y$25=1,MIN(INDIRECT(Y52)))),"")))))</f>
        <v/>
      </c>
      <c r="AB52" s="91" t="str">
        <f t="shared" ca="1" si="40"/>
        <v>AchtzigmLauf_2[Note]</v>
      </c>
      <c r="AC52" s="97" t="str" cm="1">
        <f t="array" aca="1" ref="AC52" ca="1">IFERROR(INDEX(INDIRECT(AB52),MATCH(INDIRECT(W$5),INDIRECT(Y52),0)),IF(INDIRECT(W$5)=0,1,""))</f>
        <v/>
      </c>
      <c r="AD52" s="97"/>
      <c r="AE52" s="307"/>
      <c r="AF52" s="96" t="str">
        <f>IFERROR(IFERROR(SUBSTITUTE(ZwölfMinLaufHalleResultat[[#This Row],[Eingabe]],".",",")*1,SUBSTITUTE(ZwölfMinLaufHalleResultat[[#This Row],[Eingabe]],",",".")*1),"")</f>
        <v/>
      </c>
      <c r="AG52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2" s="96"/>
      <c r="AI52" s="91" t="str" cm="1">
        <f t="array" aca="1" ref="AI52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2" s="96" t="str">
        <f ca="1">LEFT(Geschlecht[[#This Row],[Geschlecht (Skala)]],1)&amp;AO$4</f>
        <v>2</v>
      </c>
      <c r="AK52" s="96" t="str">
        <f t="shared" ca="1" si="41"/>
        <v>ZwölfMinLaufHalle_2[Resultat]</v>
      </c>
      <c r="AL52" s="97" t="str" cm="1">
        <f t="array" aca="1" ref="AL52" ca="1">IF(INDIRECT(AI$1)="","",IF(INDIRECT(AI$2)=0,0,IF(OR(INDIRECT(AI$1)=$A$2,INDIRECT(AI$1)=$A$3),$A$3,IFERROR(INDEX(INDIRECT(AK52),MATCH(INDIRECT(AI$3),INDIRECT(AK52),AK$25)),IFERROR(IF(AK$25=-1,MAX(INDIRECT(AK52)),IF(AK$25=1,MIN(INDIRECT(AK52)))),"")))))</f>
        <v/>
      </c>
      <c r="AN52" s="91" t="str">
        <f t="shared" ca="1" si="42"/>
        <v>ZwölfMinLaufHalle_2[Note]</v>
      </c>
      <c r="AO52" s="97" t="str" cm="1">
        <f t="array" aca="1" ref="AO52" ca="1">IFERROR(INDEX(INDIRECT(AN52),MATCH(INDIRECT(AI$5),INDIRECT(AK52),0)),IF(INDIRECT(AI$5)=0,1,""))</f>
        <v/>
      </c>
      <c r="AP52" s="97"/>
      <c r="AQ52" s="307"/>
      <c r="AR52" s="96" t="str">
        <f>IFERROR(IFERROR(SUBSTITUTE(ZwölfMinLaufimFreienResultat[[#This Row],[Eingabe]],".",",")*1,SUBSTITUTE(ZwölfMinLaufimFreienResultat[[#This Row],[Eingabe]],",",".")*1),"")</f>
        <v/>
      </c>
      <c r="AS52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2" s="96"/>
      <c r="AU52" s="91" t="str" cm="1">
        <f t="array" aca="1" ref="AU52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2" s="96" t="str">
        <f ca="1">LEFT(Geschlecht[[#This Row],[Geschlecht (Skala)]],1)&amp;BA$4</f>
        <v>2</v>
      </c>
      <c r="AW52" s="96" t="str">
        <f t="shared" ca="1" si="43"/>
        <v>ZwölfMinLaufimFreien_2[Resultat]</v>
      </c>
      <c r="AX52" s="97" t="str" cm="1">
        <f t="array" aca="1" ref="AX52" ca="1">IF(INDIRECT(AU$1)="","",IF(INDIRECT(AU$2)=0,0,IF(OR(INDIRECT(AU$1)=$A$2,INDIRECT(AU$1)=$A$3),$A$3,IFERROR(INDEX(INDIRECT(AW52),MATCH(INDIRECT(AU$3),INDIRECT(AW52),AW$25)),IFERROR(IF(AW$25=-1,MAX(INDIRECT(AW52)),IF(AW$25=1,MIN(INDIRECT(AW52)))),"")))))</f>
        <v/>
      </c>
      <c r="AZ52" s="91" t="str">
        <f t="shared" ca="1" si="44"/>
        <v>ZwölfMinLaufimFreien_2[Note]</v>
      </c>
      <c r="BA52" s="97" t="str" cm="1">
        <f t="array" aca="1" ref="BA52" ca="1">IFERROR(INDEX(INDIRECT(AZ52),MATCH(INDIRECT(AU$5),INDIRECT(AW52),0)),IF(INDIRECT(AU$5)=0,1,""))</f>
        <v/>
      </c>
      <c r="BB52" s="97"/>
      <c r="BC52" s="307"/>
      <c r="BD52" s="96" t="str">
        <f>IFERROR(IFERROR(SUBSTITUTE(HochsprungResultat[[#This Row],[Eingabe]],".",",")*1,SUBSTITUTE(HochsprungResultat[[#This Row],[Eingabe]],",",".")*1),"")</f>
        <v/>
      </c>
      <c r="BE52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2" s="96"/>
      <c r="BG52" s="91" t="str" cm="1">
        <f t="array" aca="1" ref="BG52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2" s="96" t="str">
        <f ca="1">LEFT(Geschlecht[[#This Row],[Geschlecht (Skala)]],1)&amp;BM$4</f>
        <v>2</v>
      </c>
      <c r="BI52" s="96" t="str">
        <f t="shared" ca="1" si="45"/>
        <v>Hochsprung_2[Resultat]</v>
      </c>
      <c r="BJ52" s="97" t="str" cm="1">
        <f t="array" aca="1" ref="BJ52" ca="1">IF(INDIRECT(BG$1)="","",IF(INDIRECT(BG$2)=0,0,IF(OR(INDIRECT(BG$1)=$A$2,INDIRECT(BG$1)=$A$3),$A$3,IFERROR(INDEX(INDIRECT(BI52),MATCH(INDIRECT(BG$3),INDIRECT(BI52),BI$25)),IFERROR(IF(BI$25=-1,MAX(INDIRECT(BI52)),IF(BI$25=1,MIN(INDIRECT(BI52)))),"")))))</f>
        <v/>
      </c>
      <c r="BL52" s="91" t="str">
        <f t="shared" ca="1" si="46"/>
        <v>Hochsprung_2[Note]</v>
      </c>
      <c r="BM52" s="97" t="str" cm="1">
        <f t="array" aca="1" ref="BM52" ca="1">IFERROR(INDEX(INDIRECT(BL52),MATCH(INDIRECT(BG$5),INDIRECT(BI52),0)),IF(INDIRECT(BG$5)=0,1,""))</f>
        <v/>
      </c>
      <c r="BN52" s="97"/>
      <c r="BO52" s="307"/>
      <c r="BP52" s="96" t="str">
        <f>IFERROR(IFERROR(SUBSTITUTE(WeitsprungResultat[[#This Row],[Eingabe]],".",",")*1,SUBSTITUTE(WeitsprungResultat[[#This Row],[Eingabe]],",",".")*1),"")</f>
        <v/>
      </c>
      <c r="BQ52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2" s="96"/>
      <c r="BS52" s="91" t="str" cm="1">
        <f t="array" aca="1" ref="BS52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2" s="96" t="str">
        <f ca="1">LEFT(Geschlecht[[#This Row],[Geschlecht (Skala)]],1)&amp;BY$4</f>
        <v>2</v>
      </c>
      <c r="BU52" s="96" t="str">
        <f t="shared" ca="1" si="47"/>
        <v>Weitsprung_2[Resultat]</v>
      </c>
      <c r="BV52" s="97" t="str" cm="1">
        <f t="array" aca="1" ref="BV52" ca="1">IF(INDIRECT(BS$1)="","",IF(INDIRECT(BS$2)=0,0,IF(OR(INDIRECT(BS$1)=$A$2,INDIRECT(BS$1)=$A$3),$A$3,IFERROR(INDEX(INDIRECT(BU52),MATCH(INDIRECT(BS$3),INDIRECT(BU52),BU$25)),IFERROR(IF(BU$25=-1,MAX(INDIRECT(BU52)),IF(BU$25=1,MIN(INDIRECT(BU52)))),"")))))</f>
        <v/>
      </c>
      <c r="BX52" s="91" t="str">
        <f t="shared" ca="1" si="48"/>
        <v>Weitsprung_2[Note]</v>
      </c>
      <c r="BY52" s="97" t="str" cm="1">
        <f t="array" aca="1" ref="BY52" ca="1">IFERROR(INDEX(INDIRECT(BX52),MATCH(INDIRECT(BS$5),INDIRECT(BU52),0)),IF(INDIRECT(BS$5)=0,1,""))</f>
        <v/>
      </c>
      <c r="BZ52" s="97"/>
      <c r="CA52" s="307"/>
      <c r="CB52" s="96" t="str">
        <f>IFERROR(IFERROR(SUBSTITUTE(BallwurfResultat[[#This Row],[Eingabe]],".",",")*1,SUBSTITUTE(BallwurfResultat[[#This Row],[Eingabe]],",",".")*1),"")</f>
        <v/>
      </c>
      <c r="CC52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2" s="96"/>
      <c r="CE52" s="91" t="str" cm="1">
        <f t="array" aca="1" ref="CE52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2" s="96" t="str">
        <f ca="1">LEFT(Geschlecht[[#This Row],[Geschlecht (Skala)]],1)&amp;CK$4</f>
        <v>2</v>
      </c>
      <c r="CG52" s="96" t="str">
        <f t="shared" ca="1" si="49"/>
        <v>Ballwurf_2[Resultat]</v>
      </c>
      <c r="CH52" s="97" t="str" cm="1">
        <f t="array" aca="1" ref="CH52" ca="1">IF(INDIRECT(CE$1)="","",IF(INDIRECT(CE$2)=0,0,IF(OR(INDIRECT(CE$1)=$A$2,INDIRECT(CE$1)=$A$3),$A$3,IFERROR(INDEX(INDIRECT(CG52),MATCH(INDIRECT(CE$3),INDIRECT(CG52),CG$25)),IFERROR(IF(CG$25=-1,MAX(INDIRECT(CG52)),IF(CG$25=1,MIN(INDIRECT(CG52)))),"")))))</f>
        <v/>
      </c>
      <c r="CJ52" s="91" t="str">
        <f t="shared" ca="1" si="50"/>
        <v>Ballwurf_2[Note]</v>
      </c>
      <c r="CK52" s="97" t="str" cm="1">
        <f t="array" aca="1" ref="CK52" ca="1">IFERROR(INDEX(INDIRECT(CJ52),MATCH(INDIRECT(CE$5),INDIRECT(CG52),0)),IF(INDIRECT(CE$5)=0,1,""))</f>
        <v/>
      </c>
      <c r="CL52" s="97"/>
      <c r="CM52" s="307"/>
      <c r="CN52" s="96" t="str">
        <f>IFERROR(IFERROR(SUBSTITUTE(KugelstossenResultat[[#This Row],[Eingabe]],".",",")*1,SUBSTITUTE(KugelstossenResultat[[#This Row],[Eingabe]],",",".")*1),"")</f>
        <v/>
      </c>
      <c r="CO52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2" s="96"/>
      <c r="CQ52" s="91" t="str" cm="1">
        <f t="array" aca="1" ref="CQ52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2" s="96" t="str">
        <f ca="1">LEFT(Geschlecht[[#This Row],[Geschlecht (Skala)]],1)&amp;CW$4</f>
        <v>2</v>
      </c>
      <c r="CS52" s="96" t="str">
        <f t="shared" ca="1" si="51"/>
        <v>Kugelstossen_2[Resultat]</v>
      </c>
      <c r="CT52" s="97" t="str" cm="1">
        <f t="array" aca="1" ref="CT52" ca="1">IF(INDIRECT(CQ$1)="","",IF(INDIRECT(CQ$2)=0,0,IF(OR(INDIRECT(CQ$1)=$A$2,INDIRECT(CQ$1)=$A$3),$A$3,IFERROR(INDEX(INDIRECT(CS52),MATCH(INDIRECT(CQ$3),INDIRECT(CS52),CS$25)),IFERROR(IF(CS$25=-1,MAX(INDIRECT(CS52)),IF(CS$25=1,MIN(INDIRECT(CS52)))),"")))))</f>
        <v/>
      </c>
      <c r="CV52" s="91" t="str">
        <f t="shared" ca="1" si="52"/>
        <v>Kugelstossen_2[Note]</v>
      </c>
      <c r="CW52" s="97" t="str" cm="1">
        <f t="array" aca="1" ref="CW52" ca="1">IFERROR(INDEX(INDIRECT(CV52),MATCH(INDIRECT(CQ$5),INDIRECT(CS52),0)),IF(INDIRECT(CQ$5)=0,1,""))</f>
        <v/>
      </c>
      <c r="CX52" s="97"/>
      <c r="CY52" s="307"/>
      <c r="CZ52" s="96" t="str">
        <f>IFERROR(IFERROR(SUBSTITUTE(SpeerwurfResultat[[#This Row],[Eingabe]],".",",")*1,SUBSTITUTE(SpeerwurfResultat[[#This Row],[Eingabe]],",",".")*1),"")</f>
        <v/>
      </c>
      <c r="DA52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2" s="96"/>
      <c r="DC52" s="91" t="str" cm="1">
        <f t="array" aca="1" ref="DC52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2" s="96" t="str">
        <f ca="1">LEFT(Geschlecht[[#This Row],[Geschlecht (Skala)]],1)&amp;DI$4</f>
        <v>2</v>
      </c>
      <c r="DE52" s="96" t="str">
        <f t="shared" ca="1" si="53"/>
        <v>Speerwurf_2[Resultat]</v>
      </c>
      <c r="DF52" s="97" t="str" cm="1">
        <f t="array" aca="1" ref="DF52" ca="1">IF(INDIRECT(DC$1)="","",IF(INDIRECT(DC$2)=0,0,IF(OR(INDIRECT(DC$1)=$A$2,INDIRECT(DC$1)=$A$3),$A$3,IFERROR(INDEX(INDIRECT(DE52),MATCH(INDIRECT(DC$3),INDIRECT(DE52),DE$25)),IFERROR(IF(DE$25=-1,MAX(INDIRECT(DE52)),IF(DE$25=1,MIN(INDIRECT(DE52)))),"")))))</f>
        <v/>
      </c>
      <c r="DH52" s="91" t="str">
        <f t="shared" ca="1" si="54"/>
        <v>Speerwurf_2[Note]</v>
      </c>
      <c r="DI52" s="97" t="str" cm="1">
        <f t="array" aca="1" ref="DI52" ca="1">IFERROR(INDEX(INDIRECT(DH52),MATCH(INDIRECT(DC$5),INDIRECT(DE52),0)),IF(INDIRECT(DC$5)=0,1,""))</f>
        <v/>
      </c>
      <c r="DJ52" s="97"/>
      <c r="DK52" s="97" t="str" cm="1">
        <f t="array" aca="1" ref="DK52" ca="1">INDIRECT(DK$5)</f>
        <v/>
      </c>
      <c r="DL52" s="97" t="str" cm="1">
        <f t="array" aca="1" ref="DL52" ca="1">INDIRECT(DL$5)</f>
        <v/>
      </c>
      <c r="DM52" s="97" t="str" cm="1">
        <f t="array" aca="1" ref="DM52" ca="1">INDIRECT(DM$5)</f>
        <v/>
      </c>
      <c r="DN52" s="97" t="str" cm="1">
        <f t="array" aca="1" ref="DN52" ca="1">INDIRECT(DN$5)</f>
        <v/>
      </c>
      <c r="DO52" s="97" t="str">
        <f t="shared" ca="1" si="135"/>
        <v>Sprintdisziplinen nicht durchgeführt</v>
      </c>
      <c r="DP52" s="97" t="str">
        <f t="shared" ca="1" si="136"/>
        <v/>
      </c>
      <c r="DQ52" s="108">
        <f t="shared" ca="1" si="137"/>
        <v>0</v>
      </c>
      <c r="DR52" s="108">
        <f t="shared" ca="1" si="138"/>
        <v>0</v>
      </c>
      <c r="DS52" s="108" t="str">
        <f t="shared" ca="1" si="139"/>
        <v/>
      </c>
      <c r="DT52" s="97" t="str">
        <f t="shared" ca="1" si="140"/>
        <v>Sprintdisziplinen nicht durchgeführt</v>
      </c>
      <c r="DU52" s="97" t="str">
        <f t="shared" ca="1" si="141"/>
        <v/>
      </c>
      <c r="DV52" s="97" t="str" cm="1">
        <f t="array" aca="1" ref="DV52" ca="1">IFERROR(IF(INDIRECT(INDEX(INDIRECT(DV$5),MATCH(DT52,INDIRECT(DV$4),0)))&lt;&gt;"",INDEX(INDIRECT(DV$5),MATCH(DT52,INDIRECT(DV$4),0)),INDEX(INDIRECT(DV$6),MATCH(DT52,INDIRECT(DV$4),0))),"")</f>
        <v/>
      </c>
      <c r="DW52" s="97" t="str">
        <f t="shared" ca="1" si="142"/>
        <v/>
      </c>
      <c r="DX52" s="97" t="str" cm="1">
        <f t="array" aca="1" ref="DX52" ca="1">IFERROR(INDIRECT(DV52),IF(NOT(ISERROR(FIND(Stammdaten!$CC$3,DT52,1))),$A$2,""))</f>
        <v/>
      </c>
      <c r="DY52" s="97" t="str">
        <f ca="1">IF(DX52="","",IF(AND(DU52=Stammdaten!$BX$20,DW52="0",DX52=1),SUBSTITUTE(TEXT(DX52,DW52)&amp;" "&amp;LEFT(DU52,LEN(DU52)-1),".",","),SUBSTITUTE(TEXT(DX52,DW52)&amp;" "&amp;DU52,".",",")))</f>
        <v/>
      </c>
      <c r="DZ52" s="97" t="str">
        <f t="shared" ca="1" si="55"/>
        <v/>
      </c>
      <c r="EA52" s="97" t="str" cm="1">
        <f t="array" aca="1" ref="EA52" ca="1">IFERROR(LEFT(INDIRECT(DZ52),1)&amp;"]","")</f>
        <v/>
      </c>
      <c r="EB52" s="97" t="str">
        <f t="shared" ca="1" si="56"/>
        <v/>
      </c>
      <c r="EC52" s="97" t="str">
        <f ca="1">IFERROR(LEFT(DT52,FIND(Stammdaten!$CA$4,DT52,1)-2),IFERROR(LEFT(DT52,FIND(Stammdaten!$CC$3,DT52,1)-2),DT52))</f>
        <v>Sprintdisziplinen</v>
      </c>
      <c r="ED52" s="97" t="str">
        <f ca="1">IF(NOT(ISERROR(FIND(Stammdaten!$CA$4,DT52,1))),Stammdaten!$CA$4,IF(EE52&lt;&gt;Stammdaten!$CC$3,EB52,""))</f>
        <v>nicht durchgeführt</v>
      </c>
      <c r="EE52" s="91" t="str">
        <f ca="1">IF(DX52=$A$2,Stammdaten!$CC$3,DY52)</f>
        <v/>
      </c>
      <c r="EF52" s="97" t="str" cm="1">
        <f t="array" aca="1" ref="EF52" ca="1">INDIRECT(EF$5)</f>
        <v/>
      </c>
      <c r="EG52" s="97" t="str" cm="1">
        <f t="array" aca="1" ref="EG52" ca="1">INDIRECT(EG$5)</f>
        <v/>
      </c>
      <c r="EH52" s="97" t="str" cm="1">
        <f t="array" aca="1" ref="EH52" ca="1">INDIRECT(EH$5)</f>
        <v/>
      </c>
      <c r="EI52" s="97" t="str" cm="1">
        <f t="array" aca="1" ref="EI52" ca="1">INDIRECT(EI$5)</f>
        <v/>
      </c>
      <c r="EJ52" s="97" t="str">
        <f t="shared" ca="1" si="143"/>
        <v>Ausdauerdisziplinen nicht durchgeführt</v>
      </c>
      <c r="EK52" s="97" t="str">
        <f t="shared" ca="1" si="144"/>
        <v/>
      </c>
      <c r="EL52" s="108">
        <f t="shared" ca="1" si="145"/>
        <v>0</v>
      </c>
      <c r="EM52" s="108">
        <f t="shared" ca="1" si="146"/>
        <v>0</v>
      </c>
      <c r="EN52" s="108" t="str">
        <f t="shared" ca="1" si="147"/>
        <v/>
      </c>
      <c r="EO52" s="97" t="str">
        <f t="shared" ca="1" si="148"/>
        <v>Ausdauerdisziplinen nicht durchgeführt</v>
      </c>
      <c r="EP52" s="97" t="str">
        <f t="shared" ca="1" si="149"/>
        <v/>
      </c>
      <c r="EQ52" s="97" t="str" cm="1">
        <f t="array" aca="1" ref="EQ52" ca="1">IFERROR(IF(INDIRECT(INDEX(INDIRECT(EQ$5),MATCH(EO52,INDIRECT(EQ$4),0)))&lt;&gt;"",INDEX(INDIRECT(EQ$5),MATCH(EO52,INDIRECT(EQ$4),0)),INDEX(INDIRECT(EQ$6),MATCH(EO52,INDIRECT(EQ$4),0))),"")</f>
        <v/>
      </c>
      <c r="ER52" s="97" t="str">
        <f t="shared" ca="1" si="150"/>
        <v/>
      </c>
      <c r="ES52" s="97" t="str" cm="1">
        <f t="array" aca="1" ref="ES52" ca="1">IFERROR(INDIRECT(EQ52),IF(NOT(ISERROR(FIND(Stammdaten!$CC$3,EO52,1))),$A$2,""))</f>
        <v/>
      </c>
      <c r="ET52" s="97" t="str">
        <f ca="1">IF(ES52="","",IF(AND(EP52=Stammdaten!$BX$20,ER52="0",ES52=1),SUBSTITUTE(TEXT(ES52,ER52)&amp;" "&amp;LEFT(EP52,LEN(EP52)-1),".",","),SUBSTITUTE(TEXT(ES52,ER52)&amp;" "&amp;EP52,".",",")))</f>
        <v/>
      </c>
      <c r="EU52" s="97" t="str">
        <f t="shared" ca="1" si="57"/>
        <v/>
      </c>
      <c r="EV52" s="97" t="str" cm="1">
        <f t="array" aca="1" ref="EV52" ca="1">IFERROR(LEFT(INDIRECT(EU52),1)&amp;"]","")</f>
        <v/>
      </c>
      <c r="EW52" s="97" t="str">
        <f t="shared" ca="1" si="58"/>
        <v/>
      </c>
      <c r="EX52" s="97" t="str">
        <f ca="1">IFERROR(LEFT(EO52,FIND(Stammdaten!$CA$4,EO52,1)-2),IFERROR(LEFT(EO52,FIND(Stammdaten!$CC$3,EO52,1)-2),EO52))</f>
        <v>Ausdauerdisziplinen</v>
      </c>
      <c r="EY52" s="97" t="str">
        <f ca="1">IF(NOT(ISERROR(FIND(Stammdaten!$CA$4,EO52,1))),Stammdaten!$CA$4,IF(EZ52&lt;&gt;Stammdaten!$CC$3,EW52,""))</f>
        <v>nicht durchgeführt</v>
      </c>
      <c r="EZ52" s="91" t="str">
        <f ca="1">IF(ES52=$A$2,Stammdaten!$CC$3,ET52)</f>
        <v/>
      </c>
      <c r="FA52" s="97" t="str" cm="1">
        <f t="array" aca="1" ref="FA52" ca="1">INDIRECT(FA$5)</f>
        <v/>
      </c>
      <c r="FB52" s="97" t="str" cm="1">
        <f t="array" aca="1" ref="FB52" ca="1">INDIRECT(FB$5)</f>
        <v/>
      </c>
      <c r="FC52" s="97" t="str" cm="1">
        <f t="array" aca="1" ref="FC52" ca="1">INDIRECT(FC$5)</f>
        <v/>
      </c>
      <c r="FD52" s="97" t="str" cm="1">
        <f t="array" aca="1" ref="FD52" ca="1">INDIRECT(FD$5)</f>
        <v/>
      </c>
      <c r="FE52" s="97" t="str">
        <f t="shared" ca="1" si="151"/>
        <v>Sprungdisziplinen nicht durchgeführt</v>
      </c>
      <c r="FF52" s="97" t="str">
        <f t="shared" ca="1" si="152"/>
        <v/>
      </c>
      <c r="FG52" s="108">
        <f t="shared" ca="1" si="153"/>
        <v>0</v>
      </c>
      <c r="FH52" s="108">
        <f t="shared" ca="1" si="154"/>
        <v>0</v>
      </c>
      <c r="FI52" s="108" t="str">
        <f t="shared" ca="1" si="155"/>
        <v/>
      </c>
      <c r="FJ52" s="97" t="str">
        <f t="shared" ca="1" si="156"/>
        <v>Sprungdisziplinen nicht durchgeführt</v>
      </c>
      <c r="FK52" s="97" t="str">
        <f t="shared" ca="1" si="157"/>
        <v/>
      </c>
      <c r="FL52" s="97" t="str" cm="1">
        <f t="array" aca="1" ref="FL52" ca="1">IFERROR(IF(INDIRECT(INDEX(INDIRECT(FL$5),MATCH(FJ52,INDIRECT(FL$4),0)))&lt;&gt;"",INDEX(INDIRECT(FL$5),MATCH(FJ52,INDIRECT(FL$4),0)),INDEX(INDIRECT(FL$6),MATCH(FJ52,INDIRECT(FL$4),0))),"")</f>
        <v/>
      </c>
      <c r="FM52" s="97" t="str">
        <f t="shared" ca="1" si="158"/>
        <v/>
      </c>
      <c r="FN52" s="97" t="str" cm="1">
        <f t="array" aca="1" ref="FN52" ca="1">IFERROR(INDIRECT(FL52),IF(NOT(ISERROR(FIND(Stammdaten!$CC$3,FJ52,1))),$A$2,""))</f>
        <v/>
      </c>
      <c r="FO52" s="97" t="str">
        <f ca="1">IF(FN52="","",IF(AND(FK52=Stammdaten!$BX$20,FM52="0",FN52=1),SUBSTITUTE(TEXT(FN52,FM52)&amp;" "&amp;LEFT(FK52,LEN(FK52)-1),".",","),SUBSTITUTE(TEXT(FN52,FM52)&amp;" "&amp;FK52,".",",")))</f>
        <v/>
      </c>
      <c r="FP52" s="97" t="str">
        <f t="shared" ca="1" si="59"/>
        <v/>
      </c>
      <c r="FQ52" s="97" t="str" cm="1">
        <f t="array" aca="1" ref="FQ52" ca="1">IFERROR(LEFT(INDIRECT(FP52),1)&amp;"]","")</f>
        <v/>
      </c>
      <c r="FR52" s="97" t="str">
        <f t="shared" ca="1" si="60"/>
        <v/>
      </c>
      <c r="FS52" s="97" t="str">
        <f ca="1">IFERROR(LEFT(FJ52,FIND(Stammdaten!$CA$4,FJ52,1)-2),IFERROR(LEFT(FJ52,FIND(Stammdaten!$CC$3,FJ52,1)-2),FJ52))</f>
        <v>Sprungdisziplinen</v>
      </c>
      <c r="FT52" s="97" t="str">
        <f ca="1">IF(NOT(ISERROR(FIND(Stammdaten!$CA$4,FJ52,1))),Stammdaten!$CA$4,IF(FU52&lt;&gt;Stammdaten!$CC$3,FR52,""))</f>
        <v>nicht durchgeführt</v>
      </c>
      <c r="FU52" s="91" t="str">
        <f ca="1">IF(FN52=$A$2,Stammdaten!$CC$3,FO52)</f>
        <v/>
      </c>
      <c r="FV52" s="97" t="str" cm="1">
        <f t="array" aca="1" ref="FV52" ca="1">INDIRECT(FV$5)</f>
        <v/>
      </c>
      <c r="FW52" s="97" t="str" cm="1">
        <f t="array" aca="1" ref="FW52" ca="1">INDIRECT(FW$5)</f>
        <v/>
      </c>
      <c r="FX52" s="97" t="str" cm="1">
        <f t="array" aca="1" ref="FX52" ca="1">INDIRECT(FX$5)</f>
        <v/>
      </c>
      <c r="FY52" s="97" t="str" cm="1">
        <f t="array" aca="1" ref="FY52" ca="1">INDIRECT(FY$5)</f>
        <v/>
      </c>
      <c r="FZ52" s="97" t="str" cm="1">
        <f t="array" aca="1" ref="FZ52" ca="1">INDIRECT(FZ$5)</f>
        <v/>
      </c>
      <c r="GA52" s="97" t="str" cm="1">
        <f t="array" aca="1" ref="GA52" ca="1">INDIRECT(GA$5)</f>
        <v/>
      </c>
      <c r="GB52" s="97" t="str">
        <f t="shared" ca="1" si="159"/>
        <v>Wurfdisziplinen nicht durchgeführt</v>
      </c>
      <c r="GC52" s="97" t="str">
        <f t="shared" ca="1" si="160"/>
        <v/>
      </c>
      <c r="GD52" s="108">
        <f t="shared" ca="1" si="161"/>
        <v>0</v>
      </c>
      <c r="GE52" s="108">
        <f t="shared" ca="1" si="162"/>
        <v>0</v>
      </c>
      <c r="GF52" s="108" t="str">
        <f t="shared" ca="1" si="163"/>
        <v/>
      </c>
      <c r="GG52" s="97" t="str">
        <f t="shared" ca="1" si="164"/>
        <v>Wurfdisziplinen nicht durchgeführt</v>
      </c>
      <c r="GH52" s="97" t="str">
        <f t="shared" ca="1" si="165"/>
        <v/>
      </c>
      <c r="GI52" s="97" t="str" cm="1">
        <f t="array" aca="1" ref="GI52" ca="1">IFERROR(IF(INDIRECT(INDEX(INDIRECT(GI$5),MATCH(GG52,INDIRECT(GI$4),0)))&lt;&gt;"",INDEX(INDIRECT(GI$5),MATCH(GG52,INDIRECT(GI$4),0)),INDEX(INDIRECT(GI$6),MATCH(GG52,INDIRECT(GI$4),0))),"")</f>
        <v/>
      </c>
      <c r="GJ52" s="97" t="str">
        <f t="shared" ca="1" si="166"/>
        <v/>
      </c>
      <c r="GK52" s="97" t="str" cm="1">
        <f t="array" aca="1" ref="GK52" ca="1">IFERROR(INDIRECT(GI52),IF(NOT(ISERROR(FIND(Stammdaten!$CC$3,GG52,1))),$A$2,""))</f>
        <v/>
      </c>
      <c r="GL52" s="97" t="str">
        <f ca="1">IF(GK52="","",IF(AND(GH52=Stammdaten!$BX$20,GJ52="0",GK52=1),SUBSTITUTE(TEXT(GK52,GJ52)&amp;" "&amp;LEFT(GH52,LEN(GH52)-1),".",","),SUBSTITUTE(TEXT(GK52,GJ52)&amp;" "&amp;GH52,".",",")))</f>
        <v/>
      </c>
      <c r="GM52" s="97" t="str">
        <f t="shared" ca="1" si="61"/>
        <v/>
      </c>
      <c r="GN52" s="97" t="str" cm="1">
        <f t="array" aca="1" ref="GN52" ca="1">IFERROR(LEFT(INDIRECT(GM52),1)&amp;"]","")</f>
        <v/>
      </c>
      <c r="GO52" s="97" t="str">
        <f t="shared" ca="1" si="62"/>
        <v/>
      </c>
      <c r="GP52" s="97" t="str">
        <f ca="1">IFERROR(LEFT(GG52,FIND(Stammdaten!$CA$4,GG52,1)-2),IFERROR(LEFT(GG52,FIND(Stammdaten!$CC$3,GG52,1)-2),GG52))</f>
        <v>Wurfdisziplinen</v>
      </c>
      <c r="GQ52" s="97" t="str">
        <f ca="1">IF(NOT(ISERROR(FIND(Stammdaten!$CA$4,GG52,1))),Stammdaten!$CA$4,IF(GR52&lt;&gt;Stammdaten!$CC$3,GO52,""))</f>
        <v>nicht durchgeführt</v>
      </c>
      <c r="GR52" s="91" t="str">
        <f ca="1">IF(GK52=$A$2,Stammdaten!$CC$3,GL52)</f>
        <v/>
      </c>
      <c r="GS52" s="97" t="str">
        <f t="shared" ca="1" si="63"/>
        <v/>
      </c>
      <c r="GT52" s="97" t="str">
        <f t="shared" ca="1" si="64"/>
        <v/>
      </c>
      <c r="GU52" s="97" t="str">
        <f t="shared" ca="1" si="65"/>
        <v/>
      </c>
      <c r="GV52" s="97" t="str">
        <f t="shared" ca="1" si="66"/>
        <v/>
      </c>
      <c r="GW52" s="97">
        <f t="shared" ca="1" si="167"/>
        <v>0</v>
      </c>
      <c r="GX52" s="108">
        <f t="shared" ca="1" si="168"/>
        <v>0</v>
      </c>
      <c r="GY52" s="108">
        <f t="shared" ca="1" si="169"/>
        <v>0</v>
      </c>
      <c r="GZ52" s="108" t="str">
        <f t="shared" ca="1" si="170"/>
        <v/>
      </c>
      <c r="HA52" s="97" t="str">
        <f ca="1">IF(GZ52="",Stammdaten!$BZ$1,IF(AND(GX52=0,GY52&gt;=GZ$25),$A$3,ROUND(SUM(GW52/GZ52)/HA$25,0)*HA$25))</f>
        <v>Zu wenige Werte</v>
      </c>
      <c r="HB52" s="108">
        <f t="shared" ca="1" si="171"/>
        <v>6</v>
      </c>
      <c r="HC52" s="97" t="str">
        <f t="shared" ca="1" si="172"/>
        <v/>
      </c>
      <c r="HD52" s="97" t="str">
        <f t="shared" ca="1" si="173"/>
        <v/>
      </c>
      <c r="HE52" s="97" t="str">
        <f t="shared" ca="1" si="174"/>
        <v/>
      </c>
      <c r="HF52" s="97" t="str">
        <f t="shared" ca="1" si="175"/>
        <v/>
      </c>
      <c r="HG52" s="97" t="str">
        <f t="shared" ca="1" si="176"/>
        <v/>
      </c>
      <c r="HH52" s="97" t="str">
        <f t="shared" ca="1" si="177"/>
        <v>g</v>
      </c>
      <c r="HI52" s="97" t="str">
        <f t="shared" ca="1" si="178"/>
        <v/>
      </c>
      <c r="HJ52" s="97">
        <f t="shared" ca="1" si="179"/>
        <v>1</v>
      </c>
      <c r="HK52" s="97" t="str">
        <f ca="1">IF(OR(Geschlecht[[#This Row],[Geschlecht (Skala)]]="",NOT(ISNUMBER(GZ52))),"",HJ52)</f>
        <v/>
      </c>
      <c r="HL52" s="97" t="str">
        <f t="shared" ca="1" si="180"/>
        <v/>
      </c>
      <c r="HM52" s="97"/>
      <c r="HN52" s="308" t="str">
        <f t="shared" ca="1" si="68"/>
        <v>Zu wenige Werte</v>
      </c>
      <c r="HO52" s="97"/>
      <c r="HP52" s="307"/>
      <c r="HQ52" s="96" t="str">
        <f>IFERROR(IFERROR(SUBSTITUTE(ReckResultat[[#This Row],[Eingabe]],".",",")*1,SUBSTITUTE(ReckResultat[[#This Row],[Eingabe]],",",".")*1),"")</f>
        <v/>
      </c>
      <c r="HR52" s="96" t="e">
        <f>INT(ReckResultat[[#This Row],[Resultat]])=ReckResultat[[#This Row],[Resultat]]</f>
        <v>#VALUE!</v>
      </c>
      <c r="HS52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2" s="96"/>
      <c r="HX52" s="97"/>
      <c r="HY52" s="307"/>
      <c r="HZ52" s="96" t="str">
        <f>IFERROR(IFERROR(SUBSTITUTE(BodenResultat[[#This Row],[Eingabe]],".",",")*1,SUBSTITUTE(BodenResultat[[#This Row],[Eingabe]],",",".")*1),"")</f>
        <v/>
      </c>
      <c r="IA52" s="96" t="e">
        <f>INT(BodenResultat[[#This Row],[Resultat]])=BodenResultat[[#This Row],[Resultat]]</f>
        <v>#VALUE!</v>
      </c>
      <c r="IB52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2" s="96"/>
      <c r="IG52" s="97"/>
      <c r="IH52" s="307"/>
      <c r="II52" s="96" t="str">
        <f>IFERROR(IFERROR(SUBSTITUTE(StufenbarrenResultat[[#This Row],[Eingabe]],".",",")*1,SUBSTITUTE(StufenbarrenResultat[[#This Row],[Eingabe]],",",".")*1),"")</f>
        <v/>
      </c>
      <c r="IJ52" s="96" t="e">
        <f>INT(StufenbarrenResultat[[#This Row],[Resultat]])=StufenbarrenResultat[[#This Row],[Resultat]]</f>
        <v>#VALUE!</v>
      </c>
      <c r="IK52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2" s="96"/>
      <c r="IP52" s="97"/>
      <c r="IQ52" s="307"/>
      <c r="IR52" s="96" t="str">
        <f>IFERROR(IFERROR(SUBSTITUTE(ParallelbarrenResultat[[#This Row],[Eingabe]],".",",")*1,SUBSTITUTE(ParallelbarrenResultat[[#This Row],[Eingabe]],",",".")*1),"")</f>
        <v/>
      </c>
      <c r="IS52" s="96" t="e">
        <f>INT(ParallelbarrenResultat[[#This Row],[Resultat]])=ParallelbarrenResultat[[#This Row],[Resultat]]</f>
        <v>#VALUE!</v>
      </c>
      <c r="IT52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2" s="96"/>
      <c r="IY52" s="97"/>
      <c r="IZ52" s="307"/>
      <c r="JA52" s="96" t="str">
        <f>IFERROR(IFERROR(SUBSTITUTE(SchaukelringeResultat[[#This Row],[Eingabe]],".",",")*1,SUBSTITUTE(SchaukelringeResultat[[#This Row],[Eingabe]],",",".")*1),"")</f>
        <v/>
      </c>
      <c r="JB52" s="96" t="e">
        <f>INT(SchaukelringeResultat[[#This Row],[Resultat]])=SchaukelringeResultat[[#This Row],[Resultat]]</f>
        <v>#VALUE!</v>
      </c>
      <c r="JC52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2" s="96"/>
      <c r="JH52" s="97"/>
      <c r="JI52" s="307"/>
      <c r="JJ52" s="96" t="str">
        <f>IFERROR(IFERROR(SUBSTITUTE(SprungResultat[[#This Row],[Eingabe]],".",",")*1,SUBSTITUTE(SprungResultat[[#This Row],[Eingabe]],",",".")*1),"")</f>
        <v/>
      </c>
      <c r="JK52" s="96" t="e">
        <f>INT(SprungResultat[[#This Row],[Resultat]])=SprungResultat[[#This Row],[Resultat]]</f>
        <v>#VALUE!</v>
      </c>
      <c r="JL52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2" s="96"/>
      <c r="JQ52" s="97"/>
      <c r="JR52" s="309" t="str" cm="1">
        <f t="array" aca="1" ref="JR52" ca="1">IF(AND(ISNUMBER(INDIRECT(JR$3)),INDIRECT(JR$3)&gt;0),INDIRECT(JR$3),"")</f>
        <v/>
      </c>
      <c r="JS52" s="309" t="str" cm="1">
        <f t="array" aca="1" ref="JS52" ca="1">IF(AND(ISNUMBER(INDIRECT(JS$3)),INDIRECT(JS$3)&gt;0),INDIRECT(JS$3),"")</f>
        <v/>
      </c>
      <c r="JT52" s="309" t="str" cm="1">
        <f t="array" aca="1" ref="JT52" ca="1">IF(AND(ISNUMBER(INDIRECT(JT$3)),INDIRECT(JT$3)&gt;0),INDIRECT(JT$3),"")</f>
        <v/>
      </c>
      <c r="JU52" s="309" t="str" cm="1">
        <f t="array" aca="1" ref="JU52" ca="1">IF(AND(ISNUMBER(INDIRECT(JU$3)),INDIRECT(JU$3)&gt;0),INDIRECT(JU$3),"")</f>
        <v/>
      </c>
      <c r="JV52" s="309" t="str" cm="1">
        <f t="array" aca="1" ref="JV52" ca="1">IF(AND(ISNUMBER(INDIRECT(JV$3)),INDIRECT(JV$3)&gt;0),INDIRECT(JV$3),"")</f>
        <v/>
      </c>
      <c r="JW52" s="309" t="str" cm="1">
        <f t="array" aca="1" ref="JW52" ca="1">IF(AND(ISNUMBER(INDIRECT(JW$3)),INDIRECT(JW$3)&gt;0),INDIRECT(JW$3),"")</f>
        <v/>
      </c>
      <c r="JX52" s="309" t="str">
        <f t="shared" ca="1" si="69"/>
        <v>x</v>
      </c>
      <c r="JY52" s="309" t="str">
        <f t="shared" ca="1" si="70"/>
        <v>y</v>
      </c>
      <c r="JZ52" s="309" t="str">
        <f t="shared" ca="1" si="71"/>
        <v>z</v>
      </c>
      <c r="KA52" s="309" t="str">
        <f t="shared" ca="1" si="181"/>
        <v>a</v>
      </c>
      <c r="KB52" s="309" t="str" cm="1">
        <f t="array" aca="1" ref="KB52" ca="1">IF(KA52="a","",INDEX($JR$23:$JW$23,,MATCH(KA52,$JR52:$JW52,0)))</f>
        <v/>
      </c>
      <c r="KC52" s="309" t="str" cm="1">
        <f t="array" aca="1" ref="KC52" ca="1">IF(OR(KB52="",KB52&gt;=$JW$23),"",INDEX(INDIRECT(ADDRESS(ROW($JR$23),KB52+1)):$JW$23,,MATCH(KA52,INDIRECT(ADDRESS(ROW(),KB52+1)):$JW52,0)))</f>
        <v/>
      </c>
      <c r="KD52" s="309" t="str" cm="1">
        <f t="array" aca="1" ref="KD52" ca="1">IF(OR(KC52="",KC52&gt;=$JW$23),"",INDEX(INDIRECT(ADDRESS(ROW($JR$23),KC52+1)):$JW$23,,MATCH(KA52,INDIRECT(ADDRESS(ROW(),KC52+1)):$JW52,0)))</f>
        <v/>
      </c>
      <c r="KE52" s="309" t="str">
        <f t="shared" ca="1" si="182"/>
        <v>c</v>
      </c>
      <c r="KF52" s="309" t="str" cm="1">
        <f t="array" aca="1" ref="KF52" ca="1">IF(OR(KE52="b",KE52="c"),"",INDEX($JR$23:$JW$23,,MATCH(KE52,$JR52:$JW52,0)))</f>
        <v/>
      </c>
      <c r="KG52" s="309" t="str" cm="1">
        <f t="array" aca="1" ref="KG52" ca="1">IF(OR(KF52="",KF52&gt;=$JW$23),"",INDEX(INDIRECT(ADDRESS(ROW($JR$23),KF52+1)):$JW$23,,MATCH(KE52,INDIRECT(ADDRESS(ROW(),KF52+1)):$JW52,0)))</f>
        <v/>
      </c>
      <c r="KH52" s="309" t="str">
        <f t="shared" ca="1" si="72"/>
        <v/>
      </c>
      <c r="KI52" s="309" t="str">
        <f t="shared" ca="1" si="183"/>
        <v>e</v>
      </c>
      <c r="KJ52" s="309" t="str">
        <f t="shared" ca="1" si="73"/>
        <v/>
      </c>
      <c r="KK52" s="309" t="str" cm="1">
        <f t="array" aca="1" ref="KK52" ca="1">IF(OR(KI52="d",KI52="e"),"",INDEX($JR$23:$JW$23,,MATCH(KI52,$JR52:$JW52,0)))</f>
        <v/>
      </c>
      <c r="KL52" s="309" t="str" cm="1">
        <f t="array" aca="1" ref="KL52" ca="1">IF(OR(KK52="",KK52&gt;=$JW$23),"",INDEX(INDIRECT(ADDRESS(ROW($JR$23),KK52+1)):$JW$23,,MATCH(KI52,INDIRECT(ADDRESS(ROW(),KK52+1)):$JW52,0)))</f>
        <v/>
      </c>
      <c r="KM52" s="309" t="str" cm="1">
        <f t="array" aca="1" ref="KM52" ca="1">IFERROR(IF(ISNUMBER(KB52),KB52,IF(ISNUMBER(KF52),KF52,IF(ISNUMBER(KJ52),KJ52,INDEX($JR$23:$JW$23,,MATCH(JX52,$JR52:$JW52,0))))),"x1")</f>
        <v>x1</v>
      </c>
      <c r="KN52" s="309" t="str" cm="1">
        <f t="array" aca="1" ref="KN52" ca="1">IFERROR(IF(ISNUMBER(KC52),KC52,IF(ISNUMBER(KG52),KG52,IF(ISNUMBER(KK52),KK52,INDEX($JR$23:$JW$23,,MATCH(JY52,$JR52:$JW52,0))))),IF(KM52="x1","x2","x1"))</f>
        <v>x2</v>
      </c>
      <c r="KO52" s="309" t="str" cm="1">
        <f t="array" aca="1" ref="KO52" ca="1">IFERROR(IF(ISNUMBER(KD52),KD52,IF(ISNUMBER(KH52),KH52,IF(ISNUMBER(KL52),KL52,INDEX($JR$23:$JW$23,,MATCH(JZ52,$JR52:$JW52,0))))),IF(KN52="x1","x2",IF(KN52="x2","x3","x1")))</f>
        <v>x3</v>
      </c>
      <c r="KP52" s="97" t="str" cm="1">
        <f t="array" aca="1" ref="KP52" ca="1">IF(OR(INDIRECT(KP$3)=$A$2,INDIRECT(KP$3)=$A$3),COLUMN(),"")</f>
        <v/>
      </c>
      <c r="KQ52" s="97" t="str" cm="1">
        <f t="array" aca="1" ref="KQ52" ca="1">IF(OR(INDIRECT(KQ$3)=$A$2,INDIRECT(KQ$3)=$A$3),COLUMN(),"")</f>
        <v/>
      </c>
      <c r="KR52" s="97" t="str" cm="1">
        <f t="array" aca="1" ref="KR52" ca="1">IF(OR(INDIRECT(KR$3)=$A$2,INDIRECT(KR$3)=$A$3),COLUMN(),"")</f>
        <v/>
      </c>
      <c r="KS52" s="97" t="str" cm="1">
        <f t="array" aca="1" ref="KS52" ca="1">IF(OR(INDIRECT(KS$3)=$A$2,INDIRECT(KS$3)=$A$3),COLUMN(),"")</f>
        <v/>
      </c>
      <c r="KT52" s="97" t="str" cm="1">
        <f t="array" aca="1" ref="KT52" ca="1">IF(OR(INDIRECT(KT$3)=$A$2,INDIRECT(KT$3)=$A$3),COLUMN(),"")</f>
        <v/>
      </c>
      <c r="KU52" s="97" t="str" cm="1">
        <f t="array" aca="1" ref="KU52" ca="1">IF(OR(INDIRECT(KU$3)=$A$2,INDIRECT(KU$3)=$A$3),COLUMN(),"")</f>
        <v/>
      </c>
      <c r="KV52" s="97" t="str" cm="1">
        <f t="array" aca="1" ref="KV52" ca="1">IF(AND(ISNUMBER(INDIRECT(KV$3)),INDIRECT(KV$3)=0),COLUMN(),"")</f>
        <v/>
      </c>
      <c r="KW52" s="97" t="str" cm="1">
        <f t="array" aca="1" ref="KW52" ca="1">IF(AND(ISNUMBER(INDIRECT(KW$3)),INDIRECT(KW$3)=0),COLUMN(),"")</f>
        <v/>
      </c>
      <c r="KX52" s="97" t="str" cm="1">
        <f t="array" aca="1" ref="KX52" ca="1">IF(AND(ISNUMBER(INDIRECT(KX$3)),INDIRECT(KX$3)=0),COLUMN(),"")</f>
        <v/>
      </c>
      <c r="KY52" s="97" t="str" cm="1">
        <f t="array" aca="1" ref="KY52" ca="1">IF(AND(ISNUMBER(INDIRECT(KY$3)),INDIRECT(KY$3)=0),COLUMN(),"")</f>
        <v/>
      </c>
      <c r="KZ52" s="97" t="str" cm="1">
        <f t="array" aca="1" ref="KZ52" ca="1">IF(AND(ISNUMBER(INDIRECT(KZ$3)),INDIRECT(KZ$3)=0),COLUMN(),"")</f>
        <v/>
      </c>
      <c r="LA52" s="97" t="str" cm="1">
        <f t="array" aca="1" ref="LA52" ca="1">IF(AND(ISNUMBER(INDIRECT(LA$3)),INDIRECT(LA$3)=0),COLUMN(),"")</f>
        <v/>
      </c>
      <c r="LB52" s="97" t="str">
        <f t="shared" ca="1" si="184"/>
        <v>x1</v>
      </c>
      <c r="LC52" s="97" t="str">
        <f t="shared" ca="1" si="185"/>
        <v>x2</v>
      </c>
      <c r="LD52" s="97" t="str">
        <f t="shared" ca="1" si="186"/>
        <v>x3</v>
      </c>
      <c r="LE52" s="97" t="str">
        <f ca="1">IFERROR(IF(ISNUMBER(LB52),LB52,SMALL($KV52:$LA52,VALUE(RIGHT(LB52,1)))),Stammdaten!$CA$17)</f>
        <v>Erstes Gerät nicht durchgeführt</v>
      </c>
      <c r="LF52" s="97" t="str">
        <f ca="1">IFERROR(IF(ISNUMBER(LC52),LC52,SMALL($KV52:$LA52,VALUE(RIGHT(LC52,1)))),Stammdaten!$CA$18)</f>
        <v>Zweites Gerät nicht durchgeführt</v>
      </c>
      <c r="LG52" s="97" t="str">
        <f ca="1">IFERROR(IF(ISNUMBER(LD52),LD52,SMALL($KV52:$LA52,VALUE(RIGHT(LD52,1)))),Stammdaten!$CA$19)</f>
        <v>Drittes Gerät nicht durchgeführt</v>
      </c>
      <c r="LH52" s="91" t="str" cm="1">
        <f t="array" aca="1" ref="LH52" ca="1">IFERROR(INDIRECT(ADDRESS(ROW($JR$5),LE52)),LE52)</f>
        <v>Erstes Gerät nicht durchgeführt</v>
      </c>
      <c r="LI52" s="97" t="str">
        <f t="shared" ca="1" si="187"/>
        <v/>
      </c>
      <c r="LJ52" s="97" t="str" cm="1">
        <f t="array" aca="1" ref="LJ52" ca="1">IFERROR(IF(INDIRECT(INDEX(INDIRECT(LJ$5),MATCH(LH52,INDIRECT(LJ$4),0)))&lt;&gt;"",INDEX(INDIRECT(LJ$5),MATCH(LH52,INDIRECT(LJ$4),0)),INDEX(INDIRECT(LJ$6),MATCH(LH52,INDIRECT(LJ$4),0))),"")</f>
        <v/>
      </c>
      <c r="LK52" s="97" t="str">
        <f t="shared" ca="1" si="188"/>
        <v/>
      </c>
      <c r="LL52" s="97" t="str" cm="1">
        <f t="array" aca="1" ref="LL52" ca="1">IFERROR(INDIRECT(LJ52),"")</f>
        <v/>
      </c>
      <c r="LM52" s="97" t="str">
        <f ca="1">IF(LL52="","",IF(AND(LI52=Stammdaten!$BX$20,LK52="0",LL52=1),SUBSTITUTE(TEXT(LL52,LK52)&amp;" "&amp;LEFT(LI52,LEN(LI52)-1),".",","),SUBSTITUTE(TEXT(LL52,LK52)&amp;" "&amp;LI52,".",",")))</f>
        <v/>
      </c>
      <c r="LN52" s="97" t="str">
        <f t="shared" ca="1" si="74"/>
        <v/>
      </c>
      <c r="LO52" s="97" t="str" cm="1">
        <f t="array" aca="1" ref="LO52" ca="1">IFERROR(LEFT(INDIRECT(LN52),1)&amp;"]","")</f>
        <v/>
      </c>
      <c r="LP52" s="97" t="str">
        <f t="shared" ca="1" si="75"/>
        <v/>
      </c>
      <c r="LQ52" s="97" t="str">
        <f ca="1">IFERROR(LEFT(LH52,FIND(Stammdaten!$CA$4,LH52,1)-2),IFERROR(LEFT(LH52,FIND(Stammdaten!$CC$3,LH52,1)-2),LH52))</f>
        <v>Erstes Gerät</v>
      </c>
      <c r="LR52" s="97" t="str">
        <f ca="1">IF(NOT(ISERROR(FIND(Stammdaten!$CA$4,LH52,1))),Stammdaten!$CA$4,IF(LS52&lt;&gt;Stammdaten!$CC$3,LP52,""))</f>
        <v>nicht durchgeführt</v>
      </c>
      <c r="LS52" s="91" t="str">
        <f ca="1">IF(LL52=$A$2,Stammdaten!$CC$3,LM52)</f>
        <v/>
      </c>
      <c r="LT52" s="91" t="str" cm="1">
        <f t="array" aca="1" ref="LT52" ca="1">IFERROR(INDIRECT(ADDRESS(ROW($JR$5),LF52)),LF52)</f>
        <v>Zweites Gerät nicht durchgeführt</v>
      </c>
      <c r="LU52" s="97" t="str">
        <f t="shared" ca="1" si="189"/>
        <v/>
      </c>
      <c r="LV52" s="97" t="str" cm="1">
        <f t="array" aca="1" ref="LV52" ca="1">IFERROR(IF(INDIRECT(INDEX(INDIRECT(LV$5),MATCH(LT52,INDIRECT(LV$4),0)))&lt;&gt;"",INDEX(INDIRECT(LV$5),MATCH(LT52,INDIRECT(LV$4),0)),INDEX(INDIRECT(LV$6),MATCH(LT52,INDIRECT(LV$4),0))),"")</f>
        <v/>
      </c>
      <c r="LW52" s="97" t="str">
        <f t="shared" ca="1" si="190"/>
        <v/>
      </c>
      <c r="LX52" s="97" t="str" cm="1">
        <f t="array" aca="1" ref="LX52" ca="1">IFERROR(INDIRECT(LV52),"")</f>
        <v/>
      </c>
      <c r="LY52" s="97" t="str">
        <f ca="1">IF(LX52="","",IF(AND(LU52=Stammdaten!$BX$20,LW52="0",LX52=1),SUBSTITUTE(TEXT(LX52,LW52)&amp;" "&amp;LEFT(LU52,LEN(LU52)-1),".",","),SUBSTITUTE(TEXT(LX52,LW52)&amp;" "&amp;LU52,".",",")))</f>
        <v/>
      </c>
      <c r="LZ52" s="97" t="str">
        <f t="shared" ca="1" si="76"/>
        <v/>
      </c>
      <c r="MA52" s="97" t="str" cm="1">
        <f t="array" aca="1" ref="MA52" ca="1">IFERROR(LEFT(INDIRECT(LZ52),1)&amp;"]","")</f>
        <v/>
      </c>
      <c r="MB52" s="97" t="str">
        <f t="shared" ca="1" si="77"/>
        <v/>
      </c>
      <c r="MC52" s="97" t="str">
        <f ca="1">IFERROR(LEFT(LT52,FIND(Stammdaten!$CA$4,LT52,1)-2),IFERROR(LEFT(LT52,FIND(Stammdaten!$CC$3,LT52,1)-2),LT52))</f>
        <v>Zweites Gerät</v>
      </c>
      <c r="MD52" s="97" t="str">
        <f ca="1">IF(NOT(ISERROR(FIND(Stammdaten!$CA$4,LT52,1))),Stammdaten!$CA$4,IF(ME52&lt;&gt;Stammdaten!$CC$3,MB52,""))</f>
        <v>nicht durchgeführt</v>
      </c>
      <c r="ME52" s="91" t="str">
        <f ca="1">IF(LX52=$A$2,Stammdaten!$CC$3,LY52)</f>
        <v/>
      </c>
      <c r="MF52" s="91" t="str" cm="1">
        <f t="array" aca="1" ref="MF52" ca="1">IFERROR(INDIRECT(ADDRESS(ROW($JR$5),LG52)),LG52)</f>
        <v>Drittes Gerät nicht durchgeführt</v>
      </c>
      <c r="MG52" s="97" t="str">
        <f t="shared" ca="1" si="191"/>
        <v/>
      </c>
      <c r="MH52" s="97" t="str" cm="1">
        <f t="array" aca="1" ref="MH52" ca="1">IFERROR(IF(INDIRECT(INDEX(INDIRECT(MH$5),MATCH(MF52,INDIRECT(MH$4),0)))&lt;&gt;"",INDEX(INDIRECT(MH$5),MATCH(MF52,INDIRECT(MH$4),0)),INDEX(INDIRECT(MH$6),MATCH(MF52,INDIRECT(MH$4),0))),"")</f>
        <v/>
      </c>
      <c r="MI52" s="97" t="str">
        <f t="shared" ca="1" si="192"/>
        <v/>
      </c>
      <c r="MJ52" s="97" t="str" cm="1">
        <f t="array" aca="1" ref="MJ52" ca="1">IFERROR(INDIRECT(MH52),"")</f>
        <v/>
      </c>
      <c r="MK52" s="97" t="str">
        <f ca="1">IF(MJ52="","",IF(AND(MG52=Stammdaten!$BX$20,MI52="0",MJ52=1),SUBSTITUTE(TEXT(MJ52,MI52)&amp;" "&amp;LEFT(MG52,LEN(MG52)-1),".",","),SUBSTITUTE(TEXT(MJ52,MI52)&amp;" "&amp;MG52,".",",")))</f>
        <v/>
      </c>
      <c r="ML52" s="97" t="str">
        <f t="shared" ca="1" si="78"/>
        <v/>
      </c>
      <c r="MM52" s="97" t="str" cm="1">
        <f t="array" aca="1" ref="MM52" ca="1">IFERROR(LEFT(INDIRECT(ML52),1)&amp;"]","")</f>
        <v/>
      </c>
      <c r="MN52" s="97" t="str">
        <f t="shared" ca="1" si="79"/>
        <v/>
      </c>
      <c r="MO52" s="97" t="str">
        <f ca="1">IFERROR(LEFT(MF52,FIND(Stammdaten!$CA$4,MF52,1)-2),IFERROR(LEFT(MF52,FIND(Stammdaten!$CC$3,MF52,1)-2),MF52))</f>
        <v>Drittes Gerät</v>
      </c>
      <c r="MP52" s="97" t="str">
        <f ca="1">IF(NOT(ISERROR(FIND(Stammdaten!$CA$4,MF52,1))),Stammdaten!$CA$4,IF(MQ52&lt;&gt;Stammdaten!$CC$3,MN52,""))</f>
        <v>nicht durchgeführt</v>
      </c>
      <c r="MQ52" s="91" t="str">
        <f ca="1">IF(MJ52=$A$2,Stammdaten!$CC$3,MK52)</f>
        <v/>
      </c>
      <c r="MR52" s="97">
        <f t="shared" ca="1" si="80"/>
        <v>0</v>
      </c>
      <c r="MS52" s="108">
        <f t="shared" ca="1" si="193"/>
        <v>0</v>
      </c>
      <c r="MT52" s="108">
        <f t="shared" ca="1" si="194"/>
        <v>0</v>
      </c>
      <c r="MU52" s="108">
        <f t="shared" ca="1" si="195"/>
        <v>0</v>
      </c>
      <c r="MV52" s="108" t="str">
        <f t="shared" ca="1" si="196"/>
        <v/>
      </c>
      <c r="MW52" s="97" t="str">
        <f ca="1">IF(MV52="",Stammdaten!$BZ$1,IF(AND(MS52+MT52=0,MU52&gt;=MV$25),$A$3,MR52))</f>
        <v>Zu wenige Werte</v>
      </c>
      <c r="MX52" s="97"/>
      <c r="MY52" s="91" t="str">
        <f t="shared" ca="1" si="81"/>
        <v/>
      </c>
      <c r="MZ52" s="96" t="str">
        <f>LEFT(Geschlecht[[#This Row],[Geschlecht (Skala)]],1)&amp;$MZ$27</f>
        <v>2</v>
      </c>
      <c r="NA52" s="96" t="str">
        <f t="shared" ca="1" si="82"/>
        <v>Geräteturnen_2[Resultat]</v>
      </c>
      <c r="NB52" s="97" t="str" cm="1">
        <f t="array" aca="1" ref="NB52" ca="1">IF(OR($MW52="",$MW52=Stammdaten!$BZ$1),"",IF($MW52=0,0,IF(OR($MW52=$A$2,$MW52=$A$3),$A$3,IFERROR(INDEX(INDIRECT(NA52),MATCH(INDIRECT(MY$3),INDIRECT(NA52),NA$25)),IFERROR(IF(NA$25=-1,MAX(INDIRECT(NA52)),IF(NA$25=1,MIN(INDIRECT(NA52)))),"")))))</f>
        <v/>
      </c>
      <c r="ND52" s="91" t="str">
        <f t="shared" ca="1" si="83"/>
        <v>Geräteturnen_2[Note]</v>
      </c>
      <c r="NE52" s="97" t="str" cm="1">
        <f t="array" aca="1" ref="NE52" ca="1">IFERROR(INDEX(INDIRECT(ND52),MATCH(INDIRECT(MY$5),INDIRECT(NA52),0)),IF(INDIRECT(MY$5)=0,1,""))</f>
        <v/>
      </c>
      <c r="NF52" s="97"/>
      <c r="NG52" s="307"/>
      <c r="NH52" s="96" t="str">
        <f>IFERROR(IFERROR(SUBSTITUTE(ParkourResultat[[#This Row],[Eingabe]],".",",")*1,SUBSTITUTE(ParkourResultat[[#This Row],[Eingabe]],",",".")*1),"")</f>
        <v/>
      </c>
      <c r="NI52" s="96" t="e">
        <f>INT(ParkourResultat[[#This Row],[Resultat]])=ParkourResultat[[#This Row],[Resultat]]</f>
        <v>#VALUE!</v>
      </c>
      <c r="NJ52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2" s="96"/>
      <c r="NL52" s="91" t="str" cm="1">
        <f t="array" aca="1" ref="NL52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2" s="96" t="str">
        <f ca="1">LEFT(Geschlecht[[#This Row],[Geschlecht (Skala)]],1)&amp;NR$4</f>
        <v>2</v>
      </c>
      <c r="NN52" s="96" t="str">
        <f t="shared" ca="1" si="84"/>
        <v>Parkour_2[Resultat]</v>
      </c>
      <c r="NO52" s="97" t="str" cm="1">
        <f t="array" aca="1" ref="NO52" ca="1">IF(INDIRECT(NL$1)="","",IF(INDIRECT(NL$2)=0,0,IF(OR(INDIRECT(NL$1)=$A$2,INDIRECT(NL$1)=$A$3),$A$3,IFERROR(INDEX(INDIRECT(NN52),MATCH(INDIRECT(NL$3),INDIRECT(NN52),NN$25)),IFERROR(IF(NN$25=-1,MAX(INDIRECT(NN52)),IF(NN$25=1,MIN(INDIRECT(NN52)))),"")))))</f>
        <v/>
      </c>
      <c r="NQ52" s="91" t="str">
        <f t="shared" ca="1" si="85"/>
        <v>Parkour_2[Note]</v>
      </c>
      <c r="NR52" s="97" t="str" cm="1">
        <f t="array" aca="1" ref="NR52" ca="1">IFERROR(INDEX(INDIRECT(NQ52),MATCH(INDIRECT(NL$5),INDIRECT(NN52),0)),IF(INDIRECT(NL$5)=0,1,""))</f>
        <v/>
      </c>
      <c r="NS52" s="97"/>
      <c r="NT52" s="97" t="str" cm="1">
        <f t="array" aca="1" ref="NT52" ca="1">INDIRECT(NT$5)</f>
        <v/>
      </c>
      <c r="NU52" s="97" t="str" cm="1">
        <f t="array" aca="1" ref="NU52" ca="1">INDIRECT(NU$5)</f>
        <v/>
      </c>
      <c r="NV52" s="97" t="str" cm="1">
        <f t="array" aca="1" ref="NV52" ca="1">INDIRECT(NV$5)</f>
        <v/>
      </c>
      <c r="NW52" s="97" t="str" cm="1">
        <f t="array" aca="1" ref="NW52" ca="1">INDIRECT(NW$5)</f>
        <v/>
      </c>
      <c r="NX52" s="97" t="str">
        <f t="shared" ca="1" si="86"/>
        <v>Parkour nicht durchgeführt</v>
      </c>
      <c r="NY52" s="97" t="str">
        <f t="shared" ca="1" si="197"/>
        <v/>
      </c>
      <c r="NZ52" s="97" t="str" cm="1">
        <f t="array" aca="1" ref="NZ52" ca="1">IFERROR(IF(INDIRECT(INDEX(INDIRECT(NZ$5),MATCH(NX52,INDIRECT(NZ$4),0)))&lt;&gt;"",INDEX(INDIRECT(NZ$5),MATCH(NX52,INDIRECT(NZ$4),0)),INDEX(INDIRECT(NZ$6),MATCH(NX52,INDIRECT(NZ$4),0))),"")</f>
        <v/>
      </c>
      <c r="OA52" s="97" t="str">
        <f t="shared" ca="1" si="198"/>
        <v/>
      </c>
      <c r="OB52" s="97" t="str" cm="1">
        <f t="array" aca="1" ref="OB52" ca="1">IFERROR(INDIRECT(NZ52),IF(NOT(ISERROR(FIND(Stammdaten!$CC$3,NX52,1))),$A$2,""))</f>
        <v/>
      </c>
      <c r="OC52" s="97" t="str">
        <f ca="1">IF(OB52="","",IF(AND(NY52=Stammdaten!$BX$20,OA52="0",OB52=1),SUBSTITUTE(TEXT(OB52,OA52)&amp;" "&amp;LEFT(NY52,LEN(NY52)-1),".",","),SUBSTITUTE(TEXT(OB52,OA52)&amp;" "&amp;NY52,".",",")))</f>
        <v/>
      </c>
      <c r="OD52" s="97" t="str">
        <f t="shared" ca="1" si="87"/>
        <v/>
      </c>
      <c r="OE52" s="97" t="str" cm="1">
        <f t="array" aca="1" ref="OE52" ca="1">IFERROR(LEFT(INDIRECT(OD52),1)&amp;"]","")</f>
        <v/>
      </c>
      <c r="OF52" s="97" t="str">
        <f t="shared" ca="1" si="88"/>
        <v/>
      </c>
      <c r="OG52" s="97" t="str">
        <f ca="1">IFERROR(LEFT(NX52,FIND(Stammdaten!$CA$4,NX52,1)-2),IFERROR(LEFT(NX52,FIND(Stammdaten!$CC$3,NX52,1)-2),NX52))</f>
        <v>Parkour</v>
      </c>
      <c r="OH52" s="97" t="str">
        <f ca="1">IF(NOT(ISERROR(FIND(Stammdaten!$CA$4,NX52,1))),Stammdaten!$CA$4,IF(OI52&lt;&gt;Stammdaten!$CC$3,OF52,""))</f>
        <v>nicht durchgeführt</v>
      </c>
      <c r="OI52" s="91" t="str">
        <f ca="1">IF(OB52=$A$2,Stammdaten!$CC$3,OC52)</f>
        <v/>
      </c>
      <c r="OJ52" s="97" t="str">
        <f t="shared" ca="1" si="89"/>
        <v/>
      </c>
      <c r="OK52" s="97" t="str">
        <f t="shared" ca="1" si="90"/>
        <v/>
      </c>
      <c r="OL52" s="97">
        <f t="shared" ca="1" si="199"/>
        <v>0</v>
      </c>
      <c r="OM52" s="108">
        <f t="shared" ca="1" si="91"/>
        <v>0</v>
      </c>
      <c r="ON52" s="108">
        <f t="shared" ca="1" si="92"/>
        <v>0</v>
      </c>
      <c r="OO52" s="108" t="str">
        <f t="shared" ca="1" si="200"/>
        <v/>
      </c>
      <c r="OP52" s="97" t="str">
        <f ca="1">IF(OO52="",Stammdaten!$BZ$1,IF(AND(OM52=0,ON52&gt;=OO$25),$A$3,ROUND(SUM(OL52/OO52)/OP$25,0)*OP$25))</f>
        <v>Zu wenige Werte</v>
      </c>
      <c r="OQ52" s="108">
        <f t="shared" ca="1" si="201"/>
        <v>6</v>
      </c>
      <c r="OR52" s="97" t="str">
        <f t="shared" ca="1" si="202"/>
        <v/>
      </c>
      <c r="OS52" s="97" t="str">
        <f t="shared" ca="1" si="203"/>
        <v/>
      </c>
      <c r="OT52" s="97" t="str">
        <f t="shared" ca="1" si="204"/>
        <v/>
      </c>
      <c r="OU52" s="97" t="str">
        <f t="shared" ca="1" si="205"/>
        <v>g</v>
      </c>
      <c r="OV52" s="97" t="str">
        <f t="shared" ca="1" si="206"/>
        <v/>
      </c>
      <c r="OW52" s="97">
        <f t="shared" ca="1" si="207"/>
        <v>1</v>
      </c>
      <c r="OX52" s="97" t="str">
        <f ca="1">IF(OR(Geschlecht[[#This Row],[Geschlecht (Skala)]]="",NOT(ISNUMBER(OO52))),"",OW52)</f>
        <v/>
      </c>
      <c r="OY52" s="97" t="str">
        <f t="shared" ca="1" si="208"/>
        <v/>
      </c>
      <c r="OZ52" s="97"/>
      <c r="PA52" s="308" t="str">
        <f t="shared" ca="1" si="209"/>
        <v>Zu wenige Werte</v>
      </c>
      <c r="PB52" s="97"/>
      <c r="PC52" s="307"/>
      <c r="PD52" s="96" t="str">
        <f>IFERROR(IFERROR(SUBSTITUTE(TanzenResultat[[#This Row],[Eingabe]],".",",")*1,SUBSTITUTE(TanzenResultat[[#This Row],[Eingabe]],",",".")*1),"")</f>
        <v/>
      </c>
      <c r="PE52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2" s="96"/>
      <c r="PG52" s="91" t="str" cm="1">
        <f t="array" aca="1" ref="PG52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2" s="96" t="str">
        <f ca="1">LEFT(Geschlecht[[#This Row],[Geschlecht (Skala)]],1)&amp;PM$4</f>
        <v>2</v>
      </c>
      <c r="PI52" s="96" t="str">
        <f t="shared" ca="1" si="93"/>
        <v>Tanzen_2[Resultat]</v>
      </c>
      <c r="PJ52" s="97" t="str" cm="1">
        <f t="array" aca="1" ref="PJ52" ca="1">IF(INDIRECT(PG$1)="","",IF(INDIRECT(PG$2)=0,0,IF(OR(INDIRECT(PG$1)=$A$2,INDIRECT(PG$1)=$A$3),$A$3,IFERROR(INDEX(INDIRECT(PI52),MATCH(INDIRECT(PG$3),INDIRECT(PI52),PI$25)),IFERROR(IF(PI$25=-1,MAX(INDIRECT(PI52)),IF(PI$25=1,MIN(INDIRECT(PI52)))),"")))))</f>
        <v/>
      </c>
      <c r="PL52" s="91" t="str">
        <f t="shared" ca="1" si="94"/>
        <v>Tanzen_2[Note]</v>
      </c>
      <c r="PM52" s="97" t="str" cm="1">
        <f t="array" aca="1" ref="PM52" ca="1">IFERROR(INDEX(INDIRECT(PL52),MATCH(INDIRECT(PG$5),INDIRECT(PI52),0)),IF(INDIRECT(PG$5)=0,1,""))</f>
        <v/>
      </c>
      <c r="PN52" s="97"/>
      <c r="PO52" s="307"/>
      <c r="PP52" s="96" t="str">
        <f>IFERROR(IFERROR(SUBSTITUTE(RopeSkippingResultat[[#This Row],[Eingabe]],".",",")*1,SUBSTITUTE(RopeSkippingResultat[[#This Row],[Eingabe]],",",".")*1),"")</f>
        <v/>
      </c>
      <c r="PQ52" s="96" t="e">
        <f>INT(RopeSkippingResultat[[#This Row],[Resultat]])=RopeSkippingResultat[[#This Row],[Resultat]]</f>
        <v>#VALUE!</v>
      </c>
      <c r="PR52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2" s="96"/>
      <c r="PT52" s="91" t="str" cm="1">
        <f t="array" aca="1" ref="PT52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2" s="96" t="str">
        <f ca="1">LEFT(Geschlecht[[#This Row],[Geschlecht (Skala)]],1)&amp;PZ$4</f>
        <v>2</v>
      </c>
      <c r="PV52" s="96" t="str">
        <f t="shared" ca="1" si="95"/>
        <v>RopeSkipping_2[Resultat]</v>
      </c>
      <c r="PW52" s="97" t="str" cm="1">
        <f t="array" aca="1" ref="PW52" ca="1">IF(INDIRECT(PT$1)="","",IF(INDIRECT(PT$2)=0,0,IF(OR(INDIRECT(PT$1)=$A$2,INDIRECT(PT$1)=$A$3),$A$3,IFERROR(INDEX(INDIRECT(PV52),MATCH(INDIRECT(PT$3),INDIRECT(PV52),PV$25)),IFERROR(IF(PV$25=-1,MAX(INDIRECT(PV52)),IF(PV$25=1,MIN(INDIRECT(PV52)))),"")))))</f>
        <v/>
      </c>
      <c r="PY52" s="91" t="str">
        <f t="shared" ca="1" si="96"/>
        <v>RopeSkipping_2[Note]</v>
      </c>
      <c r="PZ52" s="97" t="str" cm="1">
        <f t="array" aca="1" ref="PZ52" ca="1">IFERROR(INDEX(INDIRECT(PY52),MATCH(INDIRECT(PT$5),INDIRECT(PV52),0)),IF(INDIRECT(PT$5)=0,1,""))</f>
        <v/>
      </c>
      <c r="QA52" s="97"/>
      <c r="QB52" s="307"/>
      <c r="QC52" s="96" t="str">
        <f>IFERROR(IFERROR(SUBSTITUTE(AerobicResultat[[#This Row],[Eingabe]],".",",")*1,SUBSTITUTE(AerobicResultat[[#This Row],[Eingabe]],",",".")*1),"")</f>
        <v/>
      </c>
      <c r="QD52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2" s="96"/>
      <c r="QF52" s="91" t="str" cm="1">
        <f t="array" aca="1" ref="QF52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2" s="96" t="str">
        <f ca="1">LEFT(Geschlecht[[#This Row],[Geschlecht (Skala)]],1)&amp;QL$4</f>
        <v>2</v>
      </c>
      <c r="QH52" s="96" t="str">
        <f t="shared" ca="1" si="97"/>
        <v>Aerobic_2[Resultat]</v>
      </c>
      <c r="QI52" s="97" t="str" cm="1">
        <f t="array" aca="1" ref="QI52" ca="1">IF(INDIRECT(QF$1)="","",IF(INDIRECT(QF$2)=0,0,IF(OR(INDIRECT(QF$1)=$A$2,INDIRECT(QF$1)=$A$3),$A$3,IFERROR(INDEX(INDIRECT(QH52),MATCH(INDIRECT(QF$3),INDIRECT(QH52),QH$25)),IFERROR(IF(QH$25=-1,MAX(INDIRECT(QH52)),IF(QH$25=1,MIN(INDIRECT(QH52)))),"")))))</f>
        <v/>
      </c>
      <c r="QK52" s="91" t="str">
        <f t="shared" ca="1" si="98"/>
        <v>Aerobic_2[Note]</v>
      </c>
      <c r="QL52" s="97" t="str" cm="1">
        <f t="array" aca="1" ref="QL52" ca="1">IFERROR(INDEX(INDIRECT(QK52),MATCH(INDIRECT(QF$5),INDIRECT(QH52),0)),IF(INDIRECT(QF$5)=0,1,""))</f>
        <v/>
      </c>
      <c r="QM52" s="97"/>
      <c r="QN52" s="97" t="str" cm="1">
        <f t="array" aca="1" ref="QN52" ca="1">INDIRECT(QN$5)</f>
        <v/>
      </c>
      <c r="QO52" s="97" t="str" cm="1">
        <f t="array" aca="1" ref="QO52" ca="1">INDIRECT(QO$5)</f>
        <v/>
      </c>
      <c r="QP52" s="97" t="str" cm="1">
        <f t="array" aca="1" ref="QP52" ca="1">INDIRECT(QP$5)</f>
        <v/>
      </c>
      <c r="QQ52" s="97" t="str" cm="1">
        <f t="array" aca="1" ref="QQ52" ca="1">INDIRECT(QQ$5)</f>
        <v/>
      </c>
      <c r="QR52" s="97" t="str" cm="1">
        <f t="array" aca="1" ref="QR52" ca="1">INDIRECT(QR$5)</f>
        <v/>
      </c>
      <c r="QS52" s="97" t="str" cm="1">
        <f t="array" aca="1" ref="QS52" ca="1">INDIRECT(QS$5)</f>
        <v/>
      </c>
      <c r="QT52" s="97" t="str">
        <f t="shared" ca="1" si="99"/>
        <v>Darstellen und Tanzen nicht durchgeführt</v>
      </c>
      <c r="QU52" s="108">
        <f t="shared" ca="1" si="100"/>
        <v>0</v>
      </c>
      <c r="QV52" s="108">
        <f t="shared" ca="1" si="101"/>
        <v>0</v>
      </c>
      <c r="QW52" s="108" t="str">
        <f t="shared" ca="1" si="210"/>
        <v/>
      </c>
      <c r="QX52" s="97" t="str">
        <f t="shared" ca="1" si="211"/>
        <v>Darstellen und Tanzen nicht durchgeführt</v>
      </c>
      <c r="QY52" s="97" t="str">
        <f t="shared" ca="1" si="212"/>
        <v/>
      </c>
      <c r="QZ52" s="97" t="str" cm="1">
        <f t="array" aca="1" ref="QZ52" ca="1">IFERROR(IF(INDIRECT(INDEX(INDIRECT(QZ$5),MATCH(QX52,INDIRECT(QZ$4),0)))&lt;&gt;"",INDEX(INDIRECT(QZ$5),MATCH(QX52,INDIRECT(QZ$4),0)),INDEX(INDIRECT(QZ$6),MATCH(QX52,INDIRECT(QZ$4),0))),"")</f>
        <v/>
      </c>
      <c r="RA52" s="97" t="str">
        <f t="shared" ca="1" si="213"/>
        <v/>
      </c>
      <c r="RB52" s="97" t="str" cm="1">
        <f t="array" aca="1" ref="RB52" ca="1">IFERROR(INDIRECT(QZ52),IF(NOT(ISERROR(FIND(Stammdaten!$CC$3,QX52,1))),$A$2,""))</f>
        <v/>
      </c>
      <c r="RC52" s="97" t="str">
        <f ca="1">IF(RB52="","",IF(AND(QY52=Stammdaten!$BX$20,RA52="0",RB52=1),SUBSTITUTE(TEXT(RB52,RA52)&amp;" "&amp;LEFT(QY52,LEN(QY52)-1),".",","),SUBSTITUTE(TEXT(RB52,RA52)&amp;" "&amp;QY52,".",",")))</f>
        <v/>
      </c>
      <c r="RD52" s="97" t="str">
        <f t="shared" ca="1" si="102"/>
        <v/>
      </c>
      <c r="RE52" s="97" t="str" cm="1">
        <f t="array" aca="1" ref="RE52" ca="1">IFERROR(LEFT(INDIRECT(RD52),1)&amp;"]","")</f>
        <v/>
      </c>
      <c r="RF52" s="97" t="str">
        <f t="shared" ca="1" si="103"/>
        <v/>
      </c>
      <c r="RG52" s="97" t="str">
        <f ca="1">IFERROR(LEFT(QX52,FIND(Stammdaten!$CA$4,QX52,1)-2),IFERROR(LEFT(QX52,FIND(Stammdaten!$CC$3,QX52,1)-2),QX52))</f>
        <v>Darstellen und Tanzen</v>
      </c>
      <c r="RH52" s="97" t="str">
        <f ca="1">IF(NOT(ISERROR(FIND(Stammdaten!$CA$4,QX52,1))),Stammdaten!$CA$4,IF(RI52&lt;&gt;Stammdaten!$CC$3,RF52,""))</f>
        <v>nicht durchgeführt</v>
      </c>
      <c r="RI52" s="91" t="str">
        <f ca="1">IF(RB52=$A$2,Stammdaten!$CC$3,RC52)</f>
        <v/>
      </c>
      <c r="RJ52" s="108">
        <f t="shared" ca="1" si="214"/>
        <v>6</v>
      </c>
      <c r="RK52" s="97"/>
      <c r="RL52" s="308" t="str">
        <f ca="1">IF(QT52=$QT$4,Stammdaten!$BZ$1,IF(QT52=$QT$5,$A$3,QT52))</f>
        <v>Zu wenige Werte</v>
      </c>
      <c r="RM52" s="97"/>
      <c r="RN52" s="307"/>
      <c r="RO52" s="96" t="str">
        <f>IFERROR(IFERROR(SUBSTITUTE(BasketballResultat[[#This Row],[Eingabe]],".",",")*1,SUBSTITUTE(BasketballResultat[[#This Row],[Eingabe]],",",".")*1),"")</f>
        <v/>
      </c>
      <c r="RP52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2" s="96"/>
      <c r="RR52" s="91" t="str" cm="1">
        <f t="array" aca="1" ref="RR52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2" s="96" t="str">
        <f ca="1">LEFT(Geschlecht[[#This Row],[Geschlecht (Skala)]],1)&amp;RX$4</f>
        <v>2</v>
      </c>
      <c r="RT52" s="96" t="str">
        <f t="shared" ca="1" si="104"/>
        <v>Basketball_2[Resultat]</v>
      </c>
      <c r="RU52" s="97" t="str" cm="1">
        <f t="array" aca="1" ref="RU52" ca="1">IF(INDIRECT(RR$1)="","",IF(INDIRECT(RR$2)=0,0,IF(OR(INDIRECT(RR$1)=$A$2,INDIRECT(RR$1)=$A$3),$A$3,IFERROR(INDEX(INDIRECT(RT52),MATCH(INDIRECT(RR$3),INDIRECT(RT52),RT$25)),IFERROR(IF(RT$25=-1,MAX(INDIRECT(RT52)),IF(RT$25=1,MIN(INDIRECT(RT52)))),"")))))</f>
        <v/>
      </c>
      <c r="RW52" s="91" t="str">
        <f t="shared" ca="1" si="105"/>
        <v>Basketball_2[Note]</v>
      </c>
      <c r="RX52" s="97" t="str" cm="1">
        <f t="array" aca="1" ref="RX52" ca="1">IFERROR(INDEX(INDIRECT(RW52),MATCH(INDIRECT(RR$5),INDIRECT(RT52),0)),IF(INDIRECT(RR$5)=0,1,""))</f>
        <v/>
      </c>
      <c r="RY52" s="97"/>
      <c r="RZ52" s="307"/>
      <c r="SA52" s="96" t="str">
        <f>IFERROR(IFERROR(SUBSTITUTE(FussballResultat[[#This Row],[Eingabe]],".",",")*1,SUBSTITUTE(FussballResultat[[#This Row],[Eingabe]],",",".")*1),"")</f>
        <v/>
      </c>
      <c r="SB52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2" s="96"/>
      <c r="SD52" s="316" t="str" cm="1">
        <f t="array" aca="1" ref="SD52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2" s="96" t="str">
        <f ca="1">LEFT(Geschlecht[[#This Row],[Geschlecht (Skala)]],1)&amp;SJ$4</f>
        <v>2</v>
      </c>
      <c r="SF52" s="96" t="str">
        <f t="shared" ca="1" si="106"/>
        <v>Fussball_2[Resultat]</v>
      </c>
      <c r="SG52" s="97" t="str" cm="1">
        <f t="array" aca="1" ref="SG52" ca="1">IF(INDIRECT(SD$1)="","",IF(INDIRECT(SD$2)=0,0,IF(OR(INDIRECT(SD$1)=$A$2,INDIRECT(SD$1)=$A$3),$A$3,IFERROR(INDEX(INDIRECT(SF52),MATCH(INDIRECT(SD$3),INDIRECT(SF52),SF$25)),IFERROR(IF(SF$25=-1,MAX(INDIRECT(SF52)),IF(SF$25=1,MIN(INDIRECT(SF52)))),"")))))</f>
        <v/>
      </c>
      <c r="SI52" s="91" t="str">
        <f t="shared" ca="1" si="107"/>
        <v>Fussball_2[Note]</v>
      </c>
      <c r="SJ52" s="97" t="str" cm="1">
        <f t="array" aca="1" ref="SJ52" ca="1">IFERROR(INDEX(INDIRECT(SI52),MATCH(INDIRECT(SD$5),INDIRECT(SF52),0)),IF(INDIRECT(SD$5)=0,1,""))</f>
        <v/>
      </c>
      <c r="SK52" s="97"/>
      <c r="SL52" s="307"/>
      <c r="SM52" s="96" t="str">
        <f>IFERROR(IFERROR(SUBSTITUTE(HandballResultat[[#This Row],[Eingabe]],".",",")*1,SUBSTITUTE(HandballResultat[[#This Row],[Eingabe]],",",".")*1),"")</f>
        <v/>
      </c>
      <c r="SN52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2" s="96"/>
      <c r="SP52" s="91" t="str" cm="1">
        <f t="array" aca="1" ref="SP52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2" s="96" t="str">
        <f ca="1">LEFT(Geschlecht[[#This Row],[Geschlecht (Skala)]],1)&amp;SV$4</f>
        <v>2</v>
      </c>
      <c r="SR52" s="96" t="str">
        <f t="shared" ca="1" si="108"/>
        <v>Handball_2[Resultat]</v>
      </c>
      <c r="SS52" s="97" t="str" cm="1">
        <f t="array" aca="1" ref="SS52" ca="1">IF(INDIRECT(SP$1)="","",IF(INDIRECT(SP$2)=0,0,IF(OR(INDIRECT(SP$1)=$A$2,INDIRECT(SP$1)=$A$3),$A$3,IFERROR(INDEX(INDIRECT(SR52),MATCH(INDIRECT(SP$3),INDIRECT(SR52),SR$25)),IFERROR(IF(SR$25=-1,MAX(INDIRECT(SR52)),IF(SR$25=1,MIN(INDIRECT(SR52)))),"")))))</f>
        <v/>
      </c>
      <c r="SU52" s="91" t="str">
        <f t="shared" ca="1" si="109"/>
        <v>Handball_2[Note]</v>
      </c>
      <c r="SV52" s="97" t="str" cm="1">
        <f t="array" aca="1" ref="SV52" ca="1">IFERROR(INDEX(INDIRECT(SU52),MATCH(INDIRECT(SP$5),INDIRECT(SR52),0)),IF(INDIRECT(SP$5)=0,1,""))</f>
        <v/>
      </c>
      <c r="SW52" s="97"/>
      <c r="SX52" s="307"/>
      <c r="SY52" s="96" t="str">
        <f>IFERROR(IFERROR(SUBSTITUTE(UnihockeyResultat[[#This Row],[Eingabe]],".",",")*1,SUBSTITUTE(UnihockeyResultat[[#This Row],[Eingabe]],",",".")*1),"")</f>
        <v/>
      </c>
      <c r="SZ52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2" s="96"/>
      <c r="TB52" s="91" t="str" cm="1">
        <f t="array" aca="1" ref="TB52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2" s="96" t="str">
        <f ca="1">LEFT(Geschlecht[[#This Row],[Geschlecht (Skala)]],1)&amp;TH$4</f>
        <v>2</v>
      </c>
      <c r="TD52" s="96" t="str">
        <f t="shared" ca="1" si="110"/>
        <v>Unihockey_2[Resultat]</v>
      </c>
      <c r="TE52" s="97" t="str" cm="1">
        <f t="array" aca="1" ref="TE52" ca="1">IF(INDIRECT(TB$1)="","",IF(INDIRECT(TB$2)=0,0,IF(OR(INDIRECT(TB$1)=$A$2,INDIRECT(TB$1)=$A$3),$A$3,IFERROR(INDEX(INDIRECT(TD52),MATCH(INDIRECT(TB$3),INDIRECT(TD52),TD$25)),IFERROR(IF(TD$25=-1,MAX(INDIRECT(TD52)),IF(TD$25=1,MIN(INDIRECT(TD52)))),"")))))</f>
        <v/>
      </c>
      <c r="TG52" s="91" t="str">
        <f t="shared" ca="1" si="111"/>
        <v>Unihockey_2[Note]</v>
      </c>
      <c r="TH52" s="97" t="str" cm="1">
        <f t="array" aca="1" ref="TH52" ca="1">IFERROR(INDEX(INDIRECT(TG52),MATCH(INDIRECT(TB$5),INDIRECT(TD52),0)),IF(INDIRECT(TB$5)=0,1,""))</f>
        <v/>
      </c>
      <c r="TI52" s="97"/>
      <c r="TJ52" s="307"/>
      <c r="TK52" s="96" t="str">
        <f>IFERROR(IFERROR(SUBSTITUTE(VolleyballResultat[[#This Row],[Eingabe]],".",",")*1,SUBSTITUTE(VolleyballResultat[[#This Row],[Eingabe]],",",".")*1),"")</f>
        <v/>
      </c>
      <c r="TL52" s="96" t="e">
        <f>INT(VolleyballResultat[[#This Row],[Resultat]])=VolleyballResultat[[#This Row],[Resultat]]</f>
        <v>#VALUE!</v>
      </c>
      <c r="TM52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2" s="96"/>
      <c r="TO52" s="91" t="str" cm="1">
        <f t="array" aca="1" ref="TO52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2" s="96" t="str">
        <f ca="1">LEFT(Geschlecht[[#This Row],[Geschlecht (Skala)]],1)&amp;TU$4</f>
        <v>2</v>
      </c>
      <c r="TQ52" s="96" t="str">
        <f t="shared" ca="1" si="112"/>
        <v>Volleyball_2[Resultat]</v>
      </c>
      <c r="TR52" s="97" t="str" cm="1">
        <f t="array" aca="1" ref="TR52" ca="1">IF(INDIRECT(TO$1)="","",IF(INDIRECT(TO$2)=0,0,IF(OR(INDIRECT(TO$1)=$A$2,INDIRECT(TO$1)=$A$3),$A$3,IFERROR(INDEX(INDIRECT(TQ52),MATCH(INDIRECT(TO$3),INDIRECT(TQ52),TQ$25)),IFERROR(IF(TQ$25=-1,MAX(INDIRECT(TQ52)),IF(TQ$25=1,MIN(INDIRECT(TQ52)))),"")))))</f>
        <v/>
      </c>
      <c r="TT52" s="91" t="str">
        <f t="shared" ca="1" si="113"/>
        <v>Volleyball_2[Note]</v>
      </c>
      <c r="TU52" s="97" t="str" cm="1">
        <f t="array" aca="1" ref="TU52" ca="1">IFERROR(INDEX(INDIRECT(TT52),MATCH(INDIRECT(TO$5),INDIRECT(TQ52),0)),IF(INDIRECT(TO$5)=0,1,""))</f>
        <v/>
      </c>
      <c r="TV52" s="97"/>
      <c r="TW52" s="309" t="str" cm="1">
        <f t="array" aca="1" ref="TW52" ca="1">IF(AND(ISNUMBER(INDIRECT(TW$3)),INDIRECT(TW$3)&gt;1),INDIRECT(TW$3),"")</f>
        <v/>
      </c>
      <c r="TX52" s="309" t="str" cm="1">
        <f t="array" aca="1" ref="TX52" ca="1">IF(AND(ISNUMBER(INDIRECT(TX$3)),INDIRECT(TX$3)&gt;1),INDIRECT(TX$3),"")</f>
        <v/>
      </c>
      <c r="TY52" s="309" t="str" cm="1">
        <f t="array" aca="1" ref="TY52" ca="1">IF(AND(ISNUMBER(INDIRECT(TY$3)),INDIRECT(TY$3)&gt;1),INDIRECT(TY$3),"")</f>
        <v/>
      </c>
      <c r="TZ52" s="309" t="str" cm="1">
        <f t="array" aca="1" ref="TZ52" ca="1">IF(AND(ISNUMBER(INDIRECT(TZ$3)),INDIRECT(TZ$3)&gt;1),INDIRECT(TZ$3),"")</f>
        <v/>
      </c>
      <c r="UA52" s="309" t="str" cm="1">
        <f t="array" aca="1" ref="UA52" ca="1">IF(AND(ISNUMBER(INDIRECT(UA$3)),INDIRECT(UA$3)&gt;1),INDIRECT(UA$3),"")</f>
        <v/>
      </c>
      <c r="UB52" s="309" t="str">
        <f t="shared" ca="1" si="114"/>
        <v>x</v>
      </c>
      <c r="UC52" s="309" t="str">
        <f t="shared" ca="1" si="115"/>
        <v>y</v>
      </c>
      <c r="UD52" s="309" t="str">
        <f t="shared" ca="1" si="116"/>
        <v>z</v>
      </c>
      <c r="UE52" s="309" t="str">
        <f t="shared" ca="1" si="215"/>
        <v>a</v>
      </c>
      <c r="UF52" s="309" t="str" cm="1">
        <f t="array" aca="1" ref="UF52" ca="1">IF(UE52="a","",INDEX($TW$23:$UA$23,,MATCH(UE52,$TW52:$UA52,0)))</f>
        <v/>
      </c>
      <c r="UG52" s="309" t="str" cm="1">
        <f t="array" aca="1" ref="UG52" ca="1">IF(OR(UF52="",UF52&gt;=$UA$23),"",INDEX(INDIRECT(ADDRESS(ROW($TW$23),UF52+1)):$UA$23,,MATCH(UE52,INDIRECT(ADDRESS(ROW(),UF52+1)):$UA52,0)))</f>
        <v/>
      </c>
      <c r="UH52" s="309" t="str" cm="1">
        <f t="array" aca="1" ref="UH52" ca="1">IF(OR(UG52="",UG52&gt;=$UA$23),"",INDEX(INDIRECT(ADDRESS(ROW($TW$23),UG52+1)):$UA$23,,MATCH(UE52,INDIRECT(ADDRESS(ROW(),UG52+1)):$UA52,0)))</f>
        <v/>
      </c>
      <c r="UI52" s="309" t="str">
        <f t="shared" ca="1" si="216"/>
        <v>c</v>
      </c>
      <c r="UJ52" s="309" t="str" cm="1">
        <f t="array" aca="1" ref="UJ52" ca="1">IF(OR(UI52="b",UI52="c"),"",INDEX($TW$23:$UA$23,,MATCH(UI52,$TW52:$UA52,0)))</f>
        <v/>
      </c>
      <c r="UK52" s="309" t="str" cm="1">
        <f t="array" aca="1" ref="UK52" ca="1">IF(OR(UJ52="",UJ52&gt;=$UA$23),"",INDEX(INDIRECT(ADDRESS(ROW($TW$23),UJ52+1)):$UA$23,,MATCH(UI52,INDIRECT(ADDRESS(ROW(),UJ52+1)):$UA52,0)))</f>
        <v/>
      </c>
      <c r="UL52" s="309" t="str">
        <f t="shared" ca="1" si="117"/>
        <v/>
      </c>
      <c r="UM52" s="309" t="str">
        <f t="shared" ca="1" si="217"/>
        <v>e</v>
      </c>
      <c r="UN52" s="309" t="str">
        <f t="shared" ca="1" si="118"/>
        <v/>
      </c>
      <c r="UO52" s="309" t="str" cm="1">
        <f t="array" aca="1" ref="UO52" ca="1">IF(OR(UM52="d",UM52="e"),"",INDEX($TW$23:$UA$23,,MATCH(UM52,$TW52:$UA52,0)))</f>
        <v/>
      </c>
      <c r="UP52" s="309" t="str" cm="1">
        <f t="array" aca="1" ref="UP52" ca="1">IF(OR(UO52="",UO52&gt;=$UA$23),"",INDEX(INDIRECT(ADDRESS(ROW($TW$23),UO52+1)):$UA$23,,MATCH(UM52,INDIRECT(ADDRESS(ROW(),UO52+1)):$UA52,0)))</f>
        <v/>
      </c>
      <c r="UQ52" s="309" t="str" cm="1">
        <f t="array" aca="1" ref="UQ52" ca="1">IFERROR(IF(ISNUMBER(UF52),UF52,IF(ISNUMBER(UJ52),UJ52,IF(ISNUMBER(UN52),UN52,INDEX($TW$23:$UA$23,,MATCH(UB52,$TW52:$UA52,0))))),"x1")</f>
        <v>x1</v>
      </c>
      <c r="UR52" s="309" t="str" cm="1">
        <f t="array" aca="1" ref="UR52" ca="1">IFERROR(IF(ISNUMBER(UG52),UG52,IF(ISNUMBER(UK52),UK52,IF(ISNUMBER(UO52),UO52,INDEX($TW$23:$UA$23,,MATCH(UC52,$TW52:$UA52,0))))),IF(UQ52="x1","x2","x1"))</f>
        <v>x2</v>
      </c>
      <c r="US52" s="309" t="str" cm="1">
        <f t="array" aca="1" ref="US52" ca="1">IFERROR(IF(ISNUMBER(UH52),UH52,IF(ISNUMBER(UL52),UL52,IF(ISNUMBER(UP52),UP52,INDEX($TW$23:$UA$23,,MATCH(UD52,$TW52:$UA52,0))))),IF(UR52="x1","x2",IF(UR52="x2","x3","x1")))</f>
        <v>x3</v>
      </c>
      <c r="UT52" s="97" t="str" cm="1">
        <f t="array" aca="1" ref="UT52" ca="1">IF(OR(INDIRECT(UT$3)=$A$2,INDIRECT(UT$3)=$A$3),COLUMN(),"")</f>
        <v/>
      </c>
      <c r="UU52" s="97" t="str" cm="1">
        <f t="array" aca="1" ref="UU52" ca="1">IF(OR(INDIRECT(UU$3)=$A$2,INDIRECT(UU$3)=$A$3),COLUMN(),"")</f>
        <v/>
      </c>
      <c r="UV52" s="97" t="str" cm="1">
        <f t="array" aca="1" ref="UV52" ca="1">IF(OR(INDIRECT(UV$3)=$A$2,INDIRECT(UV$3)=$A$3),COLUMN(),"")</f>
        <v/>
      </c>
      <c r="UW52" s="97" t="str" cm="1">
        <f t="array" aca="1" ref="UW52" ca="1">IF(OR(INDIRECT(UW$3)=$A$2,INDIRECT(UW$3)=$A$3),COLUMN(),"")</f>
        <v/>
      </c>
      <c r="UX52" s="97" t="str" cm="1">
        <f t="array" aca="1" ref="UX52" ca="1">IF(OR(INDIRECT(UX$3)=$A$2,INDIRECT(UX$3)=$A$3),COLUMN(),"")</f>
        <v/>
      </c>
      <c r="UY52" s="97" t="str" cm="1">
        <f t="array" aca="1" ref="UY52" ca="1">IF(AND(ISNUMBER(INDIRECT(UY$3)),INDIRECT(UY$3)=0),COLUMN(),"")</f>
        <v/>
      </c>
      <c r="UZ52" s="97" t="str" cm="1">
        <f t="array" aca="1" ref="UZ52" ca="1">IF(AND(ISNUMBER(INDIRECT(UZ$3)),INDIRECT(UZ$3)=0),COLUMN(),"")</f>
        <v/>
      </c>
      <c r="VA52" s="97" t="str" cm="1">
        <f t="array" aca="1" ref="VA52" ca="1">IF(AND(ISNUMBER(INDIRECT(VA$3)),INDIRECT(VA$3)=0),COLUMN(),"")</f>
        <v/>
      </c>
      <c r="VB52" s="97" t="str" cm="1">
        <f t="array" aca="1" ref="VB52" ca="1">IF(AND(ISNUMBER(INDIRECT(VB$3)),INDIRECT(VB$3)=0),COLUMN(),"")</f>
        <v/>
      </c>
      <c r="VC52" s="97" t="str" cm="1">
        <f t="array" aca="1" ref="VC52" ca="1">IF(AND(ISNUMBER(INDIRECT(VC$3)),INDIRECT(VC$3)=0),COLUMN(),"")</f>
        <v/>
      </c>
      <c r="VD52" s="97" t="str">
        <f t="shared" ca="1" si="218"/>
        <v>x1</v>
      </c>
      <c r="VE52" s="97" t="str">
        <f t="shared" ca="1" si="219"/>
        <v>x2</v>
      </c>
      <c r="VF52" s="97" t="str">
        <f t="shared" ca="1" si="220"/>
        <v>x3</v>
      </c>
      <c r="VG52" s="97" t="str">
        <f ca="1">IFERROR(IF(ISNUMBER(VD52),VD52,SMALL($UY52:$VC52,VALUE(RIGHT(VD52,1)))),Stammdaten!$CB$17)</f>
        <v>Erste Spielsportart nicht durchgeführt</v>
      </c>
      <c r="VH52" s="97" t="str">
        <f ca="1">IFERROR(IF(ISNUMBER(VE52),VE52,SMALL($UY52:$VC52,VALUE(RIGHT(VE52,1)))),Stammdaten!$CB$18)</f>
        <v>Zweite Spielsportart nicht durchgeführt</v>
      </c>
      <c r="VI52" s="97" t="str">
        <f ca="1">IFERROR(IF(ISNUMBER(VF52),VF52,SMALL($UY52:$VC52,VALUE(RIGHT(VF52,1)))),Stammdaten!$CB$19)</f>
        <v>Dritte Spielsportart nicht durchgeführt</v>
      </c>
      <c r="VJ52" s="91" t="str" cm="1">
        <f t="array" aca="1" ref="VJ52" ca="1">IFERROR(INDIRECT(ADDRESS(ROW($TW$5),VG52)),VG52)</f>
        <v>Erste Spielsportart nicht durchgeführt</v>
      </c>
      <c r="VK52" s="97" t="str">
        <f t="shared" ca="1" si="221"/>
        <v/>
      </c>
      <c r="VL52" s="97" t="str" cm="1">
        <f t="array" aca="1" ref="VL52" ca="1">IFERROR(IF(INDIRECT(INDEX(INDIRECT(VL$5),MATCH(VJ52,INDIRECT(VL$4),0)))&lt;&gt;"",INDEX(INDIRECT(VL$5),MATCH(VJ52,INDIRECT(VL$4),0)),INDEX(INDIRECT(VL$6),MATCH(VJ52,INDIRECT(VL$4),0))),"")</f>
        <v/>
      </c>
      <c r="VM52" s="97" t="str">
        <f t="shared" ca="1" si="222"/>
        <v/>
      </c>
      <c r="VN52" s="97" t="str" cm="1">
        <f t="array" aca="1" ref="VN52" ca="1">IFERROR(INDIRECT(VL52),"")</f>
        <v/>
      </c>
      <c r="VO52" s="97" t="str">
        <f ca="1">IF(VN52="","",IF(AND(VK52=Stammdaten!$BX$20,VM52="0",VN52=1),SUBSTITUTE(TEXT(VN52,VM52)&amp;" "&amp;LEFT(VK52,LEN(VK52)-1),".",","),SUBSTITUTE(TEXT(VN52,VM52)&amp;" "&amp;VK52,".",",")))</f>
        <v/>
      </c>
      <c r="VP52" s="97" t="str">
        <f t="shared" ca="1" si="119"/>
        <v/>
      </c>
      <c r="VQ52" s="97" t="str" cm="1">
        <f t="array" aca="1" ref="VQ52" ca="1">IFERROR(LEFT(INDIRECT(VP52),1)&amp;"]","")</f>
        <v/>
      </c>
      <c r="VR52" s="97" t="str">
        <f t="shared" ca="1" si="120"/>
        <v/>
      </c>
      <c r="VS52" s="97" t="str">
        <f ca="1">IFERROR(LEFT(VJ52,FIND(Stammdaten!$CA$4,VJ52,1)-2),IFERROR(LEFT(VJ52,FIND(Stammdaten!$CC$3,VJ52,1)-2),VJ52))</f>
        <v>Erste Spielsportart</v>
      </c>
      <c r="VT52" s="97" t="str">
        <f ca="1">IF(NOT(ISERROR(FIND(Stammdaten!$CA$4,VJ52,1))),Stammdaten!$CA$4,IF(VU52&lt;&gt;Stammdaten!$CC$3,VR52,""))</f>
        <v>nicht durchgeführt</v>
      </c>
      <c r="VU52" s="91" t="str">
        <f ca="1">IF(VN52=$A$2,Stammdaten!$CC$3,VO52)</f>
        <v/>
      </c>
      <c r="VV52" s="91" t="str" cm="1">
        <f t="array" aca="1" ref="VV52" ca="1">IFERROR(INDIRECT(ADDRESS(ROW($TW$5),VH52)),VH52)</f>
        <v>Zweite Spielsportart nicht durchgeführt</v>
      </c>
      <c r="VW52" s="97" t="str">
        <f t="shared" ca="1" si="223"/>
        <v/>
      </c>
      <c r="VX52" s="97" t="str" cm="1">
        <f t="array" aca="1" ref="VX52" ca="1">IFERROR(IF(INDIRECT(INDEX(INDIRECT(VX$5),MATCH(VV52,INDIRECT(VX$4),0)))&lt;&gt;"",INDEX(INDIRECT(VX$5),MATCH(VV52,INDIRECT(VX$4),0)),INDEX(INDIRECT(VX$6),MATCH(VV52,INDIRECT(VX$4),0))),"")</f>
        <v/>
      </c>
      <c r="VY52" s="97" t="str">
        <f t="shared" ca="1" si="224"/>
        <v/>
      </c>
      <c r="VZ52" s="97" t="str" cm="1">
        <f t="array" aca="1" ref="VZ52" ca="1">IFERROR(INDIRECT(VX52),"")</f>
        <v/>
      </c>
      <c r="WA52" s="97" t="str">
        <f ca="1">IF(VZ52="","",IF(AND(VW52=Stammdaten!$BX$20,VY52="0",VZ52=1),SUBSTITUTE(TEXT(VZ52,VY52)&amp;" "&amp;LEFT(VW52,LEN(VW52)-1),".",","),SUBSTITUTE(TEXT(VZ52,VY52)&amp;" "&amp;VW52,".",",")))</f>
        <v/>
      </c>
      <c r="WB52" s="97" t="str">
        <f t="shared" ca="1" si="121"/>
        <v/>
      </c>
      <c r="WC52" s="97" t="str" cm="1">
        <f t="array" aca="1" ref="WC52" ca="1">IFERROR(LEFT(INDIRECT(WB52),1)&amp;"]","")</f>
        <v/>
      </c>
      <c r="WD52" s="97" t="str">
        <f t="shared" ca="1" si="122"/>
        <v/>
      </c>
      <c r="WE52" s="97" t="str">
        <f ca="1">IFERROR(LEFT(VV52,FIND(Stammdaten!$CA$4,VV52,1)-2),IFERROR(LEFT(VV52,FIND(Stammdaten!$CC$3,VV52,1)-2),VV52))</f>
        <v>Zweite Spielsportart</v>
      </c>
      <c r="WF52" s="97" t="str">
        <f ca="1">IF(NOT(ISERROR(FIND(Stammdaten!$CA$4,VV52,1))),Stammdaten!$CA$4,IF(WG52&lt;&gt;Stammdaten!$CC$3,WD52,""))</f>
        <v>nicht durchgeführt</v>
      </c>
      <c r="WG52" s="91" t="str">
        <f ca="1">IF(VZ52=$A$2,Stammdaten!$CC$3,WA52)</f>
        <v/>
      </c>
      <c r="WH52" s="91" t="str" cm="1">
        <f t="array" aca="1" ref="WH52" ca="1">IFERROR(INDIRECT(ADDRESS(ROW($TW$5),VI52)),VI52)</f>
        <v>Dritte Spielsportart nicht durchgeführt</v>
      </c>
      <c r="WI52" s="97" t="str">
        <f t="shared" ca="1" si="225"/>
        <v/>
      </c>
      <c r="WJ52" s="97" t="str" cm="1">
        <f t="array" aca="1" ref="WJ52" ca="1">IFERROR(IF(INDIRECT(INDEX(INDIRECT(WJ$5),MATCH(WH52,INDIRECT(WJ$4),0)))&lt;&gt;"",INDEX(INDIRECT(WJ$5),MATCH(WH52,INDIRECT(WJ$4),0)),INDEX(INDIRECT(WJ$6),MATCH(WH52,INDIRECT(WJ$4),0))),"")</f>
        <v/>
      </c>
      <c r="WK52" s="97" t="str">
        <f t="shared" ca="1" si="226"/>
        <v/>
      </c>
      <c r="WL52" s="97" t="str" cm="1">
        <f t="array" aca="1" ref="WL52" ca="1">IFERROR(INDIRECT(WJ52),"")</f>
        <v/>
      </c>
      <c r="WM52" s="97" t="str">
        <f ca="1">IF(WL52="","",IF(AND(WI52=Stammdaten!$BX$20,WK52="0",WL52=1),SUBSTITUTE(TEXT(WL52,WK52)&amp;" "&amp;LEFT(WI52,LEN(WI52)-1),".",","),SUBSTITUTE(TEXT(WL52,WK52)&amp;" "&amp;WI52,".",",")))</f>
        <v/>
      </c>
      <c r="WN52" s="97" t="str">
        <f t="shared" ca="1" si="123"/>
        <v/>
      </c>
      <c r="WO52" s="97" t="str" cm="1">
        <f t="array" aca="1" ref="WO52" ca="1">IFERROR(LEFT(INDIRECT(WN52),1)&amp;"]","")</f>
        <v/>
      </c>
      <c r="WP52" s="97" t="str">
        <f t="shared" ca="1" si="124"/>
        <v/>
      </c>
      <c r="WQ52" s="97" t="str">
        <f ca="1">IFERROR(LEFT(WH52,FIND(Stammdaten!$CA$4,WH52,1)-2),IFERROR(LEFT(WH52,FIND(Stammdaten!$CC$3,WH52,1)-2),WH52))</f>
        <v>Dritte Spielsportart</v>
      </c>
      <c r="WR52" s="97" t="str">
        <f ca="1">IF(NOT(ISERROR(FIND(Stammdaten!$CA$4,WH52,1))),Stammdaten!$CA$4,IF(WS52&lt;&gt;Stammdaten!$CC$3,WP52,""))</f>
        <v>nicht durchgeführt</v>
      </c>
      <c r="WS52" s="91" t="str">
        <f ca="1">IF(WL52=$A$2,Stammdaten!$CC$3,WM52)</f>
        <v/>
      </c>
      <c r="WT52" s="97" t="str" cm="1">
        <f t="array" aca="1" ref="WT52" ca="1">INDIRECT(WT$5)</f>
        <v/>
      </c>
      <c r="WU52" s="97" t="str" cm="1">
        <f t="array" aca="1" ref="WU52" ca="1">INDIRECT(WU$5)</f>
        <v/>
      </c>
      <c r="WV52" s="97" t="str" cm="1">
        <f t="array" aca="1" ref="WV52" ca="1">INDIRECT(WV$5)</f>
        <v/>
      </c>
      <c r="WW52" s="97" t="str" cm="1">
        <f t="array" aca="1" ref="WW52" ca="1">INDIRECT(WW$5)</f>
        <v/>
      </c>
      <c r="WX52" s="97" t="str" cm="1">
        <f t="array" aca="1" ref="WX52" ca="1">INDIRECT(WX$5)</f>
        <v/>
      </c>
      <c r="WY52" s="97" cm="1">
        <f t="array" aca="1" ref="WY52" ca="1">IF(INDIRECT(WY$5)&lt;&gt;"",INDIRECT(WY$5),0)</f>
        <v>0</v>
      </c>
      <c r="WZ52" s="97" cm="1">
        <f t="array" aca="1" ref="WZ52" ca="1">IF(INDIRECT(WZ$5)&lt;&gt;"",INDIRECT(WZ$5),0)</f>
        <v>0</v>
      </c>
      <c r="XA52" s="97" cm="1">
        <f t="array" aca="1" ref="XA52" ca="1">IF(INDIRECT(XA$5)&lt;&gt;"",INDIRECT(XA$5),0)</f>
        <v>0</v>
      </c>
      <c r="XB52" s="97" cm="1">
        <f t="array" aca="1" ref="XB52" ca="1">IF(INDIRECT(XB$5)&lt;&gt;"",INDIRECT(XB$5),0)</f>
        <v>0</v>
      </c>
      <c r="XC52" s="97" cm="1">
        <f t="array" aca="1" ref="XC52" ca="1">IF(INDIRECT(XC$5)&lt;&gt;"",INDIRECT(XC$5),0)</f>
        <v>0</v>
      </c>
      <c r="XD52" s="97">
        <f t="shared" ca="1" si="125"/>
        <v>0</v>
      </c>
      <c r="XE52" s="97">
        <f t="shared" ca="1" si="125"/>
        <v>0</v>
      </c>
      <c r="XF52" s="97">
        <f t="shared" ca="1" si="125"/>
        <v>0</v>
      </c>
      <c r="XG52" s="97">
        <f t="shared" ca="1" si="227"/>
        <v>0</v>
      </c>
      <c r="XH52" s="108">
        <f t="shared" ca="1" si="228"/>
        <v>0</v>
      </c>
      <c r="XI52" s="108">
        <f t="shared" ca="1" si="126"/>
        <v>0</v>
      </c>
      <c r="XJ52" s="108" t="str">
        <f t="shared" ca="1" si="229"/>
        <v/>
      </c>
      <c r="XK52" s="97" t="str">
        <f ca="1">IF(XJ52="",Stammdaten!$BZ$1,IF(AND(XH52=0,XI52&gt;=XJ$25),$A$3,ROUND(SUM(XG52/XJ52)/XK$25,0)*XK$25))</f>
        <v>Zu wenige Werte</v>
      </c>
      <c r="XL52" s="108">
        <f t="shared" ca="1" si="230"/>
        <v>6</v>
      </c>
      <c r="XM52" s="97" t="str">
        <f t="shared" ca="1" si="231"/>
        <v/>
      </c>
      <c r="XN52" s="97" t="str">
        <f t="shared" ca="1" si="232"/>
        <v/>
      </c>
      <c r="XO52" s="97" t="str">
        <f t="shared" ca="1" si="233"/>
        <v/>
      </c>
      <c r="XP52" s="97" t="str">
        <f t="shared" ca="1" si="234"/>
        <v/>
      </c>
      <c r="XQ52" s="97" t="str">
        <f t="shared" ca="1" si="235"/>
        <v>g</v>
      </c>
      <c r="XR52" s="97" t="str">
        <f t="shared" ca="1" si="236"/>
        <v/>
      </c>
      <c r="XS52" s="97">
        <f t="shared" ca="1" si="237"/>
        <v>1</v>
      </c>
      <c r="XT52" s="97" t="str">
        <f ca="1">IF(OR(Geschlecht[[#This Row],[Geschlecht (Skala)]]="",NOT(ISNUMBER(XJ52))),"",XS52)</f>
        <v/>
      </c>
      <c r="XU52" s="97" t="str">
        <f t="shared" ca="1" si="238"/>
        <v/>
      </c>
      <c r="XV52" s="97"/>
      <c r="XW52" s="308" t="str">
        <f t="shared" ca="1" si="127"/>
        <v>Zu wenige Werte</v>
      </c>
      <c r="XX52" s="97"/>
      <c r="XY52" s="97" t="str">
        <f t="shared" ca="1" si="128"/>
        <v>Zu wenige Werte</v>
      </c>
      <c r="XZ52" s="97" t="str">
        <f t="shared" ca="1" si="129"/>
        <v>Zu wenige Werte</v>
      </c>
      <c r="YA52" s="97" t="str">
        <f t="shared" ca="1" si="130"/>
        <v>Zu wenige Werte</v>
      </c>
      <c r="YB52" s="97" t="str">
        <f t="shared" ca="1" si="131"/>
        <v>Zu wenige Werte</v>
      </c>
      <c r="YC52" s="97">
        <f t="shared" ca="1" si="239"/>
        <v>0</v>
      </c>
      <c r="YD52" s="108">
        <f t="shared" ca="1" si="240"/>
        <v>0</v>
      </c>
      <c r="YE52" s="108">
        <f t="shared" ca="1" si="241"/>
        <v>0</v>
      </c>
      <c r="YF52" s="108" t="str">
        <f t="shared" ca="1" si="242"/>
        <v/>
      </c>
      <c r="YG52" s="97" t="str">
        <f ca="1">IF(YF52="",Stammdaten!$BZ$1,IF(YE52=YF$25,$A$3,ROUND(SUM(YC52/YF52)/YG$25,0)*YG$25))</f>
        <v>Zu wenige Werte</v>
      </c>
      <c r="YH52" s="97" t="str">
        <f ca="1">IF(NOT(ISNUMBER(XY52)),"",IF(YH$11&lt;&gt;"2+",TEXT(XY52,YH$11)&amp;" / ",IF(RIGHT(XY52*100,2)="00",TEXT(XY52,"0"&amp;Stammdaten!$AZ$3&amp;"0")&amp;" / ",XY52&amp;" / ")))</f>
        <v/>
      </c>
      <c r="YI52" s="97" t="str">
        <f ca="1">IF(NOT(ISNUMBER(XZ52)),"",IF(YI$11&lt;&gt;"2+",TEXT(XZ52,YI$11)&amp;" / ",IF(RIGHT(XZ52*100,2)="00",TEXT(XZ52,"0"&amp;Stammdaten!$AZ$3&amp;"0")&amp;" / ",XZ52&amp;" / ")))</f>
        <v/>
      </c>
      <c r="YJ52" s="97" t="str">
        <f ca="1">IF(NOT(ISNUMBER(YA52)),"",IF(YJ$11&lt;&gt;"2+",TEXT(YA52,YJ$11)&amp;" / ",IF(RIGHT(YA52*100,2)="00",TEXT(YA52,"0"&amp;Stammdaten!$AZ$3&amp;"0")&amp;" / ",YA52&amp;" / ")))</f>
        <v/>
      </c>
      <c r="YK52" s="97" t="str">
        <f ca="1">IF(NOT(ISNUMBER(YB52)),"",IF(YK$11&lt;&gt;"2+",TEXT(YB52,YK$11)&amp;" / ",IF(RIGHT(YB52*100,2)="00",TEXT(YB52,"0"&amp;Stammdaten!$AZ$3&amp;"0")&amp;" / ",YB52&amp;" / ")))</f>
        <v/>
      </c>
      <c r="YL52" s="97" t="str">
        <f t="shared" ca="1" si="243"/>
        <v/>
      </c>
      <c r="YM52" s="97" t="str">
        <f>IF(Geschlecht[[#This Row],[Geschlecht (Skala)]]="","",IF(ISNUMBER(XY52),1,IF(XY52=$A$3,$A$2,"R")))</f>
        <v/>
      </c>
      <c r="YN52" s="97" t="str">
        <f>IF(Geschlecht[[#This Row],[Geschlecht (Skala)]]="","",IF(ISNUMBER(XZ52),1,IF(XZ52=$A$3,$A$2,"R")))</f>
        <v/>
      </c>
      <c r="YO52" s="97" t="str">
        <f>IF(Geschlecht[[#This Row],[Geschlecht (Skala)]]="","",IF(ISNUMBER(YA52),1,IF(YA52=$A$3,$A$2,"R")))</f>
        <v/>
      </c>
      <c r="YP52" s="97" t="str">
        <f>IF(Geschlecht[[#This Row],[Geschlecht (Skala)]]="","",IF(ISNUMBER(YB52),1,IF(YB52=$A$3,$A$2,"R")))</f>
        <v/>
      </c>
      <c r="YQ52" s="97" t="str">
        <f t="shared" si="244"/>
        <v>g</v>
      </c>
      <c r="YR52" s="97" t="str">
        <f t="shared" ca="1" si="245"/>
        <v/>
      </c>
      <c r="YS52" s="97">
        <f t="shared" ca="1" si="246"/>
        <v>1</v>
      </c>
      <c r="YT52" s="97" t="str">
        <f ca="1">IF(OR(Geschlecht[[#This Row],[Geschlecht (Skala)]]="",NOT(ISNUMBER(YG52))),"",YS52)</f>
        <v/>
      </c>
      <c r="YU52" s="97"/>
      <c r="YV52" s="311" t="str">
        <f t="shared" si="247"/>
        <v>D</v>
      </c>
      <c r="YW52" s="302"/>
      <c r="YX52" s="311" t="str">
        <f t="shared" si="248"/>
        <v>D</v>
      </c>
      <c r="YY52" s="302"/>
      <c r="YZ52" s="311" t="str">
        <f t="shared" si="249"/>
        <v>D</v>
      </c>
      <c r="ZA52" s="302"/>
      <c r="ZB52" s="311" t="str">
        <f t="shared" si="250"/>
        <v>D</v>
      </c>
      <c r="ZC52" s="97"/>
      <c r="ZD52" s="97" t="str">
        <f t="shared" ca="1" si="132"/>
        <v/>
      </c>
      <c r="ZE52" s="97"/>
      <c r="ZF52" s="308" t="str">
        <f t="shared" ca="1" si="251"/>
        <v>Zu wenige Werte</v>
      </c>
      <c r="ZH52" s="317" t="s">
        <v>134</v>
      </c>
      <c r="ZJ52" s="91" t="str" cm="1">
        <f t="array" ref="ZJ52">IF(OR(Geschlecht[[#This Row],[Geschlecht (Skala)]]="",ZH52="",ZH52=Stammdaten!$BZ$5),"",REPLACE(INDEX(StdDisziplinen[TabÜberschriftNote],ZH$3),FIND("X",INDEX(StdDisziplinen[TabÜberschriftNote],ZH$3),1),1,Geschlecht[[#This Row],[Geschlecht (Skala)]]))</f>
        <v/>
      </c>
      <c r="ZK52" s="314"/>
      <c r="ZM52" s="315"/>
      <c r="ZN52" s="97" t="str">
        <f>IFERROR(IFERROR(SUBSTITUTE(SchwimmenResultatMin[[#This Row],[Min]],".",",")*1,SUBSTITUTE(SchwimmenResultatMin[[#This Row],[Min]],",",".")*1),"")</f>
        <v/>
      </c>
      <c r="ZO52" s="91" t="e">
        <f>INT(SchwimmenResultatMin[[#This Row],[Resultat]])=SchwimmenResultatMin[[#This Row],[Resultat]]</f>
        <v>#VALUE!</v>
      </c>
      <c r="ZP52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2" s="315"/>
      <c r="ZS52" s="97" t="str">
        <f>IFERROR(IFERROR(SUBSTITUTE(SchwimmenResultatSek[[#This Row],[Sek]],".",",")*1,SUBSTITUTE(SchwimmenResultatSek[[#This Row],[Sek]],",",".")*1),"")</f>
        <v/>
      </c>
      <c r="ZT52" s="108" t="e">
        <f>INT(SchwimmenResultatSek[[#This Row],[Resultat]])=SchwimmenResultatSek[[#This Row],[Resultat]]</f>
        <v>#VALUE!</v>
      </c>
      <c r="ZU52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2" s="97" t="str" cm="1">
        <f t="array" aca="1" ref="ZW52" ca="1">IF(AND(INDIRECT(ZW$2)="",INDIRECT(ZX$2)=""),"",IFERROR((INDIRECT(ZW$2)*$ZW$25)+INDIRECT(ZX$2),""))</f>
        <v/>
      </c>
      <c r="ZX52" s="91" t="str">
        <f ca="1">REPLACE(ZW$4,ZX$6,1,Geschlecht[[#This Row],[Geschlecht (Skala)]])</f>
        <v>Schwimmen_[Resultat]</v>
      </c>
      <c r="ZY52" s="91" t="str">
        <f ca="1">IFERROR(REPLACE($ZX52,FIND(Stammdaten!$V$2,$ZX52,1),LEN(Stammdaten!$V$2),Stammdaten!$BZ$9),"")</f>
        <v>Schwimmen_[Anzeige]</v>
      </c>
      <c r="ZZ52" s="97" t="str" cm="1">
        <f t="array" aca="1" ref="ZZ52" ca="1">IF(INDIRECT(ZW$3)="","",IF(INDIRECT(ZW$3)=0,0,IF(OR(INDIRECT(ZW$1)=$A$2,INDIRECT(ZW$1)=$A$3),$A$3,IFERROR(INDEX(INDIRECT(ZX52),MATCH(INDIRECT(ZW$3),INDIRECT(ZX52),ZY$25)),IFERROR(IF(ZY$25=-1,MAX(INDIRECT(ZX52)),IF(ZY$25=1,MIN(INDIRECT(ZX52)))),"")))))</f>
        <v/>
      </c>
      <c r="AAA52" s="97" t="str" cm="1">
        <f t="array" aca="1" ref="AAA52" ca="1">IF(INDIRECT(ZX$5)=0,0,IF(OR(INDIRECT(ZW$1)=$A$2,INDIRECT(ZW$1)=$A$3),$A$3,IFERROR(INDEX(INDIRECT($ZY52),MATCH(INDIRECT(ZX$5),INDIRECT($ZX52),0)),"")))</f>
        <v/>
      </c>
      <c r="AAC52" s="91" t="str">
        <f ca="1">REPLACE(ZW$6,ZX$6,1,Geschlecht[[#This Row],[Geschlecht (Skala)]])</f>
        <v>Schwimmen_[Note]</v>
      </c>
      <c r="AAD52" s="97" t="str" cm="1">
        <f t="array" aca="1" ref="AAD52" ca="1">IFERROR(INDEX(INDIRECT(AAC52),MATCH(INDIRECT(ZX$5),INDIRECT(ZX52),0)),IF(INDIRECT(ZX$5)=0,1,""))</f>
        <v/>
      </c>
      <c r="AAE52" s="97"/>
      <c r="AAF52" s="96" t="str">
        <f>ZwölfMinLaufHalleResultat[[#This Row],[Resultat]]</f>
        <v/>
      </c>
      <c r="AAG52" s="96"/>
      <c r="AAH52" s="97" t="str">
        <f ca="1">ZwölfMinLaufHalleSkalawert[[#This Row],[Skala-Wert]]</f>
        <v/>
      </c>
      <c r="AAJ52" s="97" t="str">
        <f ca="1">ZwölfMinLaufHalleNote[[#This Row],[Note]]</f>
        <v/>
      </c>
      <c r="AAK52" s="97"/>
      <c r="AAL52" s="96" t="str">
        <f>ZwölfMinLaufimFreienResultat[[#This Row],[Resultat]]</f>
        <v/>
      </c>
      <c r="AAM52" s="96"/>
      <c r="AAN52" s="97" t="str">
        <f ca="1">ZwölfMinLaufimFreienSkalawert[[#This Row],[Skala-Wert]]</f>
        <v/>
      </c>
      <c r="AAP52" s="97" t="str">
        <f ca="1">ZwölfMinLaufimFreienNote[[#This Row],[Note]]</f>
        <v/>
      </c>
      <c r="AAQ52" s="97"/>
      <c r="AAR52" s="307"/>
      <c r="AAS52" s="96" t="str">
        <f>IFERROR(IFERROR(SUBSTITUTE(BeweglichkeitResultat[[#This Row],[Eingabe]],".",",")*1,SUBSTITUTE(BeweglichkeitResultat[[#This Row],[Eingabe]],",",".")*1),"")</f>
        <v/>
      </c>
      <c r="AAT52" s="96" t="e">
        <f>INT(BeweglichkeitResultat[[#This Row],[Resultat]])=BeweglichkeitResultat[[#This Row],[Resultat]]</f>
        <v>#VALUE!</v>
      </c>
      <c r="AAU52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2" s="96"/>
      <c r="AAW52" s="91" t="str" cm="1">
        <f t="array" aca="1" ref="AAW52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2" s="96" t="str">
        <f ca="1">REPLACE(AAW$4,AAX$6,1,Geschlecht[[#This Row],[Geschlecht (Skala)]])</f>
        <v>Beweglichkeit_[Resultat]</v>
      </c>
      <c r="AAY52" s="96" t="str" cm="1">
        <f t="array" aca="1" ref="AAY52" ca="1">IF(OR(INDIRECT(AAW$1)=$A$2,INDIRECT(AAW$1)=$A$3),$A$3,IF(OR(INDIRECT(AAW$2)="",AND(Geschlecht[[#This Row],[Geschlecht (Skala)]]=Stammdaten!$D$7,INDIRECT(AAW$2)&lt;0)),"",IFERROR(INDEX(INDIRECT(AAX52),MATCH(INDIRECT(AAW$3),INDIRECT(AAX52),AAX$25)),IFERROR(IF(AAX$25=-1,MAX(INDIRECT(AAX52)),IF(AAX$25=1,MIN(INDIRECT(AAX52)))),""))))</f>
        <v/>
      </c>
      <c r="AAZ52" s="97" t="str" cm="1">
        <f t="array" aca="1" ref="AAZ52" ca="1">IF(INDIRECT(AAW$1)="","",IF(INDIRECT(AAW$1)=0,0,IF(OR(INDIRECT(AAW$1)=$A$2,INDIRECT(AAW$1)=$A$3),$A$3,IFERROR(INDEX(INDIRECT(AAY52),MATCH(INDIRECT(AAW$3),INDIRECT(AAY52),AAY$27)),IFERROR(IF(AAY$27=-1,MAX(INDIRECT(AAY52)),IF(AAY$27=1,MIN(INDIRECT(AAY52)))),"")))))</f>
        <v/>
      </c>
      <c r="ABA52" s="96" t="str">
        <f ca="1">REPLACE(AAW$6,AAX$6,1,Geschlecht[[#This Row],[Geschlecht (Skala)]])</f>
        <v>Beweglichkeit_[Note]</v>
      </c>
      <c r="ABB52" s="91" t="str" cm="1">
        <f t="array" aca="1" ref="ABB52" ca="1">IFERROR(INDEX(INDIRECT(ABA52),MATCH(INDIRECT(AAW$5),INDIRECT(AAX52),0)),"")</f>
        <v/>
      </c>
      <c r="ABC52" s="97" t="str" cm="1">
        <f t="array" aca="1" ref="ABC52" ca="1">IFERROR(INDEX(INDIRECT(ABB52),MATCH(INDIRECT(AAW$5),INDIRECT(AAY52),0)),"")</f>
        <v/>
      </c>
      <c r="ABD52" s="307"/>
      <c r="ABE52" s="96" t="str">
        <f>IFERROR(IFERROR(SUBSTITUTE(RumpfkraftResultat[[#This Row],[Eingabe]],".",",")*1,SUBSTITUTE(RumpfkraftResultat[[#This Row],[Eingabe]],",",".")*1),"")</f>
        <v/>
      </c>
      <c r="ABF52" s="96" t="e">
        <f>INT(RumpfkraftResultat[[#This Row],[Resultat]])=RumpfkraftResultat[[#This Row],[Resultat]]</f>
        <v>#VALUE!</v>
      </c>
      <c r="ABG52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2" s="96"/>
      <c r="ABI52" s="91" t="str" cm="1">
        <f t="array" aca="1" ref="ABI52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2" s="96" t="str">
        <f ca="1">REPLACE(ABI$4,ABJ$6,1,Geschlecht[[#This Row],[Geschlecht (Skala)]])</f>
        <v>Rumpfkraft_[Resultat]</v>
      </c>
      <c r="ABK52" s="97" t="str" cm="1">
        <f t="array" aca="1" ref="ABK52" ca="1">IF(INDIRECT(ABI$1)="","",IF(OR(INDIRECT(ABI$1)=$A$2,INDIRECT(ABI$1)=$A$3),$A$3,IFERROR(INDEX(INDIRECT(ABJ52),MATCH(INDIRECT(ABI$3),INDIRECT(ABJ52),ABJ$25)),IFERROR(IF(ABJ$25=-1,MAX(INDIRECT(ABJ52)),IF(ABJ$25=1,MIN(INDIRECT(ABJ52)))),""))))</f>
        <v/>
      </c>
      <c r="ABM52" s="91" t="str">
        <f ca="1">REPLACE(ABI$6,ABJ$6,1,Geschlecht[[#This Row],[Geschlecht (Skala)]])</f>
        <v>Rumpfkraft_[Note]</v>
      </c>
      <c r="ABN52" s="97" t="str" cm="1">
        <f t="array" aca="1" ref="ABN52" ca="1">IFERROR(INDEX(INDIRECT(ABM52),MATCH(INDIRECT(ABI$5),INDIRECT(ABJ52),0)),"")</f>
        <v/>
      </c>
      <c r="ABO52" s="97"/>
      <c r="ABP52" s="96" t="str">
        <f>SechzigmLaufResultat[[#This Row],[Resultat]]</f>
        <v/>
      </c>
      <c r="ABQ52" s="96"/>
      <c r="ABR52" s="97" t="str">
        <f ca="1">SechzigmLaufSkalawert[[#This Row],[Skala-Wert]]</f>
        <v/>
      </c>
      <c r="ABT52" s="97" t="str">
        <f ca="1">SechzigmLaufNote[[#This Row],[Note]]</f>
        <v/>
      </c>
      <c r="ABU52" s="97"/>
      <c r="ABV52" s="96" t="str">
        <f>AchtzigmLaufResultat[[#This Row],[Resultat]]</f>
        <v/>
      </c>
      <c r="ABW52" s="96"/>
      <c r="ABX52" s="97" t="str">
        <f ca="1">AchtzigmLaufSkalawert[[#This Row],[Skala-Wert]]</f>
        <v/>
      </c>
      <c r="ABZ52" s="97" t="str">
        <f ca="1">AchtzigmLaufNote[[#This Row],[Note]]</f>
        <v/>
      </c>
      <c r="ACA52" s="97"/>
      <c r="ACB52" s="307"/>
      <c r="ACC52" s="96" t="str">
        <f>IFERROR(IFERROR(SUBSTITUTE(KonditionsparcoursResultat[[#This Row],[Eingabe]],".",",")*1,SUBSTITUTE(KonditionsparcoursResultat[[#This Row],[Eingabe]],",",".")*1),"")</f>
        <v/>
      </c>
      <c r="ACD52" s="96" t="e">
        <f>INT(KonditionsparcoursResultat[[#This Row],[Resultat]])=KonditionsparcoursResultat[[#This Row],[Resultat]]</f>
        <v>#VALUE!</v>
      </c>
      <c r="ACE52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2" s="96"/>
      <c r="ACG52" s="91" t="str" cm="1">
        <f t="array" aca="1" ref="ACG52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2" s="96" t="str">
        <f ca="1">LEFT(Geschlecht[[#This Row],[Geschlecht (Skala)]],1)&amp;ACM$4</f>
        <v>2</v>
      </c>
      <c r="ACI52" s="96" t="str">
        <f t="shared" ca="1" si="133"/>
        <v>Konditionsparcours_2[Resultat]</v>
      </c>
      <c r="ACJ52" s="97" t="str" cm="1">
        <f t="array" aca="1" ref="ACJ52" ca="1">IF(INDIRECT(ACG$1)="","",IF(OR(INDIRECT(ACG$1)=$A$2,INDIRECT(ACG$1)=$A$3),$A$3,IFERROR(INDEX(INDIRECT(ACI52),MATCH(INDIRECT(ACG$3),INDIRECT(ACI52),ACI$25)),IFERROR(IF(ACI$25=-1,MAX(INDIRECT(ACI52)),IF(ACI$25=1,MIN(INDIRECT(ACI52)))),""))))</f>
        <v/>
      </c>
      <c r="ACL52" s="91" t="str">
        <f t="shared" ca="1" si="134"/>
        <v>Konditionsparcours_2[Note]</v>
      </c>
      <c r="ACM52" s="97" t="str" cm="1">
        <f t="array" aca="1" ref="ACM52" ca="1">IFERROR(INDEX(INDIRECT(ACL52),MATCH(INDIRECT(ACG$5),INDIRECT(ACI52),0)),"")</f>
        <v/>
      </c>
      <c r="ACN52" s="102"/>
    </row>
    <row r="53" spans="1:768">
      <c r="A53" s="305">
        <v>26</v>
      </c>
      <c r="B53" s="133"/>
      <c r="C53" s="133"/>
      <c r="E53" s="306"/>
      <c r="G53" s="307"/>
      <c r="H53" s="96" t="str">
        <f>IFERROR(IFERROR(SUBSTITUTE(SechzigmLaufResultat[[#This Row],[Eingabe]],".",",")*1,SUBSTITUTE(SechzigmLaufResultat[[#This Row],[Eingabe]],",",".")*1),"")</f>
        <v/>
      </c>
      <c r="I53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3" s="96"/>
      <c r="K53" s="91" t="str" cm="1">
        <f t="array" aca="1" ref="K53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3" s="96" t="str">
        <f ca="1">LEFT(Geschlecht[[#This Row],[Geschlecht (Skala)]],1)&amp;Q$4</f>
        <v>2</v>
      </c>
      <c r="M53" s="96" t="str">
        <f t="shared" ca="1" si="37"/>
        <v>SechzigmLauf_2[Resultat]</v>
      </c>
      <c r="N53" s="97" t="str" cm="1">
        <f t="array" aca="1" ref="N53" ca="1">IF(INDIRECT(K$1)="","",IF(INDIRECT(K$2)=0,0,IF(OR(INDIRECT(K$1)=$A$2,INDIRECT(K$1)=$A$3),$A$3,IFERROR(INDEX(INDIRECT(M53),MATCH(INDIRECT(K$3),INDIRECT(M53),M$25)),IFERROR(IF(M$25=-1,MAX(INDIRECT(M53)),IF(M$25=1,MIN(INDIRECT(M53)))),"")))))</f>
        <v/>
      </c>
      <c r="P53" s="91" t="str">
        <f t="shared" ca="1" si="38"/>
        <v>SechzigmLauf_2[Note]</v>
      </c>
      <c r="Q53" s="97" t="str" cm="1">
        <f t="array" aca="1" ref="Q53" ca="1">IFERROR(INDEX(INDIRECT(P53),MATCH(INDIRECT(K$5),INDIRECT(M53),0)),IF(INDIRECT(K$5)=0,1,""))</f>
        <v/>
      </c>
      <c r="R53" s="97"/>
      <c r="S53" s="307"/>
      <c r="T53" s="96" t="str">
        <f>IFERROR(IFERROR(SUBSTITUTE(AchtzigmLaufResultat[[#This Row],[Eingabe]],".",",")*1,SUBSTITUTE(AchtzigmLaufResultat[[#This Row],[Eingabe]],",",".")*1),"")</f>
        <v/>
      </c>
      <c r="U53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3" s="96"/>
      <c r="W53" s="91" t="str" cm="1">
        <f t="array" aca="1" ref="W53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3" s="96" t="str">
        <f ca="1">LEFT(Geschlecht[[#This Row],[Geschlecht (Skala)]],1)&amp;AC$4</f>
        <v>2</v>
      </c>
      <c r="Y53" s="96" t="str">
        <f t="shared" ca="1" si="39"/>
        <v>AchtzigmLauf_2[Resultat]</v>
      </c>
      <c r="Z53" s="97" t="str" cm="1">
        <f t="array" aca="1" ref="Z53" ca="1">IF(INDIRECT(W$1)="","",IF(INDIRECT(W$2)=0,0,IF(OR(INDIRECT(W$1)=$A$2,INDIRECT(W$1)=$A$3),$A$3,IFERROR(INDEX(INDIRECT(Y53),MATCH(INDIRECT(W$3),INDIRECT(Y53),Y$25)),IFERROR(IF(Y$25=-1,MAX(INDIRECT(Y53)),IF(Y$25=1,MIN(INDIRECT(Y53)))),"")))))</f>
        <v/>
      </c>
      <c r="AB53" s="91" t="str">
        <f t="shared" ca="1" si="40"/>
        <v>AchtzigmLauf_2[Note]</v>
      </c>
      <c r="AC53" s="97" t="str" cm="1">
        <f t="array" aca="1" ref="AC53" ca="1">IFERROR(INDEX(INDIRECT(AB53),MATCH(INDIRECT(W$5),INDIRECT(Y53),0)),IF(INDIRECT(W$5)=0,1,""))</f>
        <v/>
      </c>
      <c r="AD53" s="97"/>
      <c r="AE53" s="307"/>
      <c r="AF53" s="96" t="str">
        <f>IFERROR(IFERROR(SUBSTITUTE(ZwölfMinLaufHalleResultat[[#This Row],[Eingabe]],".",",")*1,SUBSTITUTE(ZwölfMinLaufHalleResultat[[#This Row],[Eingabe]],",",".")*1),"")</f>
        <v/>
      </c>
      <c r="AG53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3" s="96"/>
      <c r="AI53" s="91" t="str" cm="1">
        <f t="array" aca="1" ref="AI53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3" s="96" t="str">
        <f ca="1">LEFT(Geschlecht[[#This Row],[Geschlecht (Skala)]],1)&amp;AO$4</f>
        <v>2</v>
      </c>
      <c r="AK53" s="96" t="str">
        <f t="shared" ca="1" si="41"/>
        <v>ZwölfMinLaufHalle_2[Resultat]</v>
      </c>
      <c r="AL53" s="97" t="str" cm="1">
        <f t="array" aca="1" ref="AL53" ca="1">IF(INDIRECT(AI$1)="","",IF(INDIRECT(AI$2)=0,0,IF(OR(INDIRECT(AI$1)=$A$2,INDIRECT(AI$1)=$A$3),$A$3,IFERROR(INDEX(INDIRECT(AK53),MATCH(INDIRECT(AI$3),INDIRECT(AK53),AK$25)),IFERROR(IF(AK$25=-1,MAX(INDIRECT(AK53)),IF(AK$25=1,MIN(INDIRECT(AK53)))),"")))))</f>
        <v/>
      </c>
      <c r="AN53" s="91" t="str">
        <f t="shared" ca="1" si="42"/>
        <v>ZwölfMinLaufHalle_2[Note]</v>
      </c>
      <c r="AO53" s="97" t="str" cm="1">
        <f t="array" aca="1" ref="AO53" ca="1">IFERROR(INDEX(INDIRECT(AN53),MATCH(INDIRECT(AI$5),INDIRECT(AK53),0)),IF(INDIRECT(AI$5)=0,1,""))</f>
        <v/>
      </c>
      <c r="AP53" s="97"/>
      <c r="AQ53" s="307"/>
      <c r="AR53" s="96" t="str">
        <f>IFERROR(IFERROR(SUBSTITUTE(ZwölfMinLaufimFreienResultat[[#This Row],[Eingabe]],".",",")*1,SUBSTITUTE(ZwölfMinLaufimFreienResultat[[#This Row],[Eingabe]],",",".")*1),"")</f>
        <v/>
      </c>
      <c r="AS53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3" s="96"/>
      <c r="AU53" s="91" t="str" cm="1">
        <f t="array" aca="1" ref="AU53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3" s="96" t="str">
        <f ca="1">LEFT(Geschlecht[[#This Row],[Geschlecht (Skala)]],1)&amp;BA$4</f>
        <v>2</v>
      </c>
      <c r="AW53" s="96" t="str">
        <f t="shared" ca="1" si="43"/>
        <v>ZwölfMinLaufimFreien_2[Resultat]</v>
      </c>
      <c r="AX53" s="97" t="str" cm="1">
        <f t="array" aca="1" ref="AX53" ca="1">IF(INDIRECT(AU$1)="","",IF(INDIRECT(AU$2)=0,0,IF(OR(INDIRECT(AU$1)=$A$2,INDIRECT(AU$1)=$A$3),$A$3,IFERROR(INDEX(INDIRECT(AW53),MATCH(INDIRECT(AU$3),INDIRECT(AW53),AW$25)),IFERROR(IF(AW$25=-1,MAX(INDIRECT(AW53)),IF(AW$25=1,MIN(INDIRECT(AW53)))),"")))))</f>
        <v/>
      </c>
      <c r="AZ53" s="91" t="str">
        <f t="shared" ca="1" si="44"/>
        <v>ZwölfMinLaufimFreien_2[Note]</v>
      </c>
      <c r="BA53" s="97" t="str" cm="1">
        <f t="array" aca="1" ref="BA53" ca="1">IFERROR(INDEX(INDIRECT(AZ53),MATCH(INDIRECT(AU$5),INDIRECT(AW53),0)),IF(INDIRECT(AU$5)=0,1,""))</f>
        <v/>
      </c>
      <c r="BB53" s="97"/>
      <c r="BC53" s="307"/>
      <c r="BD53" s="96" t="str">
        <f>IFERROR(IFERROR(SUBSTITUTE(HochsprungResultat[[#This Row],[Eingabe]],".",",")*1,SUBSTITUTE(HochsprungResultat[[#This Row],[Eingabe]],",",".")*1),"")</f>
        <v/>
      </c>
      <c r="BE53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3" s="96"/>
      <c r="BG53" s="91" t="str" cm="1">
        <f t="array" aca="1" ref="BG53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3" s="96" t="str">
        <f ca="1">LEFT(Geschlecht[[#This Row],[Geschlecht (Skala)]],1)&amp;BM$4</f>
        <v>2</v>
      </c>
      <c r="BI53" s="96" t="str">
        <f t="shared" ca="1" si="45"/>
        <v>Hochsprung_2[Resultat]</v>
      </c>
      <c r="BJ53" s="97" t="str" cm="1">
        <f t="array" aca="1" ref="BJ53" ca="1">IF(INDIRECT(BG$1)="","",IF(INDIRECT(BG$2)=0,0,IF(OR(INDIRECT(BG$1)=$A$2,INDIRECT(BG$1)=$A$3),$A$3,IFERROR(INDEX(INDIRECT(BI53),MATCH(INDIRECT(BG$3),INDIRECT(BI53),BI$25)),IFERROR(IF(BI$25=-1,MAX(INDIRECT(BI53)),IF(BI$25=1,MIN(INDIRECT(BI53)))),"")))))</f>
        <v/>
      </c>
      <c r="BL53" s="91" t="str">
        <f t="shared" ca="1" si="46"/>
        <v>Hochsprung_2[Note]</v>
      </c>
      <c r="BM53" s="97" t="str" cm="1">
        <f t="array" aca="1" ref="BM53" ca="1">IFERROR(INDEX(INDIRECT(BL53),MATCH(INDIRECT(BG$5),INDIRECT(BI53),0)),IF(INDIRECT(BG$5)=0,1,""))</f>
        <v/>
      </c>
      <c r="BN53" s="97"/>
      <c r="BO53" s="307"/>
      <c r="BP53" s="96" t="str">
        <f>IFERROR(IFERROR(SUBSTITUTE(WeitsprungResultat[[#This Row],[Eingabe]],".",",")*1,SUBSTITUTE(WeitsprungResultat[[#This Row],[Eingabe]],",",".")*1),"")</f>
        <v/>
      </c>
      <c r="BQ53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3" s="96"/>
      <c r="BS53" s="91" t="str" cm="1">
        <f t="array" aca="1" ref="BS53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3" s="96" t="str">
        <f ca="1">LEFT(Geschlecht[[#This Row],[Geschlecht (Skala)]],1)&amp;BY$4</f>
        <v>2</v>
      </c>
      <c r="BU53" s="96" t="str">
        <f t="shared" ca="1" si="47"/>
        <v>Weitsprung_2[Resultat]</v>
      </c>
      <c r="BV53" s="97" t="str" cm="1">
        <f t="array" aca="1" ref="BV53" ca="1">IF(INDIRECT(BS$1)="","",IF(INDIRECT(BS$2)=0,0,IF(OR(INDIRECT(BS$1)=$A$2,INDIRECT(BS$1)=$A$3),$A$3,IFERROR(INDEX(INDIRECT(BU53),MATCH(INDIRECT(BS$3),INDIRECT(BU53),BU$25)),IFERROR(IF(BU$25=-1,MAX(INDIRECT(BU53)),IF(BU$25=1,MIN(INDIRECT(BU53)))),"")))))</f>
        <v/>
      </c>
      <c r="BX53" s="91" t="str">
        <f t="shared" ca="1" si="48"/>
        <v>Weitsprung_2[Note]</v>
      </c>
      <c r="BY53" s="97" t="str" cm="1">
        <f t="array" aca="1" ref="BY53" ca="1">IFERROR(INDEX(INDIRECT(BX53),MATCH(INDIRECT(BS$5),INDIRECT(BU53),0)),IF(INDIRECT(BS$5)=0,1,""))</f>
        <v/>
      </c>
      <c r="BZ53" s="97"/>
      <c r="CA53" s="307"/>
      <c r="CB53" s="96" t="str">
        <f>IFERROR(IFERROR(SUBSTITUTE(BallwurfResultat[[#This Row],[Eingabe]],".",",")*1,SUBSTITUTE(BallwurfResultat[[#This Row],[Eingabe]],",",".")*1),"")</f>
        <v/>
      </c>
      <c r="CC53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3" s="96"/>
      <c r="CE53" s="91" t="str" cm="1">
        <f t="array" aca="1" ref="CE53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3" s="96" t="str">
        <f ca="1">LEFT(Geschlecht[[#This Row],[Geschlecht (Skala)]],1)&amp;CK$4</f>
        <v>2</v>
      </c>
      <c r="CG53" s="96" t="str">
        <f t="shared" ca="1" si="49"/>
        <v>Ballwurf_2[Resultat]</v>
      </c>
      <c r="CH53" s="97" t="str" cm="1">
        <f t="array" aca="1" ref="CH53" ca="1">IF(INDIRECT(CE$1)="","",IF(INDIRECT(CE$2)=0,0,IF(OR(INDIRECT(CE$1)=$A$2,INDIRECT(CE$1)=$A$3),$A$3,IFERROR(INDEX(INDIRECT(CG53),MATCH(INDIRECT(CE$3),INDIRECT(CG53),CG$25)),IFERROR(IF(CG$25=-1,MAX(INDIRECT(CG53)),IF(CG$25=1,MIN(INDIRECT(CG53)))),"")))))</f>
        <v/>
      </c>
      <c r="CJ53" s="91" t="str">
        <f t="shared" ca="1" si="50"/>
        <v>Ballwurf_2[Note]</v>
      </c>
      <c r="CK53" s="97" t="str" cm="1">
        <f t="array" aca="1" ref="CK53" ca="1">IFERROR(INDEX(INDIRECT(CJ53),MATCH(INDIRECT(CE$5),INDIRECT(CG53),0)),IF(INDIRECT(CE$5)=0,1,""))</f>
        <v/>
      </c>
      <c r="CL53" s="97"/>
      <c r="CM53" s="307"/>
      <c r="CN53" s="96" t="str">
        <f>IFERROR(IFERROR(SUBSTITUTE(KugelstossenResultat[[#This Row],[Eingabe]],".",",")*1,SUBSTITUTE(KugelstossenResultat[[#This Row],[Eingabe]],",",".")*1),"")</f>
        <v/>
      </c>
      <c r="CO53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3" s="96"/>
      <c r="CQ53" s="91" t="str" cm="1">
        <f t="array" aca="1" ref="CQ53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3" s="96" t="str">
        <f ca="1">LEFT(Geschlecht[[#This Row],[Geschlecht (Skala)]],1)&amp;CW$4</f>
        <v>2</v>
      </c>
      <c r="CS53" s="96" t="str">
        <f t="shared" ca="1" si="51"/>
        <v>Kugelstossen_2[Resultat]</v>
      </c>
      <c r="CT53" s="97" t="str" cm="1">
        <f t="array" aca="1" ref="CT53" ca="1">IF(INDIRECT(CQ$1)="","",IF(INDIRECT(CQ$2)=0,0,IF(OR(INDIRECT(CQ$1)=$A$2,INDIRECT(CQ$1)=$A$3),$A$3,IFERROR(INDEX(INDIRECT(CS53),MATCH(INDIRECT(CQ$3),INDIRECT(CS53),CS$25)),IFERROR(IF(CS$25=-1,MAX(INDIRECT(CS53)),IF(CS$25=1,MIN(INDIRECT(CS53)))),"")))))</f>
        <v/>
      </c>
      <c r="CV53" s="91" t="str">
        <f t="shared" ca="1" si="52"/>
        <v>Kugelstossen_2[Note]</v>
      </c>
      <c r="CW53" s="97" t="str" cm="1">
        <f t="array" aca="1" ref="CW53" ca="1">IFERROR(INDEX(INDIRECT(CV53),MATCH(INDIRECT(CQ$5),INDIRECT(CS53),0)),IF(INDIRECT(CQ$5)=0,1,""))</f>
        <v/>
      </c>
      <c r="CX53" s="97"/>
      <c r="CY53" s="307"/>
      <c r="CZ53" s="96" t="str">
        <f>IFERROR(IFERROR(SUBSTITUTE(SpeerwurfResultat[[#This Row],[Eingabe]],".",",")*1,SUBSTITUTE(SpeerwurfResultat[[#This Row],[Eingabe]],",",".")*1),"")</f>
        <v/>
      </c>
      <c r="DA53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3" s="96"/>
      <c r="DC53" s="91" t="str" cm="1">
        <f t="array" aca="1" ref="DC53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3" s="96" t="str">
        <f ca="1">LEFT(Geschlecht[[#This Row],[Geschlecht (Skala)]],1)&amp;DI$4</f>
        <v>2</v>
      </c>
      <c r="DE53" s="96" t="str">
        <f t="shared" ca="1" si="53"/>
        <v>Speerwurf_2[Resultat]</v>
      </c>
      <c r="DF53" s="97" t="str" cm="1">
        <f t="array" aca="1" ref="DF53" ca="1">IF(INDIRECT(DC$1)="","",IF(INDIRECT(DC$2)=0,0,IF(OR(INDIRECT(DC$1)=$A$2,INDIRECT(DC$1)=$A$3),$A$3,IFERROR(INDEX(INDIRECT(DE53),MATCH(INDIRECT(DC$3),INDIRECT(DE53),DE$25)),IFERROR(IF(DE$25=-1,MAX(INDIRECT(DE53)),IF(DE$25=1,MIN(INDIRECT(DE53)))),"")))))</f>
        <v/>
      </c>
      <c r="DH53" s="91" t="str">
        <f t="shared" ca="1" si="54"/>
        <v>Speerwurf_2[Note]</v>
      </c>
      <c r="DI53" s="97" t="str" cm="1">
        <f t="array" aca="1" ref="DI53" ca="1">IFERROR(INDEX(INDIRECT(DH53),MATCH(INDIRECT(DC$5),INDIRECT(DE53),0)),IF(INDIRECT(DC$5)=0,1,""))</f>
        <v/>
      </c>
      <c r="DJ53" s="97"/>
      <c r="DK53" s="97" t="str" cm="1">
        <f t="array" aca="1" ref="DK53" ca="1">INDIRECT(DK$5)</f>
        <v/>
      </c>
      <c r="DL53" s="97" t="str" cm="1">
        <f t="array" aca="1" ref="DL53" ca="1">INDIRECT(DL$5)</f>
        <v/>
      </c>
      <c r="DM53" s="97" t="str" cm="1">
        <f t="array" aca="1" ref="DM53" ca="1">INDIRECT(DM$5)</f>
        <v/>
      </c>
      <c r="DN53" s="97" t="str" cm="1">
        <f t="array" aca="1" ref="DN53" ca="1">INDIRECT(DN$5)</f>
        <v/>
      </c>
      <c r="DO53" s="97" t="str">
        <f t="shared" ca="1" si="135"/>
        <v>Sprintdisziplinen nicht durchgeführt</v>
      </c>
      <c r="DP53" s="97" t="str">
        <f t="shared" ca="1" si="136"/>
        <v/>
      </c>
      <c r="DQ53" s="108">
        <f t="shared" ca="1" si="137"/>
        <v>0</v>
      </c>
      <c r="DR53" s="108">
        <f t="shared" ca="1" si="138"/>
        <v>0</v>
      </c>
      <c r="DS53" s="108" t="str">
        <f t="shared" ca="1" si="139"/>
        <v/>
      </c>
      <c r="DT53" s="97" t="str">
        <f t="shared" ca="1" si="140"/>
        <v>Sprintdisziplinen nicht durchgeführt</v>
      </c>
      <c r="DU53" s="97" t="str">
        <f t="shared" ca="1" si="141"/>
        <v/>
      </c>
      <c r="DV53" s="97" t="str" cm="1">
        <f t="array" aca="1" ref="DV53" ca="1">IFERROR(IF(INDIRECT(INDEX(INDIRECT(DV$5),MATCH(DT53,INDIRECT(DV$4),0)))&lt;&gt;"",INDEX(INDIRECT(DV$5),MATCH(DT53,INDIRECT(DV$4),0)),INDEX(INDIRECT(DV$6),MATCH(DT53,INDIRECT(DV$4),0))),"")</f>
        <v/>
      </c>
      <c r="DW53" s="97" t="str">
        <f t="shared" ca="1" si="142"/>
        <v/>
      </c>
      <c r="DX53" s="97" t="str" cm="1">
        <f t="array" aca="1" ref="DX53" ca="1">IFERROR(INDIRECT(DV53),IF(NOT(ISERROR(FIND(Stammdaten!$CC$3,DT53,1))),$A$2,""))</f>
        <v/>
      </c>
      <c r="DY53" s="97" t="str">
        <f ca="1">IF(DX53="","",IF(AND(DU53=Stammdaten!$BX$20,DW53="0",DX53=1),SUBSTITUTE(TEXT(DX53,DW53)&amp;" "&amp;LEFT(DU53,LEN(DU53)-1),".",","),SUBSTITUTE(TEXT(DX53,DW53)&amp;" "&amp;DU53,".",",")))</f>
        <v/>
      </c>
      <c r="DZ53" s="97" t="str">
        <f t="shared" ca="1" si="55"/>
        <v/>
      </c>
      <c r="EA53" s="97" t="str" cm="1">
        <f t="array" aca="1" ref="EA53" ca="1">IFERROR(LEFT(INDIRECT(DZ53),1)&amp;"]","")</f>
        <v/>
      </c>
      <c r="EB53" s="97" t="str">
        <f t="shared" ca="1" si="56"/>
        <v/>
      </c>
      <c r="EC53" s="97" t="str">
        <f ca="1">IFERROR(LEFT(DT53,FIND(Stammdaten!$CA$4,DT53,1)-2),IFERROR(LEFT(DT53,FIND(Stammdaten!$CC$3,DT53,1)-2),DT53))</f>
        <v>Sprintdisziplinen</v>
      </c>
      <c r="ED53" s="97" t="str">
        <f ca="1">IF(NOT(ISERROR(FIND(Stammdaten!$CA$4,DT53,1))),Stammdaten!$CA$4,IF(EE53&lt;&gt;Stammdaten!$CC$3,EB53,""))</f>
        <v>nicht durchgeführt</v>
      </c>
      <c r="EE53" s="91" t="str">
        <f ca="1">IF(DX53=$A$2,Stammdaten!$CC$3,DY53)</f>
        <v/>
      </c>
      <c r="EF53" s="97" t="str" cm="1">
        <f t="array" aca="1" ref="EF53" ca="1">INDIRECT(EF$5)</f>
        <v/>
      </c>
      <c r="EG53" s="97" t="str" cm="1">
        <f t="array" aca="1" ref="EG53" ca="1">INDIRECT(EG$5)</f>
        <v/>
      </c>
      <c r="EH53" s="97" t="str" cm="1">
        <f t="array" aca="1" ref="EH53" ca="1">INDIRECT(EH$5)</f>
        <v/>
      </c>
      <c r="EI53" s="97" t="str" cm="1">
        <f t="array" aca="1" ref="EI53" ca="1">INDIRECT(EI$5)</f>
        <v/>
      </c>
      <c r="EJ53" s="97" t="str">
        <f t="shared" ca="1" si="143"/>
        <v>Ausdauerdisziplinen nicht durchgeführt</v>
      </c>
      <c r="EK53" s="97" t="str">
        <f t="shared" ca="1" si="144"/>
        <v/>
      </c>
      <c r="EL53" s="108">
        <f t="shared" ca="1" si="145"/>
        <v>0</v>
      </c>
      <c r="EM53" s="108">
        <f t="shared" ca="1" si="146"/>
        <v>0</v>
      </c>
      <c r="EN53" s="108" t="str">
        <f t="shared" ca="1" si="147"/>
        <v/>
      </c>
      <c r="EO53" s="97" t="str">
        <f t="shared" ca="1" si="148"/>
        <v>Ausdauerdisziplinen nicht durchgeführt</v>
      </c>
      <c r="EP53" s="97" t="str">
        <f t="shared" ca="1" si="149"/>
        <v/>
      </c>
      <c r="EQ53" s="97" t="str" cm="1">
        <f t="array" aca="1" ref="EQ53" ca="1">IFERROR(IF(INDIRECT(INDEX(INDIRECT(EQ$5),MATCH(EO53,INDIRECT(EQ$4),0)))&lt;&gt;"",INDEX(INDIRECT(EQ$5),MATCH(EO53,INDIRECT(EQ$4),0)),INDEX(INDIRECT(EQ$6),MATCH(EO53,INDIRECT(EQ$4),0))),"")</f>
        <v/>
      </c>
      <c r="ER53" s="97" t="str">
        <f t="shared" ca="1" si="150"/>
        <v/>
      </c>
      <c r="ES53" s="97" t="str" cm="1">
        <f t="array" aca="1" ref="ES53" ca="1">IFERROR(INDIRECT(EQ53),IF(NOT(ISERROR(FIND(Stammdaten!$CC$3,EO53,1))),$A$2,""))</f>
        <v/>
      </c>
      <c r="ET53" s="97" t="str">
        <f ca="1">IF(ES53="","",IF(AND(EP53=Stammdaten!$BX$20,ER53="0",ES53=1),SUBSTITUTE(TEXT(ES53,ER53)&amp;" "&amp;LEFT(EP53,LEN(EP53)-1),".",","),SUBSTITUTE(TEXT(ES53,ER53)&amp;" "&amp;EP53,".",",")))</f>
        <v/>
      </c>
      <c r="EU53" s="97" t="str">
        <f t="shared" ca="1" si="57"/>
        <v/>
      </c>
      <c r="EV53" s="97" t="str" cm="1">
        <f t="array" aca="1" ref="EV53" ca="1">IFERROR(LEFT(INDIRECT(EU53),1)&amp;"]","")</f>
        <v/>
      </c>
      <c r="EW53" s="97" t="str">
        <f t="shared" ca="1" si="58"/>
        <v/>
      </c>
      <c r="EX53" s="97" t="str">
        <f ca="1">IFERROR(LEFT(EO53,FIND(Stammdaten!$CA$4,EO53,1)-2),IFERROR(LEFT(EO53,FIND(Stammdaten!$CC$3,EO53,1)-2),EO53))</f>
        <v>Ausdauerdisziplinen</v>
      </c>
      <c r="EY53" s="97" t="str">
        <f ca="1">IF(NOT(ISERROR(FIND(Stammdaten!$CA$4,EO53,1))),Stammdaten!$CA$4,IF(EZ53&lt;&gt;Stammdaten!$CC$3,EW53,""))</f>
        <v>nicht durchgeführt</v>
      </c>
      <c r="EZ53" s="91" t="str">
        <f ca="1">IF(ES53=$A$2,Stammdaten!$CC$3,ET53)</f>
        <v/>
      </c>
      <c r="FA53" s="97" t="str" cm="1">
        <f t="array" aca="1" ref="FA53" ca="1">INDIRECT(FA$5)</f>
        <v/>
      </c>
      <c r="FB53" s="97" t="str" cm="1">
        <f t="array" aca="1" ref="FB53" ca="1">INDIRECT(FB$5)</f>
        <v/>
      </c>
      <c r="FC53" s="97" t="str" cm="1">
        <f t="array" aca="1" ref="FC53" ca="1">INDIRECT(FC$5)</f>
        <v/>
      </c>
      <c r="FD53" s="97" t="str" cm="1">
        <f t="array" aca="1" ref="FD53" ca="1">INDIRECT(FD$5)</f>
        <v/>
      </c>
      <c r="FE53" s="97" t="str">
        <f t="shared" ca="1" si="151"/>
        <v>Sprungdisziplinen nicht durchgeführt</v>
      </c>
      <c r="FF53" s="97" t="str">
        <f t="shared" ca="1" si="152"/>
        <v/>
      </c>
      <c r="FG53" s="108">
        <f t="shared" ca="1" si="153"/>
        <v>0</v>
      </c>
      <c r="FH53" s="108">
        <f t="shared" ca="1" si="154"/>
        <v>0</v>
      </c>
      <c r="FI53" s="108" t="str">
        <f t="shared" ca="1" si="155"/>
        <v/>
      </c>
      <c r="FJ53" s="97" t="str">
        <f t="shared" ca="1" si="156"/>
        <v>Sprungdisziplinen nicht durchgeführt</v>
      </c>
      <c r="FK53" s="97" t="str">
        <f t="shared" ca="1" si="157"/>
        <v/>
      </c>
      <c r="FL53" s="97" t="str" cm="1">
        <f t="array" aca="1" ref="FL53" ca="1">IFERROR(IF(INDIRECT(INDEX(INDIRECT(FL$5),MATCH(FJ53,INDIRECT(FL$4),0)))&lt;&gt;"",INDEX(INDIRECT(FL$5),MATCH(FJ53,INDIRECT(FL$4),0)),INDEX(INDIRECT(FL$6),MATCH(FJ53,INDIRECT(FL$4),0))),"")</f>
        <v/>
      </c>
      <c r="FM53" s="97" t="str">
        <f t="shared" ca="1" si="158"/>
        <v/>
      </c>
      <c r="FN53" s="97" t="str" cm="1">
        <f t="array" aca="1" ref="FN53" ca="1">IFERROR(INDIRECT(FL53),IF(NOT(ISERROR(FIND(Stammdaten!$CC$3,FJ53,1))),$A$2,""))</f>
        <v/>
      </c>
      <c r="FO53" s="97" t="str">
        <f ca="1">IF(FN53="","",IF(AND(FK53=Stammdaten!$BX$20,FM53="0",FN53=1),SUBSTITUTE(TEXT(FN53,FM53)&amp;" "&amp;LEFT(FK53,LEN(FK53)-1),".",","),SUBSTITUTE(TEXT(FN53,FM53)&amp;" "&amp;FK53,".",",")))</f>
        <v/>
      </c>
      <c r="FP53" s="97" t="str">
        <f t="shared" ca="1" si="59"/>
        <v/>
      </c>
      <c r="FQ53" s="97" t="str" cm="1">
        <f t="array" aca="1" ref="FQ53" ca="1">IFERROR(LEFT(INDIRECT(FP53),1)&amp;"]","")</f>
        <v/>
      </c>
      <c r="FR53" s="97" t="str">
        <f t="shared" ca="1" si="60"/>
        <v/>
      </c>
      <c r="FS53" s="97" t="str">
        <f ca="1">IFERROR(LEFT(FJ53,FIND(Stammdaten!$CA$4,FJ53,1)-2),IFERROR(LEFT(FJ53,FIND(Stammdaten!$CC$3,FJ53,1)-2),FJ53))</f>
        <v>Sprungdisziplinen</v>
      </c>
      <c r="FT53" s="97" t="str">
        <f ca="1">IF(NOT(ISERROR(FIND(Stammdaten!$CA$4,FJ53,1))),Stammdaten!$CA$4,IF(FU53&lt;&gt;Stammdaten!$CC$3,FR53,""))</f>
        <v>nicht durchgeführt</v>
      </c>
      <c r="FU53" s="91" t="str">
        <f ca="1">IF(FN53=$A$2,Stammdaten!$CC$3,FO53)</f>
        <v/>
      </c>
      <c r="FV53" s="97" t="str" cm="1">
        <f t="array" aca="1" ref="FV53" ca="1">INDIRECT(FV$5)</f>
        <v/>
      </c>
      <c r="FW53" s="97" t="str" cm="1">
        <f t="array" aca="1" ref="FW53" ca="1">INDIRECT(FW$5)</f>
        <v/>
      </c>
      <c r="FX53" s="97" t="str" cm="1">
        <f t="array" aca="1" ref="FX53" ca="1">INDIRECT(FX$5)</f>
        <v/>
      </c>
      <c r="FY53" s="97" t="str" cm="1">
        <f t="array" aca="1" ref="FY53" ca="1">INDIRECT(FY$5)</f>
        <v/>
      </c>
      <c r="FZ53" s="97" t="str" cm="1">
        <f t="array" aca="1" ref="FZ53" ca="1">INDIRECT(FZ$5)</f>
        <v/>
      </c>
      <c r="GA53" s="97" t="str" cm="1">
        <f t="array" aca="1" ref="GA53" ca="1">INDIRECT(GA$5)</f>
        <v/>
      </c>
      <c r="GB53" s="97" t="str">
        <f t="shared" ca="1" si="159"/>
        <v>Wurfdisziplinen nicht durchgeführt</v>
      </c>
      <c r="GC53" s="97" t="str">
        <f t="shared" ca="1" si="160"/>
        <v/>
      </c>
      <c r="GD53" s="108">
        <f t="shared" ca="1" si="161"/>
        <v>0</v>
      </c>
      <c r="GE53" s="108">
        <f t="shared" ca="1" si="162"/>
        <v>0</v>
      </c>
      <c r="GF53" s="108" t="str">
        <f t="shared" ca="1" si="163"/>
        <v/>
      </c>
      <c r="GG53" s="97" t="str">
        <f t="shared" ca="1" si="164"/>
        <v>Wurfdisziplinen nicht durchgeführt</v>
      </c>
      <c r="GH53" s="97" t="str">
        <f t="shared" ca="1" si="165"/>
        <v/>
      </c>
      <c r="GI53" s="97" t="str" cm="1">
        <f t="array" aca="1" ref="GI53" ca="1">IFERROR(IF(INDIRECT(INDEX(INDIRECT(GI$5),MATCH(GG53,INDIRECT(GI$4),0)))&lt;&gt;"",INDEX(INDIRECT(GI$5),MATCH(GG53,INDIRECT(GI$4),0)),INDEX(INDIRECT(GI$6),MATCH(GG53,INDIRECT(GI$4),0))),"")</f>
        <v/>
      </c>
      <c r="GJ53" s="97" t="str">
        <f t="shared" ca="1" si="166"/>
        <v/>
      </c>
      <c r="GK53" s="97" t="str" cm="1">
        <f t="array" aca="1" ref="GK53" ca="1">IFERROR(INDIRECT(GI53),IF(NOT(ISERROR(FIND(Stammdaten!$CC$3,GG53,1))),$A$2,""))</f>
        <v/>
      </c>
      <c r="GL53" s="97" t="str">
        <f ca="1">IF(GK53="","",IF(AND(GH53=Stammdaten!$BX$20,GJ53="0",GK53=1),SUBSTITUTE(TEXT(GK53,GJ53)&amp;" "&amp;LEFT(GH53,LEN(GH53)-1),".",","),SUBSTITUTE(TEXT(GK53,GJ53)&amp;" "&amp;GH53,".",",")))</f>
        <v/>
      </c>
      <c r="GM53" s="97" t="str">
        <f t="shared" ca="1" si="61"/>
        <v/>
      </c>
      <c r="GN53" s="97" t="str" cm="1">
        <f t="array" aca="1" ref="GN53" ca="1">IFERROR(LEFT(INDIRECT(GM53),1)&amp;"]","")</f>
        <v/>
      </c>
      <c r="GO53" s="97" t="str">
        <f t="shared" ca="1" si="62"/>
        <v/>
      </c>
      <c r="GP53" s="97" t="str">
        <f ca="1">IFERROR(LEFT(GG53,FIND(Stammdaten!$CA$4,GG53,1)-2),IFERROR(LEFT(GG53,FIND(Stammdaten!$CC$3,GG53,1)-2),GG53))</f>
        <v>Wurfdisziplinen</v>
      </c>
      <c r="GQ53" s="97" t="str">
        <f ca="1">IF(NOT(ISERROR(FIND(Stammdaten!$CA$4,GG53,1))),Stammdaten!$CA$4,IF(GR53&lt;&gt;Stammdaten!$CC$3,GO53,""))</f>
        <v>nicht durchgeführt</v>
      </c>
      <c r="GR53" s="91" t="str">
        <f ca="1">IF(GK53=$A$2,Stammdaten!$CC$3,GL53)</f>
        <v/>
      </c>
      <c r="GS53" s="97" t="str">
        <f t="shared" ca="1" si="63"/>
        <v/>
      </c>
      <c r="GT53" s="97" t="str">
        <f t="shared" ca="1" si="64"/>
        <v/>
      </c>
      <c r="GU53" s="97" t="str">
        <f t="shared" ca="1" si="65"/>
        <v/>
      </c>
      <c r="GV53" s="97" t="str">
        <f t="shared" ca="1" si="66"/>
        <v/>
      </c>
      <c r="GW53" s="97">
        <f t="shared" ca="1" si="167"/>
        <v>0</v>
      </c>
      <c r="GX53" s="108">
        <f t="shared" ca="1" si="168"/>
        <v>0</v>
      </c>
      <c r="GY53" s="108">
        <f t="shared" ca="1" si="169"/>
        <v>0</v>
      </c>
      <c r="GZ53" s="108" t="str">
        <f t="shared" ca="1" si="170"/>
        <v/>
      </c>
      <c r="HA53" s="97" t="str">
        <f ca="1">IF(GZ53="",Stammdaten!$BZ$1,IF(AND(GX53=0,GY53&gt;=GZ$25),$A$3,ROUND(SUM(GW53/GZ53)/HA$25,0)*HA$25))</f>
        <v>Zu wenige Werte</v>
      </c>
      <c r="HB53" s="108">
        <f t="shared" ca="1" si="171"/>
        <v>6</v>
      </c>
      <c r="HC53" s="97" t="str">
        <f t="shared" ca="1" si="172"/>
        <v/>
      </c>
      <c r="HD53" s="97" t="str">
        <f t="shared" ca="1" si="173"/>
        <v/>
      </c>
      <c r="HE53" s="97" t="str">
        <f t="shared" ca="1" si="174"/>
        <v/>
      </c>
      <c r="HF53" s="97" t="str">
        <f t="shared" ca="1" si="175"/>
        <v/>
      </c>
      <c r="HG53" s="97" t="str">
        <f t="shared" ca="1" si="176"/>
        <v/>
      </c>
      <c r="HH53" s="97" t="str">
        <f t="shared" ca="1" si="177"/>
        <v>g</v>
      </c>
      <c r="HI53" s="97" t="str">
        <f t="shared" ca="1" si="178"/>
        <v/>
      </c>
      <c r="HJ53" s="97">
        <f t="shared" ca="1" si="179"/>
        <v>1</v>
      </c>
      <c r="HK53" s="97" t="str">
        <f ca="1">IF(OR(Geschlecht[[#This Row],[Geschlecht (Skala)]]="",NOT(ISNUMBER(GZ53))),"",HJ53)</f>
        <v/>
      </c>
      <c r="HL53" s="97" t="str">
        <f t="shared" ca="1" si="180"/>
        <v/>
      </c>
      <c r="HM53" s="97"/>
      <c r="HN53" s="308" t="str">
        <f t="shared" ca="1" si="68"/>
        <v>Zu wenige Werte</v>
      </c>
      <c r="HO53" s="97"/>
      <c r="HP53" s="307"/>
      <c r="HQ53" s="96" t="str">
        <f>IFERROR(IFERROR(SUBSTITUTE(ReckResultat[[#This Row],[Eingabe]],".",",")*1,SUBSTITUTE(ReckResultat[[#This Row],[Eingabe]],",",".")*1),"")</f>
        <v/>
      </c>
      <c r="HR53" s="96" t="e">
        <f>INT(ReckResultat[[#This Row],[Resultat]])=ReckResultat[[#This Row],[Resultat]]</f>
        <v>#VALUE!</v>
      </c>
      <c r="HS53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3" s="96"/>
      <c r="HX53" s="97"/>
      <c r="HY53" s="307"/>
      <c r="HZ53" s="96" t="str">
        <f>IFERROR(IFERROR(SUBSTITUTE(BodenResultat[[#This Row],[Eingabe]],".",",")*1,SUBSTITUTE(BodenResultat[[#This Row],[Eingabe]],",",".")*1),"")</f>
        <v/>
      </c>
      <c r="IA53" s="96" t="e">
        <f>INT(BodenResultat[[#This Row],[Resultat]])=BodenResultat[[#This Row],[Resultat]]</f>
        <v>#VALUE!</v>
      </c>
      <c r="IB53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3" s="96"/>
      <c r="IG53" s="97"/>
      <c r="IH53" s="307"/>
      <c r="II53" s="96" t="str">
        <f>IFERROR(IFERROR(SUBSTITUTE(StufenbarrenResultat[[#This Row],[Eingabe]],".",",")*1,SUBSTITUTE(StufenbarrenResultat[[#This Row],[Eingabe]],",",".")*1),"")</f>
        <v/>
      </c>
      <c r="IJ53" s="96" t="e">
        <f>INT(StufenbarrenResultat[[#This Row],[Resultat]])=StufenbarrenResultat[[#This Row],[Resultat]]</f>
        <v>#VALUE!</v>
      </c>
      <c r="IK53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3" s="96"/>
      <c r="IP53" s="97"/>
      <c r="IQ53" s="307"/>
      <c r="IR53" s="96" t="str">
        <f>IFERROR(IFERROR(SUBSTITUTE(ParallelbarrenResultat[[#This Row],[Eingabe]],".",",")*1,SUBSTITUTE(ParallelbarrenResultat[[#This Row],[Eingabe]],",",".")*1),"")</f>
        <v/>
      </c>
      <c r="IS53" s="96" t="e">
        <f>INT(ParallelbarrenResultat[[#This Row],[Resultat]])=ParallelbarrenResultat[[#This Row],[Resultat]]</f>
        <v>#VALUE!</v>
      </c>
      <c r="IT53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3" s="96"/>
      <c r="IY53" s="97"/>
      <c r="IZ53" s="307"/>
      <c r="JA53" s="96" t="str">
        <f>IFERROR(IFERROR(SUBSTITUTE(SchaukelringeResultat[[#This Row],[Eingabe]],".",",")*1,SUBSTITUTE(SchaukelringeResultat[[#This Row],[Eingabe]],",",".")*1),"")</f>
        <v/>
      </c>
      <c r="JB53" s="96" t="e">
        <f>INT(SchaukelringeResultat[[#This Row],[Resultat]])=SchaukelringeResultat[[#This Row],[Resultat]]</f>
        <v>#VALUE!</v>
      </c>
      <c r="JC53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3" s="96"/>
      <c r="JH53" s="97"/>
      <c r="JI53" s="307"/>
      <c r="JJ53" s="96" t="str">
        <f>IFERROR(IFERROR(SUBSTITUTE(SprungResultat[[#This Row],[Eingabe]],".",",")*1,SUBSTITUTE(SprungResultat[[#This Row],[Eingabe]],",",".")*1),"")</f>
        <v/>
      </c>
      <c r="JK53" s="96" t="e">
        <f>INT(SprungResultat[[#This Row],[Resultat]])=SprungResultat[[#This Row],[Resultat]]</f>
        <v>#VALUE!</v>
      </c>
      <c r="JL53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3" s="96"/>
      <c r="JQ53" s="97"/>
      <c r="JR53" s="309" t="str" cm="1">
        <f t="array" aca="1" ref="JR53" ca="1">IF(AND(ISNUMBER(INDIRECT(JR$3)),INDIRECT(JR$3)&gt;0),INDIRECT(JR$3),"")</f>
        <v/>
      </c>
      <c r="JS53" s="309" t="str" cm="1">
        <f t="array" aca="1" ref="JS53" ca="1">IF(AND(ISNUMBER(INDIRECT(JS$3)),INDIRECT(JS$3)&gt;0),INDIRECT(JS$3),"")</f>
        <v/>
      </c>
      <c r="JT53" s="309" t="str" cm="1">
        <f t="array" aca="1" ref="JT53" ca="1">IF(AND(ISNUMBER(INDIRECT(JT$3)),INDIRECT(JT$3)&gt;0),INDIRECT(JT$3),"")</f>
        <v/>
      </c>
      <c r="JU53" s="309" t="str" cm="1">
        <f t="array" aca="1" ref="JU53" ca="1">IF(AND(ISNUMBER(INDIRECT(JU$3)),INDIRECT(JU$3)&gt;0),INDIRECT(JU$3),"")</f>
        <v/>
      </c>
      <c r="JV53" s="309" t="str" cm="1">
        <f t="array" aca="1" ref="JV53" ca="1">IF(AND(ISNUMBER(INDIRECT(JV$3)),INDIRECT(JV$3)&gt;0),INDIRECT(JV$3),"")</f>
        <v/>
      </c>
      <c r="JW53" s="309" t="str" cm="1">
        <f t="array" aca="1" ref="JW53" ca="1">IF(AND(ISNUMBER(INDIRECT(JW$3)),INDIRECT(JW$3)&gt;0),INDIRECT(JW$3),"")</f>
        <v/>
      </c>
      <c r="JX53" s="309" t="str">
        <f t="shared" ca="1" si="69"/>
        <v>x</v>
      </c>
      <c r="JY53" s="309" t="str">
        <f t="shared" ca="1" si="70"/>
        <v>y</v>
      </c>
      <c r="JZ53" s="309" t="str">
        <f t="shared" ca="1" si="71"/>
        <v>z</v>
      </c>
      <c r="KA53" s="309" t="str">
        <f t="shared" ca="1" si="181"/>
        <v>a</v>
      </c>
      <c r="KB53" s="309" t="str" cm="1">
        <f t="array" aca="1" ref="KB53" ca="1">IF(KA53="a","",INDEX($JR$23:$JW$23,,MATCH(KA53,$JR53:$JW53,0)))</f>
        <v/>
      </c>
      <c r="KC53" s="309" t="str" cm="1">
        <f t="array" aca="1" ref="KC53" ca="1">IF(OR(KB53="",KB53&gt;=$JW$23),"",INDEX(INDIRECT(ADDRESS(ROW($JR$23),KB53+1)):$JW$23,,MATCH(KA53,INDIRECT(ADDRESS(ROW(),KB53+1)):$JW53,0)))</f>
        <v/>
      </c>
      <c r="KD53" s="309" t="str" cm="1">
        <f t="array" aca="1" ref="KD53" ca="1">IF(OR(KC53="",KC53&gt;=$JW$23),"",INDEX(INDIRECT(ADDRESS(ROW($JR$23),KC53+1)):$JW$23,,MATCH(KA53,INDIRECT(ADDRESS(ROW(),KC53+1)):$JW53,0)))</f>
        <v/>
      </c>
      <c r="KE53" s="309" t="str">
        <f t="shared" ca="1" si="182"/>
        <v>c</v>
      </c>
      <c r="KF53" s="309" t="str" cm="1">
        <f t="array" aca="1" ref="KF53" ca="1">IF(OR(KE53="b",KE53="c"),"",INDEX($JR$23:$JW$23,,MATCH(KE53,$JR53:$JW53,0)))</f>
        <v/>
      </c>
      <c r="KG53" s="309" t="str" cm="1">
        <f t="array" aca="1" ref="KG53" ca="1">IF(OR(KF53="",KF53&gt;=$JW$23),"",INDEX(INDIRECT(ADDRESS(ROW($JR$23),KF53+1)):$JW$23,,MATCH(KE53,INDIRECT(ADDRESS(ROW(),KF53+1)):$JW53,0)))</f>
        <v/>
      </c>
      <c r="KH53" s="309" t="str">
        <f t="shared" ca="1" si="72"/>
        <v/>
      </c>
      <c r="KI53" s="309" t="str">
        <f t="shared" ca="1" si="183"/>
        <v>e</v>
      </c>
      <c r="KJ53" s="309" t="str">
        <f t="shared" ca="1" si="73"/>
        <v/>
      </c>
      <c r="KK53" s="309" t="str" cm="1">
        <f t="array" aca="1" ref="KK53" ca="1">IF(OR(KI53="d",KI53="e"),"",INDEX($JR$23:$JW$23,,MATCH(KI53,$JR53:$JW53,0)))</f>
        <v/>
      </c>
      <c r="KL53" s="309" t="str" cm="1">
        <f t="array" aca="1" ref="KL53" ca="1">IF(OR(KK53="",KK53&gt;=$JW$23),"",INDEX(INDIRECT(ADDRESS(ROW($JR$23),KK53+1)):$JW$23,,MATCH(KI53,INDIRECT(ADDRESS(ROW(),KK53+1)):$JW53,0)))</f>
        <v/>
      </c>
      <c r="KM53" s="309" t="str" cm="1">
        <f t="array" aca="1" ref="KM53" ca="1">IFERROR(IF(ISNUMBER(KB53),KB53,IF(ISNUMBER(KF53),KF53,IF(ISNUMBER(KJ53),KJ53,INDEX($JR$23:$JW$23,,MATCH(JX53,$JR53:$JW53,0))))),"x1")</f>
        <v>x1</v>
      </c>
      <c r="KN53" s="309" t="str" cm="1">
        <f t="array" aca="1" ref="KN53" ca="1">IFERROR(IF(ISNUMBER(KC53),KC53,IF(ISNUMBER(KG53),KG53,IF(ISNUMBER(KK53),KK53,INDEX($JR$23:$JW$23,,MATCH(JY53,$JR53:$JW53,0))))),IF(KM53="x1","x2","x1"))</f>
        <v>x2</v>
      </c>
      <c r="KO53" s="309" t="str" cm="1">
        <f t="array" aca="1" ref="KO53" ca="1">IFERROR(IF(ISNUMBER(KD53),KD53,IF(ISNUMBER(KH53),KH53,IF(ISNUMBER(KL53),KL53,INDEX($JR$23:$JW$23,,MATCH(JZ53,$JR53:$JW53,0))))),IF(KN53="x1","x2",IF(KN53="x2","x3","x1")))</f>
        <v>x3</v>
      </c>
      <c r="KP53" s="97" t="str" cm="1">
        <f t="array" aca="1" ref="KP53" ca="1">IF(OR(INDIRECT(KP$3)=$A$2,INDIRECT(KP$3)=$A$3),COLUMN(),"")</f>
        <v/>
      </c>
      <c r="KQ53" s="97" t="str" cm="1">
        <f t="array" aca="1" ref="KQ53" ca="1">IF(OR(INDIRECT(KQ$3)=$A$2,INDIRECT(KQ$3)=$A$3),COLUMN(),"")</f>
        <v/>
      </c>
      <c r="KR53" s="97" t="str" cm="1">
        <f t="array" aca="1" ref="KR53" ca="1">IF(OR(INDIRECT(KR$3)=$A$2,INDIRECT(KR$3)=$A$3),COLUMN(),"")</f>
        <v/>
      </c>
      <c r="KS53" s="97" t="str" cm="1">
        <f t="array" aca="1" ref="KS53" ca="1">IF(OR(INDIRECT(KS$3)=$A$2,INDIRECT(KS$3)=$A$3),COLUMN(),"")</f>
        <v/>
      </c>
      <c r="KT53" s="97" t="str" cm="1">
        <f t="array" aca="1" ref="KT53" ca="1">IF(OR(INDIRECT(KT$3)=$A$2,INDIRECT(KT$3)=$A$3),COLUMN(),"")</f>
        <v/>
      </c>
      <c r="KU53" s="97" t="str" cm="1">
        <f t="array" aca="1" ref="KU53" ca="1">IF(OR(INDIRECT(KU$3)=$A$2,INDIRECT(KU$3)=$A$3),COLUMN(),"")</f>
        <v/>
      </c>
      <c r="KV53" s="97" t="str" cm="1">
        <f t="array" aca="1" ref="KV53" ca="1">IF(AND(ISNUMBER(INDIRECT(KV$3)),INDIRECT(KV$3)=0),COLUMN(),"")</f>
        <v/>
      </c>
      <c r="KW53" s="97" t="str" cm="1">
        <f t="array" aca="1" ref="KW53" ca="1">IF(AND(ISNUMBER(INDIRECT(KW$3)),INDIRECT(KW$3)=0),COLUMN(),"")</f>
        <v/>
      </c>
      <c r="KX53" s="97" t="str" cm="1">
        <f t="array" aca="1" ref="KX53" ca="1">IF(AND(ISNUMBER(INDIRECT(KX$3)),INDIRECT(KX$3)=0),COLUMN(),"")</f>
        <v/>
      </c>
      <c r="KY53" s="97" t="str" cm="1">
        <f t="array" aca="1" ref="KY53" ca="1">IF(AND(ISNUMBER(INDIRECT(KY$3)),INDIRECT(KY$3)=0),COLUMN(),"")</f>
        <v/>
      </c>
      <c r="KZ53" s="97" t="str" cm="1">
        <f t="array" aca="1" ref="KZ53" ca="1">IF(AND(ISNUMBER(INDIRECT(KZ$3)),INDIRECT(KZ$3)=0),COLUMN(),"")</f>
        <v/>
      </c>
      <c r="LA53" s="97" t="str" cm="1">
        <f t="array" aca="1" ref="LA53" ca="1">IF(AND(ISNUMBER(INDIRECT(LA$3)),INDIRECT(LA$3)=0),COLUMN(),"")</f>
        <v/>
      </c>
      <c r="LB53" s="97" t="str">
        <f t="shared" ca="1" si="184"/>
        <v>x1</v>
      </c>
      <c r="LC53" s="97" t="str">
        <f t="shared" ca="1" si="185"/>
        <v>x2</v>
      </c>
      <c r="LD53" s="97" t="str">
        <f t="shared" ca="1" si="186"/>
        <v>x3</v>
      </c>
      <c r="LE53" s="97" t="str">
        <f ca="1">IFERROR(IF(ISNUMBER(LB53),LB53,SMALL($KV53:$LA53,VALUE(RIGHT(LB53,1)))),Stammdaten!$CA$17)</f>
        <v>Erstes Gerät nicht durchgeführt</v>
      </c>
      <c r="LF53" s="97" t="str">
        <f ca="1">IFERROR(IF(ISNUMBER(LC53),LC53,SMALL($KV53:$LA53,VALUE(RIGHT(LC53,1)))),Stammdaten!$CA$18)</f>
        <v>Zweites Gerät nicht durchgeführt</v>
      </c>
      <c r="LG53" s="97" t="str">
        <f ca="1">IFERROR(IF(ISNUMBER(LD53),LD53,SMALL($KV53:$LA53,VALUE(RIGHT(LD53,1)))),Stammdaten!$CA$19)</f>
        <v>Drittes Gerät nicht durchgeführt</v>
      </c>
      <c r="LH53" s="91" t="str" cm="1">
        <f t="array" aca="1" ref="LH53" ca="1">IFERROR(INDIRECT(ADDRESS(ROW($JR$5),LE53)),LE53)</f>
        <v>Erstes Gerät nicht durchgeführt</v>
      </c>
      <c r="LI53" s="97" t="str">
        <f t="shared" ca="1" si="187"/>
        <v/>
      </c>
      <c r="LJ53" s="97" t="str" cm="1">
        <f t="array" aca="1" ref="LJ53" ca="1">IFERROR(IF(INDIRECT(INDEX(INDIRECT(LJ$5),MATCH(LH53,INDIRECT(LJ$4),0)))&lt;&gt;"",INDEX(INDIRECT(LJ$5),MATCH(LH53,INDIRECT(LJ$4),0)),INDEX(INDIRECT(LJ$6),MATCH(LH53,INDIRECT(LJ$4),0))),"")</f>
        <v/>
      </c>
      <c r="LK53" s="97" t="str">
        <f t="shared" ca="1" si="188"/>
        <v/>
      </c>
      <c r="LL53" s="97" t="str" cm="1">
        <f t="array" aca="1" ref="LL53" ca="1">IFERROR(INDIRECT(LJ53),"")</f>
        <v/>
      </c>
      <c r="LM53" s="97" t="str">
        <f ca="1">IF(LL53="","",IF(AND(LI53=Stammdaten!$BX$20,LK53="0",LL53=1),SUBSTITUTE(TEXT(LL53,LK53)&amp;" "&amp;LEFT(LI53,LEN(LI53)-1),".",","),SUBSTITUTE(TEXT(LL53,LK53)&amp;" "&amp;LI53,".",",")))</f>
        <v/>
      </c>
      <c r="LN53" s="97" t="str">
        <f t="shared" ca="1" si="74"/>
        <v/>
      </c>
      <c r="LO53" s="97" t="str" cm="1">
        <f t="array" aca="1" ref="LO53" ca="1">IFERROR(LEFT(INDIRECT(LN53),1)&amp;"]","")</f>
        <v/>
      </c>
      <c r="LP53" s="97" t="str">
        <f t="shared" ca="1" si="75"/>
        <v/>
      </c>
      <c r="LQ53" s="97" t="str">
        <f ca="1">IFERROR(LEFT(LH53,FIND(Stammdaten!$CA$4,LH53,1)-2),IFERROR(LEFT(LH53,FIND(Stammdaten!$CC$3,LH53,1)-2),LH53))</f>
        <v>Erstes Gerät</v>
      </c>
      <c r="LR53" s="97" t="str">
        <f ca="1">IF(NOT(ISERROR(FIND(Stammdaten!$CA$4,LH53,1))),Stammdaten!$CA$4,IF(LS53&lt;&gt;Stammdaten!$CC$3,LP53,""))</f>
        <v>nicht durchgeführt</v>
      </c>
      <c r="LS53" s="91" t="str">
        <f ca="1">IF(LL53=$A$2,Stammdaten!$CC$3,LM53)</f>
        <v/>
      </c>
      <c r="LT53" s="91" t="str" cm="1">
        <f t="array" aca="1" ref="LT53" ca="1">IFERROR(INDIRECT(ADDRESS(ROW($JR$5),LF53)),LF53)</f>
        <v>Zweites Gerät nicht durchgeführt</v>
      </c>
      <c r="LU53" s="97" t="str">
        <f t="shared" ca="1" si="189"/>
        <v/>
      </c>
      <c r="LV53" s="97" t="str" cm="1">
        <f t="array" aca="1" ref="LV53" ca="1">IFERROR(IF(INDIRECT(INDEX(INDIRECT(LV$5),MATCH(LT53,INDIRECT(LV$4),0)))&lt;&gt;"",INDEX(INDIRECT(LV$5),MATCH(LT53,INDIRECT(LV$4),0)),INDEX(INDIRECT(LV$6),MATCH(LT53,INDIRECT(LV$4),0))),"")</f>
        <v/>
      </c>
      <c r="LW53" s="97" t="str">
        <f t="shared" ca="1" si="190"/>
        <v/>
      </c>
      <c r="LX53" s="97" t="str" cm="1">
        <f t="array" aca="1" ref="LX53" ca="1">IFERROR(INDIRECT(LV53),"")</f>
        <v/>
      </c>
      <c r="LY53" s="97" t="str">
        <f ca="1">IF(LX53="","",IF(AND(LU53=Stammdaten!$BX$20,LW53="0",LX53=1),SUBSTITUTE(TEXT(LX53,LW53)&amp;" "&amp;LEFT(LU53,LEN(LU53)-1),".",","),SUBSTITUTE(TEXT(LX53,LW53)&amp;" "&amp;LU53,".",",")))</f>
        <v/>
      </c>
      <c r="LZ53" s="97" t="str">
        <f t="shared" ca="1" si="76"/>
        <v/>
      </c>
      <c r="MA53" s="97" t="str" cm="1">
        <f t="array" aca="1" ref="MA53" ca="1">IFERROR(LEFT(INDIRECT(LZ53),1)&amp;"]","")</f>
        <v/>
      </c>
      <c r="MB53" s="97" t="str">
        <f t="shared" ca="1" si="77"/>
        <v/>
      </c>
      <c r="MC53" s="97" t="str">
        <f ca="1">IFERROR(LEFT(LT53,FIND(Stammdaten!$CA$4,LT53,1)-2),IFERROR(LEFT(LT53,FIND(Stammdaten!$CC$3,LT53,1)-2),LT53))</f>
        <v>Zweites Gerät</v>
      </c>
      <c r="MD53" s="97" t="str">
        <f ca="1">IF(NOT(ISERROR(FIND(Stammdaten!$CA$4,LT53,1))),Stammdaten!$CA$4,IF(ME53&lt;&gt;Stammdaten!$CC$3,MB53,""))</f>
        <v>nicht durchgeführt</v>
      </c>
      <c r="ME53" s="91" t="str">
        <f ca="1">IF(LX53=$A$2,Stammdaten!$CC$3,LY53)</f>
        <v/>
      </c>
      <c r="MF53" s="91" t="str" cm="1">
        <f t="array" aca="1" ref="MF53" ca="1">IFERROR(INDIRECT(ADDRESS(ROW($JR$5),LG53)),LG53)</f>
        <v>Drittes Gerät nicht durchgeführt</v>
      </c>
      <c r="MG53" s="97" t="str">
        <f t="shared" ca="1" si="191"/>
        <v/>
      </c>
      <c r="MH53" s="97" t="str" cm="1">
        <f t="array" aca="1" ref="MH53" ca="1">IFERROR(IF(INDIRECT(INDEX(INDIRECT(MH$5),MATCH(MF53,INDIRECT(MH$4),0)))&lt;&gt;"",INDEX(INDIRECT(MH$5),MATCH(MF53,INDIRECT(MH$4),0)),INDEX(INDIRECT(MH$6),MATCH(MF53,INDIRECT(MH$4),0))),"")</f>
        <v/>
      </c>
      <c r="MI53" s="97" t="str">
        <f t="shared" ca="1" si="192"/>
        <v/>
      </c>
      <c r="MJ53" s="97" t="str" cm="1">
        <f t="array" aca="1" ref="MJ53" ca="1">IFERROR(INDIRECT(MH53),"")</f>
        <v/>
      </c>
      <c r="MK53" s="97" t="str">
        <f ca="1">IF(MJ53="","",IF(AND(MG53=Stammdaten!$BX$20,MI53="0",MJ53=1),SUBSTITUTE(TEXT(MJ53,MI53)&amp;" "&amp;LEFT(MG53,LEN(MG53)-1),".",","),SUBSTITUTE(TEXT(MJ53,MI53)&amp;" "&amp;MG53,".",",")))</f>
        <v/>
      </c>
      <c r="ML53" s="97" t="str">
        <f t="shared" ca="1" si="78"/>
        <v/>
      </c>
      <c r="MM53" s="97" t="str" cm="1">
        <f t="array" aca="1" ref="MM53" ca="1">IFERROR(LEFT(INDIRECT(ML53),1)&amp;"]","")</f>
        <v/>
      </c>
      <c r="MN53" s="97" t="str">
        <f t="shared" ca="1" si="79"/>
        <v/>
      </c>
      <c r="MO53" s="97" t="str">
        <f ca="1">IFERROR(LEFT(MF53,FIND(Stammdaten!$CA$4,MF53,1)-2),IFERROR(LEFT(MF53,FIND(Stammdaten!$CC$3,MF53,1)-2),MF53))</f>
        <v>Drittes Gerät</v>
      </c>
      <c r="MP53" s="97" t="str">
        <f ca="1">IF(NOT(ISERROR(FIND(Stammdaten!$CA$4,MF53,1))),Stammdaten!$CA$4,IF(MQ53&lt;&gt;Stammdaten!$CC$3,MN53,""))</f>
        <v>nicht durchgeführt</v>
      </c>
      <c r="MQ53" s="91" t="str">
        <f ca="1">IF(MJ53=$A$2,Stammdaten!$CC$3,MK53)</f>
        <v/>
      </c>
      <c r="MR53" s="97">
        <f t="shared" ca="1" si="80"/>
        <v>0</v>
      </c>
      <c r="MS53" s="108">
        <f t="shared" ca="1" si="193"/>
        <v>0</v>
      </c>
      <c r="MT53" s="108">
        <f t="shared" ca="1" si="194"/>
        <v>0</v>
      </c>
      <c r="MU53" s="108">
        <f t="shared" ca="1" si="195"/>
        <v>0</v>
      </c>
      <c r="MV53" s="108" t="str">
        <f t="shared" ca="1" si="196"/>
        <v/>
      </c>
      <c r="MW53" s="97" t="str">
        <f ca="1">IF(MV53="",Stammdaten!$BZ$1,IF(AND(MS53+MT53=0,MU53&gt;=MV$25),$A$3,MR53))</f>
        <v>Zu wenige Werte</v>
      </c>
      <c r="MX53" s="97"/>
      <c r="MY53" s="91" t="str">
        <f t="shared" ca="1" si="81"/>
        <v/>
      </c>
      <c r="MZ53" s="96" t="str">
        <f>LEFT(Geschlecht[[#This Row],[Geschlecht (Skala)]],1)&amp;$MZ$27</f>
        <v>2</v>
      </c>
      <c r="NA53" s="96" t="str">
        <f t="shared" ca="1" si="82"/>
        <v>Geräteturnen_2[Resultat]</v>
      </c>
      <c r="NB53" s="97" t="str" cm="1">
        <f t="array" aca="1" ref="NB53" ca="1">IF(OR($MW53="",$MW53=Stammdaten!$BZ$1),"",IF($MW53=0,0,IF(OR($MW53=$A$2,$MW53=$A$3),$A$3,IFERROR(INDEX(INDIRECT(NA53),MATCH(INDIRECT(MY$3),INDIRECT(NA53),NA$25)),IFERROR(IF(NA$25=-1,MAX(INDIRECT(NA53)),IF(NA$25=1,MIN(INDIRECT(NA53)))),"")))))</f>
        <v/>
      </c>
      <c r="ND53" s="91" t="str">
        <f t="shared" ca="1" si="83"/>
        <v>Geräteturnen_2[Note]</v>
      </c>
      <c r="NE53" s="97" t="str" cm="1">
        <f t="array" aca="1" ref="NE53" ca="1">IFERROR(INDEX(INDIRECT(ND53),MATCH(INDIRECT(MY$5),INDIRECT(NA53),0)),IF(INDIRECT(MY$5)=0,1,""))</f>
        <v/>
      </c>
      <c r="NF53" s="97"/>
      <c r="NG53" s="307"/>
      <c r="NH53" s="96" t="str">
        <f>IFERROR(IFERROR(SUBSTITUTE(ParkourResultat[[#This Row],[Eingabe]],".",",")*1,SUBSTITUTE(ParkourResultat[[#This Row],[Eingabe]],",",".")*1),"")</f>
        <v/>
      </c>
      <c r="NI53" s="96" t="e">
        <f>INT(ParkourResultat[[#This Row],[Resultat]])=ParkourResultat[[#This Row],[Resultat]]</f>
        <v>#VALUE!</v>
      </c>
      <c r="NJ53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3" s="96"/>
      <c r="NL53" s="91" t="str" cm="1">
        <f t="array" aca="1" ref="NL53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3" s="96" t="str">
        <f ca="1">LEFT(Geschlecht[[#This Row],[Geschlecht (Skala)]],1)&amp;NR$4</f>
        <v>2</v>
      </c>
      <c r="NN53" s="96" t="str">
        <f t="shared" ca="1" si="84"/>
        <v>Parkour_2[Resultat]</v>
      </c>
      <c r="NO53" s="97" t="str" cm="1">
        <f t="array" aca="1" ref="NO53" ca="1">IF(INDIRECT(NL$1)="","",IF(INDIRECT(NL$2)=0,0,IF(OR(INDIRECT(NL$1)=$A$2,INDIRECT(NL$1)=$A$3),$A$3,IFERROR(INDEX(INDIRECT(NN53),MATCH(INDIRECT(NL$3),INDIRECT(NN53),NN$25)),IFERROR(IF(NN$25=-1,MAX(INDIRECT(NN53)),IF(NN$25=1,MIN(INDIRECT(NN53)))),"")))))</f>
        <v/>
      </c>
      <c r="NQ53" s="91" t="str">
        <f t="shared" ca="1" si="85"/>
        <v>Parkour_2[Note]</v>
      </c>
      <c r="NR53" s="97" t="str" cm="1">
        <f t="array" aca="1" ref="NR53" ca="1">IFERROR(INDEX(INDIRECT(NQ53),MATCH(INDIRECT(NL$5),INDIRECT(NN53),0)),IF(INDIRECT(NL$5)=0,1,""))</f>
        <v/>
      </c>
      <c r="NS53" s="97"/>
      <c r="NT53" s="97" t="str" cm="1">
        <f t="array" aca="1" ref="NT53" ca="1">INDIRECT(NT$5)</f>
        <v/>
      </c>
      <c r="NU53" s="97" t="str" cm="1">
        <f t="array" aca="1" ref="NU53" ca="1">INDIRECT(NU$5)</f>
        <v/>
      </c>
      <c r="NV53" s="97" t="str" cm="1">
        <f t="array" aca="1" ref="NV53" ca="1">INDIRECT(NV$5)</f>
        <v/>
      </c>
      <c r="NW53" s="97" t="str" cm="1">
        <f t="array" aca="1" ref="NW53" ca="1">INDIRECT(NW$5)</f>
        <v/>
      </c>
      <c r="NX53" s="97" t="str">
        <f t="shared" ca="1" si="86"/>
        <v>Parkour nicht durchgeführt</v>
      </c>
      <c r="NY53" s="97" t="str">
        <f t="shared" ca="1" si="197"/>
        <v/>
      </c>
      <c r="NZ53" s="97" t="str" cm="1">
        <f t="array" aca="1" ref="NZ53" ca="1">IFERROR(IF(INDIRECT(INDEX(INDIRECT(NZ$5),MATCH(NX53,INDIRECT(NZ$4),0)))&lt;&gt;"",INDEX(INDIRECT(NZ$5),MATCH(NX53,INDIRECT(NZ$4),0)),INDEX(INDIRECT(NZ$6),MATCH(NX53,INDIRECT(NZ$4),0))),"")</f>
        <v/>
      </c>
      <c r="OA53" s="97" t="str">
        <f t="shared" ca="1" si="198"/>
        <v/>
      </c>
      <c r="OB53" s="97" t="str" cm="1">
        <f t="array" aca="1" ref="OB53" ca="1">IFERROR(INDIRECT(NZ53),IF(NOT(ISERROR(FIND(Stammdaten!$CC$3,NX53,1))),$A$2,""))</f>
        <v/>
      </c>
      <c r="OC53" s="97" t="str">
        <f ca="1">IF(OB53="","",IF(AND(NY53=Stammdaten!$BX$20,OA53="0",OB53=1),SUBSTITUTE(TEXT(OB53,OA53)&amp;" "&amp;LEFT(NY53,LEN(NY53)-1),".",","),SUBSTITUTE(TEXT(OB53,OA53)&amp;" "&amp;NY53,".",",")))</f>
        <v/>
      </c>
      <c r="OD53" s="97" t="str">
        <f t="shared" ca="1" si="87"/>
        <v/>
      </c>
      <c r="OE53" s="97" t="str" cm="1">
        <f t="array" aca="1" ref="OE53" ca="1">IFERROR(LEFT(INDIRECT(OD53),1)&amp;"]","")</f>
        <v/>
      </c>
      <c r="OF53" s="97" t="str">
        <f t="shared" ca="1" si="88"/>
        <v/>
      </c>
      <c r="OG53" s="97" t="str">
        <f ca="1">IFERROR(LEFT(NX53,FIND(Stammdaten!$CA$4,NX53,1)-2),IFERROR(LEFT(NX53,FIND(Stammdaten!$CC$3,NX53,1)-2),NX53))</f>
        <v>Parkour</v>
      </c>
      <c r="OH53" s="97" t="str">
        <f ca="1">IF(NOT(ISERROR(FIND(Stammdaten!$CA$4,NX53,1))),Stammdaten!$CA$4,IF(OI53&lt;&gt;Stammdaten!$CC$3,OF53,""))</f>
        <v>nicht durchgeführt</v>
      </c>
      <c r="OI53" s="91" t="str">
        <f ca="1">IF(OB53=$A$2,Stammdaten!$CC$3,OC53)</f>
        <v/>
      </c>
      <c r="OJ53" s="97" t="str">
        <f t="shared" ca="1" si="89"/>
        <v/>
      </c>
      <c r="OK53" s="97" t="str">
        <f t="shared" ca="1" si="90"/>
        <v/>
      </c>
      <c r="OL53" s="97">
        <f t="shared" ca="1" si="199"/>
        <v>0</v>
      </c>
      <c r="OM53" s="108">
        <f t="shared" ca="1" si="91"/>
        <v>0</v>
      </c>
      <c r="ON53" s="108">
        <f t="shared" ca="1" si="92"/>
        <v>0</v>
      </c>
      <c r="OO53" s="108" t="str">
        <f t="shared" ca="1" si="200"/>
        <v/>
      </c>
      <c r="OP53" s="97" t="str">
        <f ca="1">IF(OO53="",Stammdaten!$BZ$1,IF(AND(OM53=0,ON53&gt;=OO$25),$A$3,ROUND(SUM(OL53/OO53)/OP$25,0)*OP$25))</f>
        <v>Zu wenige Werte</v>
      </c>
      <c r="OQ53" s="108">
        <f t="shared" ca="1" si="201"/>
        <v>6</v>
      </c>
      <c r="OR53" s="97" t="str">
        <f t="shared" ca="1" si="202"/>
        <v/>
      </c>
      <c r="OS53" s="97" t="str">
        <f t="shared" ca="1" si="203"/>
        <v/>
      </c>
      <c r="OT53" s="97" t="str">
        <f t="shared" ca="1" si="204"/>
        <v/>
      </c>
      <c r="OU53" s="97" t="str">
        <f t="shared" ca="1" si="205"/>
        <v>g</v>
      </c>
      <c r="OV53" s="97" t="str">
        <f t="shared" ca="1" si="206"/>
        <v/>
      </c>
      <c r="OW53" s="97">
        <f t="shared" ca="1" si="207"/>
        <v>1</v>
      </c>
      <c r="OX53" s="97" t="str">
        <f ca="1">IF(OR(Geschlecht[[#This Row],[Geschlecht (Skala)]]="",NOT(ISNUMBER(OO53))),"",OW53)</f>
        <v/>
      </c>
      <c r="OY53" s="97" t="str">
        <f t="shared" ca="1" si="208"/>
        <v/>
      </c>
      <c r="OZ53" s="97"/>
      <c r="PA53" s="308" t="str">
        <f t="shared" ca="1" si="209"/>
        <v>Zu wenige Werte</v>
      </c>
      <c r="PB53" s="97"/>
      <c r="PC53" s="307"/>
      <c r="PD53" s="96" t="str">
        <f>IFERROR(IFERROR(SUBSTITUTE(TanzenResultat[[#This Row],[Eingabe]],".",",")*1,SUBSTITUTE(TanzenResultat[[#This Row],[Eingabe]],",",".")*1),"")</f>
        <v/>
      </c>
      <c r="PE53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3" s="96"/>
      <c r="PG53" s="91" t="str" cm="1">
        <f t="array" aca="1" ref="PG53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3" s="96" t="str">
        <f ca="1">LEFT(Geschlecht[[#This Row],[Geschlecht (Skala)]],1)&amp;PM$4</f>
        <v>2</v>
      </c>
      <c r="PI53" s="96" t="str">
        <f t="shared" ca="1" si="93"/>
        <v>Tanzen_2[Resultat]</v>
      </c>
      <c r="PJ53" s="97" t="str" cm="1">
        <f t="array" aca="1" ref="PJ53" ca="1">IF(INDIRECT(PG$1)="","",IF(INDIRECT(PG$2)=0,0,IF(OR(INDIRECT(PG$1)=$A$2,INDIRECT(PG$1)=$A$3),$A$3,IFERROR(INDEX(INDIRECT(PI53),MATCH(INDIRECT(PG$3),INDIRECT(PI53),PI$25)),IFERROR(IF(PI$25=-1,MAX(INDIRECT(PI53)),IF(PI$25=1,MIN(INDIRECT(PI53)))),"")))))</f>
        <v/>
      </c>
      <c r="PL53" s="91" t="str">
        <f t="shared" ca="1" si="94"/>
        <v>Tanzen_2[Note]</v>
      </c>
      <c r="PM53" s="97" t="str" cm="1">
        <f t="array" aca="1" ref="PM53" ca="1">IFERROR(INDEX(INDIRECT(PL53),MATCH(INDIRECT(PG$5),INDIRECT(PI53),0)),IF(INDIRECT(PG$5)=0,1,""))</f>
        <v/>
      </c>
      <c r="PN53" s="97"/>
      <c r="PO53" s="307"/>
      <c r="PP53" s="96" t="str">
        <f>IFERROR(IFERROR(SUBSTITUTE(RopeSkippingResultat[[#This Row],[Eingabe]],".",",")*1,SUBSTITUTE(RopeSkippingResultat[[#This Row],[Eingabe]],",",".")*1),"")</f>
        <v/>
      </c>
      <c r="PQ53" s="96" t="e">
        <f>INT(RopeSkippingResultat[[#This Row],[Resultat]])=RopeSkippingResultat[[#This Row],[Resultat]]</f>
        <v>#VALUE!</v>
      </c>
      <c r="PR53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3" s="96"/>
      <c r="PT53" s="91" t="str" cm="1">
        <f t="array" aca="1" ref="PT53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3" s="96" t="str">
        <f ca="1">LEFT(Geschlecht[[#This Row],[Geschlecht (Skala)]],1)&amp;PZ$4</f>
        <v>2</v>
      </c>
      <c r="PV53" s="96" t="str">
        <f t="shared" ca="1" si="95"/>
        <v>RopeSkipping_2[Resultat]</v>
      </c>
      <c r="PW53" s="97" t="str" cm="1">
        <f t="array" aca="1" ref="PW53" ca="1">IF(INDIRECT(PT$1)="","",IF(INDIRECT(PT$2)=0,0,IF(OR(INDIRECT(PT$1)=$A$2,INDIRECT(PT$1)=$A$3),$A$3,IFERROR(INDEX(INDIRECT(PV53),MATCH(INDIRECT(PT$3),INDIRECT(PV53),PV$25)),IFERROR(IF(PV$25=-1,MAX(INDIRECT(PV53)),IF(PV$25=1,MIN(INDIRECT(PV53)))),"")))))</f>
        <v/>
      </c>
      <c r="PY53" s="91" t="str">
        <f t="shared" ca="1" si="96"/>
        <v>RopeSkipping_2[Note]</v>
      </c>
      <c r="PZ53" s="97" t="str" cm="1">
        <f t="array" aca="1" ref="PZ53" ca="1">IFERROR(INDEX(INDIRECT(PY53),MATCH(INDIRECT(PT$5),INDIRECT(PV53),0)),IF(INDIRECT(PT$5)=0,1,""))</f>
        <v/>
      </c>
      <c r="QA53" s="97"/>
      <c r="QB53" s="307"/>
      <c r="QC53" s="96" t="str">
        <f>IFERROR(IFERROR(SUBSTITUTE(AerobicResultat[[#This Row],[Eingabe]],".",",")*1,SUBSTITUTE(AerobicResultat[[#This Row],[Eingabe]],",",".")*1),"")</f>
        <v/>
      </c>
      <c r="QD53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3" s="96"/>
      <c r="QF53" s="91" t="str" cm="1">
        <f t="array" aca="1" ref="QF53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3" s="96" t="str">
        <f ca="1">LEFT(Geschlecht[[#This Row],[Geschlecht (Skala)]],1)&amp;QL$4</f>
        <v>2</v>
      </c>
      <c r="QH53" s="96" t="str">
        <f t="shared" ca="1" si="97"/>
        <v>Aerobic_2[Resultat]</v>
      </c>
      <c r="QI53" s="97" t="str" cm="1">
        <f t="array" aca="1" ref="QI53" ca="1">IF(INDIRECT(QF$1)="","",IF(INDIRECT(QF$2)=0,0,IF(OR(INDIRECT(QF$1)=$A$2,INDIRECT(QF$1)=$A$3),$A$3,IFERROR(INDEX(INDIRECT(QH53),MATCH(INDIRECT(QF$3),INDIRECT(QH53),QH$25)),IFERROR(IF(QH$25=-1,MAX(INDIRECT(QH53)),IF(QH$25=1,MIN(INDIRECT(QH53)))),"")))))</f>
        <v/>
      </c>
      <c r="QK53" s="91" t="str">
        <f t="shared" ca="1" si="98"/>
        <v>Aerobic_2[Note]</v>
      </c>
      <c r="QL53" s="97" t="str" cm="1">
        <f t="array" aca="1" ref="QL53" ca="1">IFERROR(INDEX(INDIRECT(QK53),MATCH(INDIRECT(QF$5),INDIRECT(QH53),0)),IF(INDIRECT(QF$5)=0,1,""))</f>
        <v/>
      </c>
      <c r="QM53" s="97"/>
      <c r="QN53" s="97" t="str" cm="1">
        <f t="array" aca="1" ref="QN53" ca="1">INDIRECT(QN$5)</f>
        <v/>
      </c>
      <c r="QO53" s="97" t="str" cm="1">
        <f t="array" aca="1" ref="QO53" ca="1">INDIRECT(QO$5)</f>
        <v/>
      </c>
      <c r="QP53" s="97" t="str" cm="1">
        <f t="array" aca="1" ref="QP53" ca="1">INDIRECT(QP$5)</f>
        <v/>
      </c>
      <c r="QQ53" s="97" t="str" cm="1">
        <f t="array" aca="1" ref="QQ53" ca="1">INDIRECT(QQ$5)</f>
        <v/>
      </c>
      <c r="QR53" s="97" t="str" cm="1">
        <f t="array" aca="1" ref="QR53" ca="1">INDIRECT(QR$5)</f>
        <v/>
      </c>
      <c r="QS53" s="97" t="str" cm="1">
        <f t="array" aca="1" ref="QS53" ca="1">INDIRECT(QS$5)</f>
        <v/>
      </c>
      <c r="QT53" s="97" t="str">
        <f t="shared" ca="1" si="99"/>
        <v>Darstellen und Tanzen nicht durchgeführt</v>
      </c>
      <c r="QU53" s="108">
        <f t="shared" ca="1" si="100"/>
        <v>0</v>
      </c>
      <c r="QV53" s="108">
        <f t="shared" ca="1" si="101"/>
        <v>0</v>
      </c>
      <c r="QW53" s="108" t="str">
        <f t="shared" ca="1" si="210"/>
        <v/>
      </c>
      <c r="QX53" s="97" t="str">
        <f t="shared" ca="1" si="211"/>
        <v>Darstellen und Tanzen nicht durchgeführt</v>
      </c>
      <c r="QY53" s="97" t="str">
        <f t="shared" ca="1" si="212"/>
        <v/>
      </c>
      <c r="QZ53" s="97" t="str" cm="1">
        <f t="array" aca="1" ref="QZ53" ca="1">IFERROR(IF(INDIRECT(INDEX(INDIRECT(QZ$5),MATCH(QX53,INDIRECT(QZ$4),0)))&lt;&gt;"",INDEX(INDIRECT(QZ$5),MATCH(QX53,INDIRECT(QZ$4),0)),INDEX(INDIRECT(QZ$6),MATCH(QX53,INDIRECT(QZ$4),0))),"")</f>
        <v/>
      </c>
      <c r="RA53" s="97" t="str">
        <f t="shared" ca="1" si="213"/>
        <v/>
      </c>
      <c r="RB53" s="97" t="str" cm="1">
        <f t="array" aca="1" ref="RB53" ca="1">IFERROR(INDIRECT(QZ53),IF(NOT(ISERROR(FIND(Stammdaten!$CC$3,QX53,1))),$A$2,""))</f>
        <v/>
      </c>
      <c r="RC53" s="97" t="str">
        <f ca="1">IF(RB53="","",IF(AND(QY53=Stammdaten!$BX$20,RA53="0",RB53=1),SUBSTITUTE(TEXT(RB53,RA53)&amp;" "&amp;LEFT(QY53,LEN(QY53)-1),".",","),SUBSTITUTE(TEXT(RB53,RA53)&amp;" "&amp;QY53,".",",")))</f>
        <v/>
      </c>
      <c r="RD53" s="97" t="str">
        <f t="shared" ca="1" si="102"/>
        <v/>
      </c>
      <c r="RE53" s="97" t="str" cm="1">
        <f t="array" aca="1" ref="RE53" ca="1">IFERROR(LEFT(INDIRECT(RD53),1)&amp;"]","")</f>
        <v/>
      </c>
      <c r="RF53" s="97" t="str">
        <f t="shared" ca="1" si="103"/>
        <v/>
      </c>
      <c r="RG53" s="97" t="str">
        <f ca="1">IFERROR(LEFT(QX53,FIND(Stammdaten!$CA$4,QX53,1)-2),IFERROR(LEFT(QX53,FIND(Stammdaten!$CC$3,QX53,1)-2),QX53))</f>
        <v>Darstellen und Tanzen</v>
      </c>
      <c r="RH53" s="97" t="str">
        <f ca="1">IF(NOT(ISERROR(FIND(Stammdaten!$CA$4,QX53,1))),Stammdaten!$CA$4,IF(RI53&lt;&gt;Stammdaten!$CC$3,RF53,""))</f>
        <v>nicht durchgeführt</v>
      </c>
      <c r="RI53" s="91" t="str">
        <f ca="1">IF(RB53=$A$2,Stammdaten!$CC$3,RC53)</f>
        <v/>
      </c>
      <c r="RJ53" s="108">
        <f t="shared" ca="1" si="214"/>
        <v>6</v>
      </c>
      <c r="RK53" s="97"/>
      <c r="RL53" s="308" t="str">
        <f ca="1">IF(QT53=$QT$4,Stammdaten!$BZ$1,IF(QT53=$QT$5,$A$3,QT53))</f>
        <v>Zu wenige Werte</v>
      </c>
      <c r="RM53" s="97"/>
      <c r="RN53" s="307"/>
      <c r="RO53" s="96" t="str">
        <f>IFERROR(IFERROR(SUBSTITUTE(BasketballResultat[[#This Row],[Eingabe]],".",",")*1,SUBSTITUTE(BasketballResultat[[#This Row],[Eingabe]],",",".")*1),"")</f>
        <v/>
      </c>
      <c r="RP53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3" s="96"/>
      <c r="RR53" s="91" t="str" cm="1">
        <f t="array" aca="1" ref="RR53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3" s="96" t="str">
        <f ca="1">LEFT(Geschlecht[[#This Row],[Geschlecht (Skala)]],1)&amp;RX$4</f>
        <v>2</v>
      </c>
      <c r="RT53" s="96" t="str">
        <f t="shared" ca="1" si="104"/>
        <v>Basketball_2[Resultat]</v>
      </c>
      <c r="RU53" s="97" t="str" cm="1">
        <f t="array" aca="1" ref="RU53" ca="1">IF(INDIRECT(RR$1)="","",IF(INDIRECT(RR$2)=0,0,IF(OR(INDIRECT(RR$1)=$A$2,INDIRECT(RR$1)=$A$3),$A$3,IFERROR(INDEX(INDIRECT(RT53),MATCH(INDIRECT(RR$3),INDIRECT(RT53),RT$25)),IFERROR(IF(RT$25=-1,MAX(INDIRECT(RT53)),IF(RT$25=1,MIN(INDIRECT(RT53)))),"")))))</f>
        <v/>
      </c>
      <c r="RW53" s="91" t="str">
        <f t="shared" ca="1" si="105"/>
        <v>Basketball_2[Note]</v>
      </c>
      <c r="RX53" s="97" t="str" cm="1">
        <f t="array" aca="1" ref="RX53" ca="1">IFERROR(INDEX(INDIRECT(RW53),MATCH(INDIRECT(RR$5),INDIRECT(RT53),0)),IF(INDIRECT(RR$5)=0,1,""))</f>
        <v/>
      </c>
      <c r="RY53" s="97"/>
      <c r="RZ53" s="307"/>
      <c r="SA53" s="96" t="str">
        <f>IFERROR(IFERROR(SUBSTITUTE(FussballResultat[[#This Row],[Eingabe]],".",",")*1,SUBSTITUTE(FussballResultat[[#This Row],[Eingabe]],",",".")*1),"")</f>
        <v/>
      </c>
      <c r="SB53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3" s="96"/>
      <c r="SD53" s="316" t="str" cm="1">
        <f t="array" aca="1" ref="SD53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3" s="96" t="str">
        <f ca="1">LEFT(Geschlecht[[#This Row],[Geschlecht (Skala)]],1)&amp;SJ$4</f>
        <v>2</v>
      </c>
      <c r="SF53" s="96" t="str">
        <f t="shared" ca="1" si="106"/>
        <v>Fussball_2[Resultat]</v>
      </c>
      <c r="SG53" s="97" t="str" cm="1">
        <f t="array" aca="1" ref="SG53" ca="1">IF(INDIRECT(SD$1)="","",IF(INDIRECT(SD$2)=0,0,IF(OR(INDIRECT(SD$1)=$A$2,INDIRECT(SD$1)=$A$3),$A$3,IFERROR(INDEX(INDIRECT(SF53),MATCH(INDIRECT(SD$3),INDIRECT(SF53),SF$25)),IFERROR(IF(SF$25=-1,MAX(INDIRECT(SF53)),IF(SF$25=1,MIN(INDIRECT(SF53)))),"")))))</f>
        <v/>
      </c>
      <c r="SI53" s="91" t="str">
        <f t="shared" ca="1" si="107"/>
        <v>Fussball_2[Note]</v>
      </c>
      <c r="SJ53" s="97" t="str" cm="1">
        <f t="array" aca="1" ref="SJ53" ca="1">IFERROR(INDEX(INDIRECT(SI53),MATCH(INDIRECT(SD$5),INDIRECT(SF53),0)),IF(INDIRECT(SD$5)=0,1,""))</f>
        <v/>
      </c>
      <c r="SK53" s="97"/>
      <c r="SL53" s="307"/>
      <c r="SM53" s="96" t="str">
        <f>IFERROR(IFERROR(SUBSTITUTE(HandballResultat[[#This Row],[Eingabe]],".",",")*1,SUBSTITUTE(HandballResultat[[#This Row],[Eingabe]],",",".")*1),"")</f>
        <v/>
      </c>
      <c r="SN53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3" s="96"/>
      <c r="SP53" s="91" t="str" cm="1">
        <f t="array" aca="1" ref="SP53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3" s="96" t="str">
        <f ca="1">LEFT(Geschlecht[[#This Row],[Geschlecht (Skala)]],1)&amp;SV$4</f>
        <v>2</v>
      </c>
      <c r="SR53" s="96" t="str">
        <f t="shared" ca="1" si="108"/>
        <v>Handball_2[Resultat]</v>
      </c>
      <c r="SS53" s="97" t="str" cm="1">
        <f t="array" aca="1" ref="SS53" ca="1">IF(INDIRECT(SP$1)="","",IF(INDIRECT(SP$2)=0,0,IF(OR(INDIRECT(SP$1)=$A$2,INDIRECT(SP$1)=$A$3),$A$3,IFERROR(INDEX(INDIRECT(SR53),MATCH(INDIRECT(SP$3),INDIRECT(SR53),SR$25)),IFERROR(IF(SR$25=-1,MAX(INDIRECT(SR53)),IF(SR$25=1,MIN(INDIRECT(SR53)))),"")))))</f>
        <v/>
      </c>
      <c r="SU53" s="91" t="str">
        <f t="shared" ca="1" si="109"/>
        <v>Handball_2[Note]</v>
      </c>
      <c r="SV53" s="97" t="str" cm="1">
        <f t="array" aca="1" ref="SV53" ca="1">IFERROR(INDEX(INDIRECT(SU53),MATCH(INDIRECT(SP$5),INDIRECT(SR53),0)),IF(INDIRECT(SP$5)=0,1,""))</f>
        <v/>
      </c>
      <c r="SW53" s="97"/>
      <c r="SX53" s="307"/>
      <c r="SY53" s="96" t="str">
        <f>IFERROR(IFERROR(SUBSTITUTE(UnihockeyResultat[[#This Row],[Eingabe]],".",",")*1,SUBSTITUTE(UnihockeyResultat[[#This Row],[Eingabe]],",",".")*1),"")</f>
        <v/>
      </c>
      <c r="SZ53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3" s="96"/>
      <c r="TB53" s="91" t="str" cm="1">
        <f t="array" aca="1" ref="TB53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3" s="96" t="str">
        <f ca="1">LEFT(Geschlecht[[#This Row],[Geschlecht (Skala)]],1)&amp;TH$4</f>
        <v>2</v>
      </c>
      <c r="TD53" s="96" t="str">
        <f t="shared" ca="1" si="110"/>
        <v>Unihockey_2[Resultat]</v>
      </c>
      <c r="TE53" s="97" t="str" cm="1">
        <f t="array" aca="1" ref="TE53" ca="1">IF(INDIRECT(TB$1)="","",IF(INDIRECT(TB$2)=0,0,IF(OR(INDIRECT(TB$1)=$A$2,INDIRECT(TB$1)=$A$3),$A$3,IFERROR(INDEX(INDIRECT(TD53),MATCH(INDIRECT(TB$3),INDIRECT(TD53),TD$25)),IFERROR(IF(TD$25=-1,MAX(INDIRECT(TD53)),IF(TD$25=1,MIN(INDIRECT(TD53)))),"")))))</f>
        <v/>
      </c>
      <c r="TG53" s="91" t="str">
        <f t="shared" ca="1" si="111"/>
        <v>Unihockey_2[Note]</v>
      </c>
      <c r="TH53" s="97" t="str" cm="1">
        <f t="array" aca="1" ref="TH53" ca="1">IFERROR(INDEX(INDIRECT(TG53),MATCH(INDIRECT(TB$5),INDIRECT(TD53),0)),IF(INDIRECT(TB$5)=0,1,""))</f>
        <v/>
      </c>
      <c r="TI53" s="97"/>
      <c r="TJ53" s="307"/>
      <c r="TK53" s="96" t="str">
        <f>IFERROR(IFERROR(SUBSTITUTE(VolleyballResultat[[#This Row],[Eingabe]],".",",")*1,SUBSTITUTE(VolleyballResultat[[#This Row],[Eingabe]],",",".")*1),"")</f>
        <v/>
      </c>
      <c r="TL53" s="96" t="e">
        <f>INT(VolleyballResultat[[#This Row],[Resultat]])=VolleyballResultat[[#This Row],[Resultat]]</f>
        <v>#VALUE!</v>
      </c>
      <c r="TM53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3" s="96"/>
      <c r="TO53" s="91" t="str" cm="1">
        <f t="array" aca="1" ref="TO53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3" s="96" t="str">
        <f ca="1">LEFT(Geschlecht[[#This Row],[Geschlecht (Skala)]],1)&amp;TU$4</f>
        <v>2</v>
      </c>
      <c r="TQ53" s="96" t="str">
        <f t="shared" ca="1" si="112"/>
        <v>Volleyball_2[Resultat]</v>
      </c>
      <c r="TR53" s="97" t="str" cm="1">
        <f t="array" aca="1" ref="TR53" ca="1">IF(INDIRECT(TO$1)="","",IF(INDIRECT(TO$2)=0,0,IF(OR(INDIRECT(TO$1)=$A$2,INDIRECT(TO$1)=$A$3),$A$3,IFERROR(INDEX(INDIRECT(TQ53),MATCH(INDIRECT(TO$3),INDIRECT(TQ53),TQ$25)),IFERROR(IF(TQ$25=-1,MAX(INDIRECT(TQ53)),IF(TQ$25=1,MIN(INDIRECT(TQ53)))),"")))))</f>
        <v/>
      </c>
      <c r="TT53" s="91" t="str">
        <f t="shared" ca="1" si="113"/>
        <v>Volleyball_2[Note]</v>
      </c>
      <c r="TU53" s="97" t="str" cm="1">
        <f t="array" aca="1" ref="TU53" ca="1">IFERROR(INDEX(INDIRECT(TT53),MATCH(INDIRECT(TO$5),INDIRECT(TQ53),0)),IF(INDIRECT(TO$5)=0,1,""))</f>
        <v/>
      </c>
      <c r="TV53" s="97"/>
      <c r="TW53" s="309" t="str" cm="1">
        <f t="array" aca="1" ref="TW53" ca="1">IF(AND(ISNUMBER(INDIRECT(TW$3)),INDIRECT(TW$3)&gt;1),INDIRECT(TW$3),"")</f>
        <v/>
      </c>
      <c r="TX53" s="309" t="str" cm="1">
        <f t="array" aca="1" ref="TX53" ca="1">IF(AND(ISNUMBER(INDIRECT(TX$3)),INDIRECT(TX$3)&gt;1),INDIRECT(TX$3),"")</f>
        <v/>
      </c>
      <c r="TY53" s="309" t="str" cm="1">
        <f t="array" aca="1" ref="TY53" ca="1">IF(AND(ISNUMBER(INDIRECT(TY$3)),INDIRECT(TY$3)&gt;1),INDIRECT(TY$3),"")</f>
        <v/>
      </c>
      <c r="TZ53" s="309" t="str" cm="1">
        <f t="array" aca="1" ref="TZ53" ca="1">IF(AND(ISNUMBER(INDIRECT(TZ$3)),INDIRECT(TZ$3)&gt;1),INDIRECT(TZ$3),"")</f>
        <v/>
      </c>
      <c r="UA53" s="309" t="str" cm="1">
        <f t="array" aca="1" ref="UA53" ca="1">IF(AND(ISNUMBER(INDIRECT(UA$3)),INDIRECT(UA$3)&gt;1),INDIRECT(UA$3),"")</f>
        <v/>
      </c>
      <c r="UB53" s="309" t="str">
        <f t="shared" ca="1" si="114"/>
        <v>x</v>
      </c>
      <c r="UC53" s="309" t="str">
        <f t="shared" ca="1" si="115"/>
        <v>y</v>
      </c>
      <c r="UD53" s="309" t="str">
        <f t="shared" ca="1" si="116"/>
        <v>z</v>
      </c>
      <c r="UE53" s="309" t="str">
        <f t="shared" ca="1" si="215"/>
        <v>a</v>
      </c>
      <c r="UF53" s="309" t="str" cm="1">
        <f t="array" aca="1" ref="UF53" ca="1">IF(UE53="a","",INDEX($TW$23:$UA$23,,MATCH(UE53,$TW53:$UA53,0)))</f>
        <v/>
      </c>
      <c r="UG53" s="309" t="str" cm="1">
        <f t="array" aca="1" ref="UG53" ca="1">IF(OR(UF53="",UF53&gt;=$UA$23),"",INDEX(INDIRECT(ADDRESS(ROW($TW$23),UF53+1)):$UA$23,,MATCH(UE53,INDIRECT(ADDRESS(ROW(),UF53+1)):$UA53,0)))</f>
        <v/>
      </c>
      <c r="UH53" s="309" t="str" cm="1">
        <f t="array" aca="1" ref="UH53" ca="1">IF(OR(UG53="",UG53&gt;=$UA$23),"",INDEX(INDIRECT(ADDRESS(ROW($TW$23),UG53+1)):$UA$23,,MATCH(UE53,INDIRECT(ADDRESS(ROW(),UG53+1)):$UA53,0)))</f>
        <v/>
      </c>
      <c r="UI53" s="309" t="str">
        <f t="shared" ca="1" si="216"/>
        <v>c</v>
      </c>
      <c r="UJ53" s="309" t="str" cm="1">
        <f t="array" aca="1" ref="UJ53" ca="1">IF(OR(UI53="b",UI53="c"),"",INDEX($TW$23:$UA$23,,MATCH(UI53,$TW53:$UA53,0)))</f>
        <v/>
      </c>
      <c r="UK53" s="309" t="str" cm="1">
        <f t="array" aca="1" ref="UK53" ca="1">IF(OR(UJ53="",UJ53&gt;=$UA$23),"",INDEX(INDIRECT(ADDRESS(ROW($TW$23),UJ53+1)):$UA$23,,MATCH(UI53,INDIRECT(ADDRESS(ROW(),UJ53+1)):$UA53,0)))</f>
        <v/>
      </c>
      <c r="UL53" s="309" t="str">
        <f t="shared" ca="1" si="117"/>
        <v/>
      </c>
      <c r="UM53" s="309" t="str">
        <f t="shared" ca="1" si="217"/>
        <v>e</v>
      </c>
      <c r="UN53" s="309" t="str">
        <f t="shared" ca="1" si="118"/>
        <v/>
      </c>
      <c r="UO53" s="309" t="str" cm="1">
        <f t="array" aca="1" ref="UO53" ca="1">IF(OR(UM53="d",UM53="e"),"",INDEX($TW$23:$UA$23,,MATCH(UM53,$TW53:$UA53,0)))</f>
        <v/>
      </c>
      <c r="UP53" s="309" t="str" cm="1">
        <f t="array" aca="1" ref="UP53" ca="1">IF(OR(UO53="",UO53&gt;=$UA$23),"",INDEX(INDIRECT(ADDRESS(ROW($TW$23),UO53+1)):$UA$23,,MATCH(UM53,INDIRECT(ADDRESS(ROW(),UO53+1)):$UA53,0)))</f>
        <v/>
      </c>
      <c r="UQ53" s="309" t="str" cm="1">
        <f t="array" aca="1" ref="UQ53" ca="1">IFERROR(IF(ISNUMBER(UF53),UF53,IF(ISNUMBER(UJ53),UJ53,IF(ISNUMBER(UN53),UN53,INDEX($TW$23:$UA$23,,MATCH(UB53,$TW53:$UA53,0))))),"x1")</f>
        <v>x1</v>
      </c>
      <c r="UR53" s="309" t="str" cm="1">
        <f t="array" aca="1" ref="UR53" ca="1">IFERROR(IF(ISNUMBER(UG53),UG53,IF(ISNUMBER(UK53),UK53,IF(ISNUMBER(UO53),UO53,INDEX($TW$23:$UA$23,,MATCH(UC53,$TW53:$UA53,0))))),IF(UQ53="x1","x2","x1"))</f>
        <v>x2</v>
      </c>
      <c r="US53" s="309" t="str" cm="1">
        <f t="array" aca="1" ref="US53" ca="1">IFERROR(IF(ISNUMBER(UH53),UH53,IF(ISNUMBER(UL53),UL53,IF(ISNUMBER(UP53),UP53,INDEX($TW$23:$UA$23,,MATCH(UD53,$TW53:$UA53,0))))),IF(UR53="x1","x2",IF(UR53="x2","x3","x1")))</f>
        <v>x3</v>
      </c>
      <c r="UT53" s="97" t="str" cm="1">
        <f t="array" aca="1" ref="UT53" ca="1">IF(OR(INDIRECT(UT$3)=$A$2,INDIRECT(UT$3)=$A$3),COLUMN(),"")</f>
        <v/>
      </c>
      <c r="UU53" s="97" t="str" cm="1">
        <f t="array" aca="1" ref="UU53" ca="1">IF(OR(INDIRECT(UU$3)=$A$2,INDIRECT(UU$3)=$A$3),COLUMN(),"")</f>
        <v/>
      </c>
      <c r="UV53" s="97" t="str" cm="1">
        <f t="array" aca="1" ref="UV53" ca="1">IF(OR(INDIRECT(UV$3)=$A$2,INDIRECT(UV$3)=$A$3),COLUMN(),"")</f>
        <v/>
      </c>
      <c r="UW53" s="97" t="str" cm="1">
        <f t="array" aca="1" ref="UW53" ca="1">IF(OR(INDIRECT(UW$3)=$A$2,INDIRECT(UW$3)=$A$3),COLUMN(),"")</f>
        <v/>
      </c>
      <c r="UX53" s="97" t="str" cm="1">
        <f t="array" aca="1" ref="UX53" ca="1">IF(OR(INDIRECT(UX$3)=$A$2,INDIRECT(UX$3)=$A$3),COLUMN(),"")</f>
        <v/>
      </c>
      <c r="UY53" s="97" t="str" cm="1">
        <f t="array" aca="1" ref="UY53" ca="1">IF(AND(ISNUMBER(INDIRECT(UY$3)),INDIRECT(UY$3)=0),COLUMN(),"")</f>
        <v/>
      </c>
      <c r="UZ53" s="97" t="str" cm="1">
        <f t="array" aca="1" ref="UZ53" ca="1">IF(AND(ISNUMBER(INDIRECT(UZ$3)),INDIRECT(UZ$3)=0),COLUMN(),"")</f>
        <v/>
      </c>
      <c r="VA53" s="97" t="str" cm="1">
        <f t="array" aca="1" ref="VA53" ca="1">IF(AND(ISNUMBER(INDIRECT(VA$3)),INDIRECT(VA$3)=0),COLUMN(),"")</f>
        <v/>
      </c>
      <c r="VB53" s="97" t="str" cm="1">
        <f t="array" aca="1" ref="VB53" ca="1">IF(AND(ISNUMBER(INDIRECT(VB$3)),INDIRECT(VB$3)=0),COLUMN(),"")</f>
        <v/>
      </c>
      <c r="VC53" s="97" t="str" cm="1">
        <f t="array" aca="1" ref="VC53" ca="1">IF(AND(ISNUMBER(INDIRECT(VC$3)),INDIRECT(VC$3)=0),COLUMN(),"")</f>
        <v/>
      </c>
      <c r="VD53" s="97" t="str">
        <f t="shared" ca="1" si="218"/>
        <v>x1</v>
      </c>
      <c r="VE53" s="97" t="str">
        <f t="shared" ca="1" si="219"/>
        <v>x2</v>
      </c>
      <c r="VF53" s="97" t="str">
        <f t="shared" ca="1" si="220"/>
        <v>x3</v>
      </c>
      <c r="VG53" s="97" t="str">
        <f ca="1">IFERROR(IF(ISNUMBER(VD53),VD53,SMALL($UY53:$VC53,VALUE(RIGHT(VD53,1)))),Stammdaten!$CB$17)</f>
        <v>Erste Spielsportart nicht durchgeführt</v>
      </c>
      <c r="VH53" s="97" t="str">
        <f ca="1">IFERROR(IF(ISNUMBER(VE53),VE53,SMALL($UY53:$VC53,VALUE(RIGHT(VE53,1)))),Stammdaten!$CB$18)</f>
        <v>Zweite Spielsportart nicht durchgeführt</v>
      </c>
      <c r="VI53" s="97" t="str">
        <f ca="1">IFERROR(IF(ISNUMBER(VF53),VF53,SMALL($UY53:$VC53,VALUE(RIGHT(VF53,1)))),Stammdaten!$CB$19)</f>
        <v>Dritte Spielsportart nicht durchgeführt</v>
      </c>
      <c r="VJ53" s="91" t="str" cm="1">
        <f t="array" aca="1" ref="VJ53" ca="1">IFERROR(INDIRECT(ADDRESS(ROW($TW$5),VG53)),VG53)</f>
        <v>Erste Spielsportart nicht durchgeführt</v>
      </c>
      <c r="VK53" s="97" t="str">
        <f t="shared" ca="1" si="221"/>
        <v/>
      </c>
      <c r="VL53" s="97" t="str" cm="1">
        <f t="array" aca="1" ref="VL53" ca="1">IFERROR(IF(INDIRECT(INDEX(INDIRECT(VL$5),MATCH(VJ53,INDIRECT(VL$4),0)))&lt;&gt;"",INDEX(INDIRECT(VL$5),MATCH(VJ53,INDIRECT(VL$4),0)),INDEX(INDIRECT(VL$6),MATCH(VJ53,INDIRECT(VL$4),0))),"")</f>
        <v/>
      </c>
      <c r="VM53" s="97" t="str">
        <f t="shared" ca="1" si="222"/>
        <v/>
      </c>
      <c r="VN53" s="97" t="str" cm="1">
        <f t="array" aca="1" ref="VN53" ca="1">IFERROR(INDIRECT(VL53),"")</f>
        <v/>
      </c>
      <c r="VO53" s="97" t="str">
        <f ca="1">IF(VN53="","",IF(AND(VK53=Stammdaten!$BX$20,VM53="0",VN53=1),SUBSTITUTE(TEXT(VN53,VM53)&amp;" "&amp;LEFT(VK53,LEN(VK53)-1),".",","),SUBSTITUTE(TEXT(VN53,VM53)&amp;" "&amp;VK53,".",",")))</f>
        <v/>
      </c>
      <c r="VP53" s="97" t="str">
        <f t="shared" ca="1" si="119"/>
        <v/>
      </c>
      <c r="VQ53" s="97" t="str" cm="1">
        <f t="array" aca="1" ref="VQ53" ca="1">IFERROR(LEFT(INDIRECT(VP53),1)&amp;"]","")</f>
        <v/>
      </c>
      <c r="VR53" s="97" t="str">
        <f t="shared" ca="1" si="120"/>
        <v/>
      </c>
      <c r="VS53" s="97" t="str">
        <f ca="1">IFERROR(LEFT(VJ53,FIND(Stammdaten!$CA$4,VJ53,1)-2),IFERROR(LEFT(VJ53,FIND(Stammdaten!$CC$3,VJ53,1)-2),VJ53))</f>
        <v>Erste Spielsportart</v>
      </c>
      <c r="VT53" s="97" t="str">
        <f ca="1">IF(NOT(ISERROR(FIND(Stammdaten!$CA$4,VJ53,1))),Stammdaten!$CA$4,IF(VU53&lt;&gt;Stammdaten!$CC$3,VR53,""))</f>
        <v>nicht durchgeführt</v>
      </c>
      <c r="VU53" s="91" t="str">
        <f ca="1">IF(VN53=$A$2,Stammdaten!$CC$3,VO53)</f>
        <v/>
      </c>
      <c r="VV53" s="91" t="str" cm="1">
        <f t="array" aca="1" ref="VV53" ca="1">IFERROR(INDIRECT(ADDRESS(ROW($TW$5),VH53)),VH53)</f>
        <v>Zweite Spielsportart nicht durchgeführt</v>
      </c>
      <c r="VW53" s="97" t="str">
        <f t="shared" ca="1" si="223"/>
        <v/>
      </c>
      <c r="VX53" s="97" t="str" cm="1">
        <f t="array" aca="1" ref="VX53" ca="1">IFERROR(IF(INDIRECT(INDEX(INDIRECT(VX$5),MATCH(VV53,INDIRECT(VX$4),0)))&lt;&gt;"",INDEX(INDIRECT(VX$5),MATCH(VV53,INDIRECT(VX$4),0)),INDEX(INDIRECT(VX$6),MATCH(VV53,INDIRECT(VX$4),0))),"")</f>
        <v/>
      </c>
      <c r="VY53" s="97" t="str">
        <f t="shared" ca="1" si="224"/>
        <v/>
      </c>
      <c r="VZ53" s="97" t="str" cm="1">
        <f t="array" aca="1" ref="VZ53" ca="1">IFERROR(INDIRECT(VX53),"")</f>
        <v/>
      </c>
      <c r="WA53" s="97" t="str">
        <f ca="1">IF(VZ53="","",IF(AND(VW53=Stammdaten!$BX$20,VY53="0",VZ53=1),SUBSTITUTE(TEXT(VZ53,VY53)&amp;" "&amp;LEFT(VW53,LEN(VW53)-1),".",","),SUBSTITUTE(TEXT(VZ53,VY53)&amp;" "&amp;VW53,".",",")))</f>
        <v/>
      </c>
      <c r="WB53" s="97" t="str">
        <f t="shared" ca="1" si="121"/>
        <v/>
      </c>
      <c r="WC53" s="97" t="str" cm="1">
        <f t="array" aca="1" ref="WC53" ca="1">IFERROR(LEFT(INDIRECT(WB53),1)&amp;"]","")</f>
        <v/>
      </c>
      <c r="WD53" s="97" t="str">
        <f t="shared" ca="1" si="122"/>
        <v/>
      </c>
      <c r="WE53" s="97" t="str">
        <f ca="1">IFERROR(LEFT(VV53,FIND(Stammdaten!$CA$4,VV53,1)-2),IFERROR(LEFT(VV53,FIND(Stammdaten!$CC$3,VV53,1)-2),VV53))</f>
        <v>Zweite Spielsportart</v>
      </c>
      <c r="WF53" s="97" t="str">
        <f ca="1">IF(NOT(ISERROR(FIND(Stammdaten!$CA$4,VV53,1))),Stammdaten!$CA$4,IF(WG53&lt;&gt;Stammdaten!$CC$3,WD53,""))</f>
        <v>nicht durchgeführt</v>
      </c>
      <c r="WG53" s="91" t="str">
        <f ca="1">IF(VZ53=$A$2,Stammdaten!$CC$3,WA53)</f>
        <v/>
      </c>
      <c r="WH53" s="91" t="str" cm="1">
        <f t="array" aca="1" ref="WH53" ca="1">IFERROR(INDIRECT(ADDRESS(ROW($TW$5),VI53)),VI53)</f>
        <v>Dritte Spielsportart nicht durchgeführt</v>
      </c>
      <c r="WI53" s="97" t="str">
        <f t="shared" ca="1" si="225"/>
        <v/>
      </c>
      <c r="WJ53" s="97" t="str" cm="1">
        <f t="array" aca="1" ref="WJ53" ca="1">IFERROR(IF(INDIRECT(INDEX(INDIRECT(WJ$5),MATCH(WH53,INDIRECT(WJ$4),0)))&lt;&gt;"",INDEX(INDIRECT(WJ$5),MATCH(WH53,INDIRECT(WJ$4),0)),INDEX(INDIRECT(WJ$6),MATCH(WH53,INDIRECT(WJ$4),0))),"")</f>
        <v/>
      </c>
      <c r="WK53" s="97" t="str">
        <f t="shared" ca="1" si="226"/>
        <v/>
      </c>
      <c r="WL53" s="97" t="str" cm="1">
        <f t="array" aca="1" ref="WL53" ca="1">IFERROR(INDIRECT(WJ53),"")</f>
        <v/>
      </c>
      <c r="WM53" s="97" t="str">
        <f ca="1">IF(WL53="","",IF(AND(WI53=Stammdaten!$BX$20,WK53="0",WL53=1),SUBSTITUTE(TEXT(WL53,WK53)&amp;" "&amp;LEFT(WI53,LEN(WI53)-1),".",","),SUBSTITUTE(TEXT(WL53,WK53)&amp;" "&amp;WI53,".",",")))</f>
        <v/>
      </c>
      <c r="WN53" s="97" t="str">
        <f t="shared" ca="1" si="123"/>
        <v/>
      </c>
      <c r="WO53" s="97" t="str" cm="1">
        <f t="array" aca="1" ref="WO53" ca="1">IFERROR(LEFT(INDIRECT(WN53),1)&amp;"]","")</f>
        <v/>
      </c>
      <c r="WP53" s="97" t="str">
        <f t="shared" ca="1" si="124"/>
        <v/>
      </c>
      <c r="WQ53" s="97" t="str">
        <f ca="1">IFERROR(LEFT(WH53,FIND(Stammdaten!$CA$4,WH53,1)-2),IFERROR(LEFT(WH53,FIND(Stammdaten!$CC$3,WH53,1)-2),WH53))</f>
        <v>Dritte Spielsportart</v>
      </c>
      <c r="WR53" s="97" t="str">
        <f ca="1">IF(NOT(ISERROR(FIND(Stammdaten!$CA$4,WH53,1))),Stammdaten!$CA$4,IF(WS53&lt;&gt;Stammdaten!$CC$3,WP53,""))</f>
        <v>nicht durchgeführt</v>
      </c>
      <c r="WS53" s="91" t="str">
        <f ca="1">IF(WL53=$A$2,Stammdaten!$CC$3,WM53)</f>
        <v/>
      </c>
      <c r="WT53" s="97" t="str" cm="1">
        <f t="array" aca="1" ref="WT53" ca="1">INDIRECT(WT$5)</f>
        <v/>
      </c>
      <c r="WU53" s="97" t="str" cm="1">
        <f t="array" aca="1" ref="WU53" ca="1">INDIRECT(WU$5)</f>
        <v/>
      </c>
      <c r="WV53" s="97" t="str" cm="1">
        <f t="array" aca="1" ref="WV53" ca="1">INDIRECT(WV$5)</f>
        <v/>
      </c>
      <c r="WW53" s="97" t="str" cm="1">
        <f t="array" aca="1" ref="WW53" ca="1">INDIRECT(WW$5)</f>
        <v/>
      </c>
      <c r="WX53" s="97" t="str" cm="1">
        <f t="array" aca="1" ref="WX53" ca="1">INDIRECT(WX$5)</f>
        <v/>
      </c>
      <c r="WY53" s="97" cm="1">
        <f t="array" aca="1" ref="WY53" ca="1">IF(INDIRECT(WY$5)&lt;&gt;"",INDIRECT(WY$5),0)</f>
        <v>0</v>
      </c>
      <c r="WZ53" s="97" cm="1">
        <f t="array" aca="1" ref="WZ53" ca="1">IF(INDIRECT(WZ$5)&lt;&gt;"",INDIRECT(WZ$5),0)</f>
        <v>0</v>
      </c>
      <c r="XA53" s="97" cm="1">
        <f t="array" aca="1" ref="XA53" ca="1">IF(INDIRECT(XA$5)&lt;&gt;"",INDIRECT(XA$5),0)</f>
        <v>0</v>
      </c>
      <c r="XB53" s="97" cm="1">
        <f t="array" aca="1" ref="XB53" ca="1">IF(INDIRECT(XB$5)&lt;&gt;"",INDIRECT(XB$5),0)</f>
        <v>0</v>
      </c>
      <c r="XC53" s="97" cm="1">
        <f t="array" aca="1" ref="XC53" ca="1">IF(INDIRECT(XC$5)&lt;&gt;"",INDIRECT(XC$5),0)</f>
        <v>0</v>
      </c>
      <c r="XD53" s="97">
        <f t="shared" ca="1" si="125"/>
        <v>0</v>
      </c>
      <c r="XE53" s="97">
        <f t="shared" ca="1" si="125"/>
        <v>0</v>
      </c>
      <c r="XF53" s="97">
        <f t="shared" ca="1" si="125"/>
        <v>0</v>
      </c>
      <c r="XG53" s="97">
        <f t="shared" ca="1" si="227"/>
        <v>0</v>
      </c>
      <c r="XH53" s="108">
        <f t="shared" ca="1" si="228"/>
        <v>0</v>
      </c>
      <c r="XI53" s="108">
        <f t="shared" ca="1" si="126"/>
        <v>0</v>
      </c>
      <c r="XJ53" s="108" t="str">
        <f t="shared" ca="1" si="229"/>
        <v/>
      </c>
      <c r="XK53" s="97" t="str">
        <f ca="1">IF(XJ53="",Stammdaten!$BZ$1,IF(AND(XH53=0,XI53&gt;=XJ$25),$A$3,ROUND(SUM(XG53/XJ53)/XK$25,0)*XK$25))</f>
        <v>Zu wenige Werte</v>
      </c>
      <c r="XL53" s="108">
        <f t="shared" ca="1" si="230"/>
        <v>6</v>
      </c>
      <c r="XM53" s="97" t="str">
        <f t="shared" ca="1" si="231"/>
        <v/>
      </c>
      <c r="XN53" s="97" t="str">
        <f t="shared" ca="1" si="232"/>
        <v/>
      </c>
      <c r="XO53" s="97" t="str">
        <f t="shared" ca="1" si="233"/>
        <v/>
      </c>
      <c r="XP53" s="97" t="str">
        <f t="shared" ca="1" si="234"/>
        <v/>
      </c>
      <c r="XQ53" s="97" t="str">
        <f t="shared" ca="1" si="235"/>
        <v>g</v>
      </c>
      <c r="XR53" s="97" t="str">
        <f t="shared" ca="1" si="236"/>
        <v/>
      </c>
      <c r="XS53" s="97">
        <f t="shared" ca="1" si="237"/>
        <v>1</v>
      </c>
      <c r="XT53" s="97" t="str">
        <f ca="1">IF(OR(Geschlecht[[#This Row],[Geschlecht (Skala)]]="",NOT(ISNUMBER(XJ53))),"",XS53)</f>
        <v/>
      </c>
      <c r="XU53" s="97" t="str">
        <f t="shared" ca="1" si="238"/>
        <v/>
      </c>
      <c r="XV53" s="97"/>
      <c r="XW53" s="308" t="str">
        <f t="shared" ca="1" si="127"/>
        <v>Zu wenige Werte</v>
      </c>
      <c r="XX53" s="97"/>
      <c r="XY53" s="97" t="str">
        <f t="shared" ca="1" si="128"/>
        <v>Zu wenige Werte</v>
      </c>
      <c r="XZ53" s="97" t="str">
        <f t="shared" ca="1" si="129"/>
        <v>Zu wenige Werte</v>
      </c>
      <c r="YA53" s="97" t="str">
        <f t="shared" ca="1" si="130"/>
        <v>Zu wenige Werte</v>
      </c>
      <c r="YB53" s="97" t="str">
        <f t="shared" ca="1" si="131"/>
        <v>Zu wenige Werte</v>
      </c>
      <c r="YC53" s="97">
        <f t="shared" ca="1" si="239"/>
        <v>0</v>
      </c>
      <c r="YD53" s="108">
        <f t="shared" ca="1" si="240"/>
        <v>0</v>
      </c>
      <c r="YE53" s="108">
        <f t="shared" ca="1" si="241"/>
        <v>0</v>
      </c>
      <c r="YF53" s="108" t="str">
        <f t="shared" ca="1" si="242"/>
        <v/>
      </c>
      <c r="YG53" s="97" t="str">
        <f ca="1">IF(YF53="",Stammdaten!$BZ$1,IF(YE53=YF$25,$A$3,ROUND(SUM(YC53/YF53)/YG$25,0)*YG$25))</f>
        <v>Zu wenige Werte</v>
      </c>
      <c r="YH53" s="97" t="str">
        <f ca="1">IF(NOT(ISNUMBER(XY53)),"",IF(YH$11&lt;&gt;"2+",TEXT(XY53,YH$11)&amp;" / ",IF(RIGHT(XY53*100,2)="00",TEXT(XY53,"0"&amp;Stammdaten!$AZ$3&amp;"0")&amp;" / ",XY53&amp;" / ")))</f>
        <v/>
      </c>
      <c r="YI53" s="97" t="str">
        <f ca="1">IF(NOT(ISNUMBER(XZ53)),"",IF(YI$11&lt;&gt;"2+",TEXT(XZ53,YI$11)&amp;" / ",IF(RIGHT(XZ53*100,2)="00",TEXT(XZ53,"0"&amp;Stammdaten!$AZ$3&amp;"0")&amp;" / ",XZ53&amp;" / ")))</f>
        <v/>
      </c>
      <c r="YJ53" s="97" t="str">
        <f ca="1">IF(NOT(ISNUMBER(YA53)),"",IF(YJ$11&lt;&gt;"2+",TEXT(YA53,YJ$11)&amp;" / ",IF(RIGHT(YA53*100,2)="00",TEXT(YA53,"0"&amp;Stammdaten!$AZ$3&amp;"0")&amp;" / ",YA53&amp;" / ")))</f>
        <v/>
      </c>
      <c r="YK53" s="97" t="str">
        <f ca="1">IF(NOT(ISNUMBER(YB53)),"",IF(YK$11&lt;&gt;"2+",TEXT(YB53,YK$11)&amp;" / ",IF(RIGHT(YB53*100,2)="00",TEXT(YB53,"0"&amp;Stammdaten!$AZ$3&amp;"0")&amp;" / ",YB53&amp;" / ")))</f>
        <v/>
      </c>
      <c r="YL53" s="97" t="str">
        <f t="shared" ca="1" si="243"/>
        <v/>
      </c>
      <c r="YM53" s="97" t="str">
        <f>IF(Geschlecht[[#This Row],[Geschlecht (Skala)]]="","",IF(ISNUMBER(XY53),1,IF(XY53=$A$3,$A$2,"R")))</f>
        <v/>
      </c>
      <c r="YN53" s="97" t="str">
        <f>IF(Geschlecht[[#This Row],[Geschlecht (Skala)]]="","",IF(ISNUMBER(XZ53),1,IF(XZ53=$A$3,$A$2,"R")))</f>
        <v/>
      </c>
      <c r="YO53" s="97" t="str">
        <f>IF(Geschlecht[[#This Row],[Geschlecht (Skala)]]="","",IF(ISNUMBER(YA53),1,IF(YA53=$A$3,$A$2,"R")))</f>
        <v/>
      </c>
      <c r="YP53" s="97" t="str">
        <f>IF(Geschlecht[[#This Row],[Geschlecht (Skala)]]="","",IF(ISNUMBER(YB53),1,IF(YB53=$A$3,$A$2,"R")))</f>
        <v/>
      </c>
      <c r="YQ53" s="97" t="str">
        <f t="shared" si="244"/>
        <v>g</v>
      </c>
      <c r="YR53" s="97" t="str">
        <f t="shared" ca="1" si="245"/>
        <v/>
      </c>
      <c r="YS53" s="97">
        <f t="shared" ca="1" si="246"/>
        <v>1</v>
      </c>
      <c r="YT53" s="97" t="str">
        <f ca="1">IF(OR(Geschlecht[[#This Row],[Geschlecht (Skala)]]="",NOT(ISNUMBER(YG53))),"",YS53)</f>
        <v/>
      </c>
      <c r="YU53" s="97"/>
      <c r="YV53" s="311" t="str">
        <f t="shared" si="247"/>
        <v>D</v>
      </c>
      <c r="YW53" s="302"/>
      <c r="YX53" s="311" t="str">
        <f t="shared" si="248"/>
        <v>D</v>
      </c>
      <c r="YY53" s="302"/>
      <c r="YZ53" s="311" t="str">
        <f t="shared" si="249"/>
        <v>D</v>
      </c>
      <c r="ZA53" s="302"/>
      <c r="ZB53" s="311" t="str">
        <f t="shared" si="250"/>
        <v>D</v>
      </c>
      <c r="ZC53" s="97"/>
      <c r="ZD53" s="97" t="str">
        <f t="shared" ca="1" si="132"/>
        <v/>
      </c>
      <c r="ZE53" s="97"/>
      <c r="ZF53" s="308" t="str">
        <f t="shared" ca="1" si="251"/>
        <v>Zu wenige Werte</v>
      </c>
      <c r="ZH53" s="317" t="s">
        <v>134</v>
      </c>
      <c r="ZJ53" s="91" t="str" cm="1">
        <f t="array" ref="ZJ53">IF(OR(Geschlecht[[#This Row],[Geschlecht (Skala)]]="",ZH53="",ZH53=Stammdaten!$BZ$5),"",REPLACE(INDEX(StdDisziplinen[TabÜberschriftNote],ZH$3),FIND("X",INDEX(StdDisziplinen[TabÜberschriftNote],ZH$3),1),1,Geschlecht[[#This Row],[Geschlecht (Skala)]]))</f>
        <v/>
      </c>
      <c r="ZK53" s="314"/>
      <c r="ZM53" s="315"/>
      <c r="ZN53" s="97" t="str">
        <f>IFERROR(IFERROR(SUBSTITUTE(SchwimmenResultatMin[[#This Row],[Min]],".",",")*1,SUBSTITUTE(SchwimmenResultatMin[[#This Row],[Min]],",",".")*1),"")</f>
        <v/>
      </c>
      <c r="ZO53" s="91" t="e">
        <f>INT(SchwimmenResultatMin[[#This Row],[Resultat]])=SchwimmenResultatMin[[#This Row],[Resultat]]</f>
        <v>#VALUE!</v>
      </c>
      <c r="ZP53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3" s="315"/>
      <c r="ZS53" s="97" t="str">
        <f>IFERROR(IFERROR(SUBSTITUTE(SchwimmenResultatSek[[#This Row],[Sek]],".",",")*1,SUBSTITUTE(SchwimmenResultatSek[[#This Row],[Sek]],",",".")*1),"")</f>
        <v/>
      </c>
      <c r="ZT53" s="108" t="e">
        <f>INT(SchwimmenResultatSek[[#This Row],[Resultat]])=SchwimmenResultatSek[[#This Row],[Resultat]]</f>
        <v>#VALUE!</v>
      </c>
      <c r="ZU53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3" s="97" t="str" cm="1">
        <f t="array" aca="1" ref="ZW53" ca="1">IF(AND(INDIRECT(ZW$2)="",INDIRECT(ZX$2)=""),"",IFERROR((INDIRECT(ZW$2)*$ZW$25)+INDIRECT(ZX$2),""))</f>
        <v/>
      </c>
      <c r="ZX53" s="91" t="str">
        <f ca="1">REPLACE(ZW$4,ZX$6,1,Geschlecht[[#This Row],[Geschlecht (Skala)]])</f>
        <v>Schwimmen_[Resultat]</v>
      </c>
      <c r="ZY53" s="91" t="str">
        <f ca="1">IFERROR(REPLACE($ZX53,FIND(Stammdaten!$V$2,$ZX53,1),LEN(Stammdaten!$V$2),Stammdaten!$BZ$9),"")</f>
        <v>Schwimmen_[Anzeige]</v>
      </c>
      <c r="ZZ53" s="97" t="str" cm="1">
        <f t="array" aca="1" ref="ZZ53" ca="1">IF(INDIRECT(ZW$3)="","",IF(INDIRECT(ZW$3)=0,0,IF(OR(INDIRECT(ZW$1)=$A$2,INDIRECT(ZW$1)=$A$3),$A$3,IFERROR(INDEX(INDIRECT(ZX53),MATCH(INDIRECT(ZW$3),INDIRECT(ZX53),ZY$25)),IFERROR(IF(ZY$25=-1,MAX(INDIRECT(ZX53)),IF(ZY$25=1,MIN(INDIRECT(ZX53)))),"")))))</f>
        <v/>
      </c>
      <c r="AAA53" s="97" t="str" cm="1">
        <f t="array" aca="1" ref="AAA53" ca="1">IF(INDIRECT(ZX$5)=0,0,IF(OR(INDIRECT(ZW$1)=$A$2,INDIRECT(ZW$1)=$A$3),$A$3,IFERROR(INDEX(INDIRECT($ZY53),MATCH(INDIRECT(ZX$5),INDIRECT($ZX53),0)),"")))</f>
        <v/>
      </c>
      <c r="AAC53" s="91" t="str">
        <f ca="1">REPLACE(ZW$6,ZX$6,1,Geschlecht[[#This Row],[Geschlecht (Skala)]])</f>
        <v>Schwimmen_[Note]</v>
      </c>
      <c r="AAD53" s="97" t="str" cm="1">
        <f t="array" aca="1" ref="AAD53" ca="1">IFERROR(INDEX(INDIRECT(AAC53),MATCH(INDIRECT(ZX$5),INDIRECT(ZX53),0)),IF(INDIRECT(ZX$5)=0,1,""))</f>
        <v/>
      </c>
      <c r="AAE53" s="97"/>
      <c r="AAF53" s="96" t="str">
        <f>ZwölfMinLaufHalleResultat[[#This Row],[Resultat]]</f>
        <v/>
      </c>
      <c r="AAG53" s="96"/>
      <c r="AAH53" s="97" t="str">
        <f ca="1">ZwölfMinLaufHalleSkalawert[[#This Row],[Skala-Wert]]</f>
        <v/>
      </c>
      <c r="AAJ53" s="97" t="str">
        <f ca="1">ZwölfMinLaufHalleNote[[#This Row],[Note]]</f>
        <v/>
      </c>
      <c r="AAK53" s="97"/>
      <c r="AAL53" s="96" t="str">
        <f>ZwölfMinLaufimFreienResultat[[#This Row],[Resultat]]</f>
        <v/>
      </c>
      <c r="AAM53" s="96"/>
      <c r="AAN53" s="97" t="str">
        <f ca="1">ZwölfMinLaufimFreienSkalawert[[#This Row],[Skala-Wert]]</f>
        <v/>
      </c>
      <c r="AAP53" s="97" t="str">
        <f ca="1">ZwölfMinLaufimFreienNote[[#This Row],[Note]]</f>
        <v/>
      </c>
      <c r="AAQ53" s="97"/>
      <c r="AAR53" s="307"/>
      <c r="AAS53" s="96" t="str">
        <f>IFERROR(IFERROR(SUBSTITUTE(BeweglichkeitResultat[[#This Row],[Eingabe]],".",",")*1,SUBSTITUTE(BeweglichkeitResultat[[#This Row],[Eingabe]],",",".")*1),"")</f>
        <v/>
      </c>
      <c r="AAT53" s="96" t="e">
        <f>INT(BeweglichkeitResultat[[#This Row],[Resultat]])=BeweglichkeitResultat[[#This Row],[Resultat]]</f>
        <v>#VALUE!</v>
      </c>
      <c r="AAU53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3" s="96"/>
      <c r="AAW53" s="91" t="str" cm="1">
        <f t="array" aca="1" ref="AAW53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3" s="96" t="str">
        <f ca="1">REPLACE(AAW$4,AAX$6,1,Geschlecht[[#This Row],[Geschlecht (Skala)]])</f>
        <v>Beweglichkeit_[Resultat]</v>
      </c>
      <c r="AAY53" s="96" t="str" cm="1">
        <f t="array" aca="1" ref="AAY53" ca="1">IF(OR(INDIRECT(AAW$1)=$A$2,INDIRECT(AAW$1)=$A$3),$A$3,IF(OR(INDIRECT(AAW$2)="",AND(Geschlecht[[#This Row],[Geschlecht (Skala)]]=Stammdaten!$D$7,INDIRECT(AAW$2)&lt;0)),"",IFERROR(INDEX(INDIRECT(AAX53),MATCH(INDIRECT(AAW$3),INDIRECT(AAX53),AAX$25)),IFERROR(IF(AAX$25=-1,MAX(INDIRECT(AAX53)),IF(AAX$25=1,MIN(INDIRECT(AAX53)))),""))))</f>
        <v/>
      </c>
      <c r="AAZ53" s="97" t="str" cm="1">
        <f t="array" aca="1" ref="AAZ53" ca="1">IF(INDIRECT(AAW$1)="","",IF(INDIRECT(AAW$1)=0,0,IF(OR(INDIRECT(AAW$1)=$A$2,INDIRECT(AAW$1)=$A$3),$A$3,IFERROR(INDEX(INDIRECT(AAY53),MATCH(INDIRECT(AAW$3),INDIRECT(AAY53),AAY$27)),IFERROR(IF(AAY$27=-1,MAX(INDIRECT(AAY53)),IF(AAY$27=1,MIN(INDIRECT(AAY53)))),"")))))</f>
        <v/>
      </c>
      <c r="ABA53" s="96" t="str">
        <f ca="1">REPLACE(AAW$6,AAX$6,1,Geschlecht[[#This Row],[Geschlecht (Skala)]])</f>
        <v>Beweglichkeit_[Note]</v>
      </c>
      <c r="ABB53" s="91" t="str" cm="1">
        <f t="array" aca="1" ref="ABB53" ca="1">IFERROR(INDEX(INDIRECT(ABA53),MATCH(INDIRECT(AAW$5),INDIRECT(AAX53),0)),"")</f>
        <v/>
      </c>
      <c r="ABC53" s="97" t="str" cm="1">
        <f t="array" aca="1" ref="ABC53" ca="1">IFERROR(INDEX(INDIRECT(ABB53),MATCH(INDIRECT(AAW$5),INDIRECT(AAY53),0)),"")</f>
        <v/>
      </c>
      <c r="ABD53" s="307"/>
      <c r="ABE53" s="96" t="str">
        <f>IFERROR(IFERROR(SUBSTITUTE(RumpfkraftResultat[[#This Row],[Eingabe]],".",",")*1,SUBSTITUTE(RumpfkraftResultat[[#This Row],[Eingabe]],",",".")*1),"")</f>
        <v/>
      </c>
      <c r="ABF53" s="96" t="e">
        <f>INT(RumpfkraftResultat[[#This Row],[Resultat]])=RumpfkraftResultat[[#This Row],[Resultat]]</f>
        <v>#VALUE!</v>
      </c>
      <c r="ABG53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3" s="96"/>
      <c r="ABI53" s="91" t="str" cm="1">
        <f t="array" aca="1" ref="ABI53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3" s="96" t="str">
        <f ca="1">REPLACE(ABI$4,ABJ$6,1,Geschlecht[[#This Row],[Geschlecht (Skala)]])</f>
        <v>Rumpfkraft_[Resultat]</v>
      </c>
      <c r="ABK53" s="97" t="str" cm="1">
        <f t="array" aca="1" ref="ABK53" ca="1">IF(INDIRECT(ABI$1)="","",IF(OR(INDIRECT(ABI$1)=$A$2,INDIRECT(ABI$1)=$A$3),$A$3,IFERROR(INDEX(INDIRECT(ABJ53),MATCH(INDIRECT(ABI$3),INDIRECT(ABJ53),ABJ$25)),IFERROR(IF(ABJ$25=-1,MAX(INDIRECT(ABJ53)),IF(ABJ$25=1,MIN(INDIRECT(ABJ53)))),""))))</f>
        <v/>
      </c>
      <c r="ABM53" s="91" t="str">
        <f ca="1">REPLACE(ABI$6,ABJ$6,1,Geschlecht[[#This Row],[Geschlecht (Skala)]])</f>
        <v>Rumpfkraft_[Note]</v>
      </c>
      <c r="ABN53" s="97" t="str" cm="1">
        <f t="array" aca="1" ref="ABN53" ca="1">IFERROR(INDEX(INDIRECT(ABM53),MATCH(INDIRECT(ABI$5),INDIRECT(ABJ53),0)),"")</f>
        <v/>
      </c>
      <c r="ABO53" s="97"/>
      <c r="ABP53" s="96" t="str">
        <f>SechzigmLaufResultat[[#This Row],[Resultat]]</f>
        <v/>
      </c>
      <c r="ABQ53" s="96"/>
      <c r="ABR53" s="97" t="str">
        <f ca="1">SechzigmLaufSkalawert[[#This Row],[Skala-Wert]]</f>
        <v/>
      </c>
      <c r="ABT53" s="97" t="str">
        <f ca="1">SechzigmLaufNote[[#This Row],[Note]]</f>
        <v/>
      </c>
      <c r="ABU53" s="97"/>
      <c r="ABV53" s="96" t="str">
        <f>AchtzigmLaufResultat[[#This Row],[Resultat]]</f>
        <v/>
      </c>
      <c r="ABW53" s="96"/>
      <c r="ABX53" s="97" t="str">
        <f ca="1">AchtzigmLaufSkalawert[[#This Row],[Skala-Wert]]</f>
        <v/>
      </c>
      <c r="ABZ53" s="97" t="str">
        <f ca="1">AchtzigmLaufNote[[#This Row],[Note]]</f>
        <v/>
      </c>
      <c r="ACA53" s="97"/>
      <c r="ACB53" s="307"/>
      <c r="ACC53" s="96" t="str">
        <f>IFERROR(IFERROR(SUBSTITUTE(KonditionsparcoursResultat[[#This Row],[Eingabe]],".",",")*1,SUBSTITUTE(KonditionsparcoursResultat[[#This Row],[Eingabe]],",",".")*1),"")</f>
        <v/>
      </c>
      <c r="ACD53" s="96" t="e">
        <f>INT(KonditionsparcoursResultat[[#This Row],[Resultat]])=KonditionsparcoursResultat[[#This Row],[Resultat]]</f>
        <v>#VALUE!</v>
      </c>
      <c r="ACE53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3" s="96"/>
      <c r="ACG53" s="91" t="str" cm="1">
        <f t="array" aca="1" ref="ACG53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3" s="96" t="str">
        <f ca="1">LEFT(Geschlecht[[#This Row],[Geschlecht (Skala)]],1)&amp;ACM$4</f>
        <v>2</v>
      </c>
      <c r="ACI53" s="96" t="str">
        <f t="shared" ca="1" si="133"/>
        <v>Konditionsparcours_2[Resultat]</v>
      </c>
      <c r="ACJ53" s="97" t="str" cm="1">
        <f t="array" aca="1" ref="ACJ53" ca="1">IF(INDIRECT(ACG$1)="","",IF(OR(INDIRECT(ACG$1)=$A$2,INDIRECT(ACG$1)=$A$3),$A$3,IFERROR(INDEX(INDIRECT(ACI53),MATCH(INDIRECT(ACG$3),INDIRECT(ACI53),ACI$25)),IFERROR(IF(ACI$25=-1,MAX(INDIRECT(ACI53)),IF(ACI$25=1,MIN(INDIRECT(ACI53)))),""))))</f>
        <v/>
      </c>
      <c r="ACL53" s="91" t="str">
        <f t="shared" ca="1" si="134"/>
        <v>Konditionsparcours_2[Note]</v>
      </c>
      <c r="ACM53" s="97" t="str" cm="1">
        <f t="array" aca="1" ref="ACM53" ca="1">IFERROR(INDEX(INDIRECT(ACL53),MATCH(INDIRECT(ACG$5),INDIRECT(ACI53),0)),"")</f>
        <v/>
      </c>
      <c r="ACN53" s="102"/>
    </row>
    <row r="54" spans="1:768">
      <c r="A54" s="305">
        <v>27</v>
      </c>
      <c r="B54" s="133"/>
      <c r="C54" s="133"/>
      <c r="E54" s="306"/>
      <c r="G54" s="307"/>
      <c r="H54" s="96" t="str">
        <f>IFERROR(IFERROR(SUBSTITUTE(SechzigmLaufResultat[[#This Row],[Eingabe]],".",",")*1,SUBSTITUTE(SechzigmLaufResultat[[#This Row],[Eingabe]],",",".")*1),"")</f>
        <v/>
      </c>
      <c r="I54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4" s="96"/>
      <c r="K54" s="91" t="str" cm="1">
        <f t="array" aca="1" ref="K54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4" s="96" t="str">
        <f ca="1">LEFT(Geschlecht[[#This Row],[Geschlecht (Skala)]],1)&amp;Q$4</f>
        <v>2</v>
      </c>
      <c r="M54" s="96" t="str">
        <f t="shared" ca="1" si="37"/>
        <v>SechzigmLauf_2[Resultat]</v>
      </c>
      <c r="N54" s="97" t="str" cm="1">
        <f t="array" aca="1" ref="N54" ca="1">IF(INDIRECT(K$1)="","",IF(INDIRECT(K$2)=0,0,IF(OR(INDIRECT(K$1)=$A$2,INDIRECT(K$1)=$A$3),$A$3,IFERROR(INDEX(INDIRECT(M54),MATCH(INDIRECT(K$3),INDIRECT(M54),M$25)),IFERROR(IF(M$25=-1,MAX(INDIRECT(M54)),IF(M$25=1,MIN(INDIRECT(M54)))),"")))))</f>
        <v/>
      </c>
      <c r="P54" s="91" t="str">
        <f t="shared" ca="1" si="38"/>
        <v>SechzigmLauf_2[Note]</v>
      </c>
      <c r="Q54" s="97" t="str" cm="1">
        <f t="array" aca="1" ref="Q54" ca="1">IFERROR(INDEX(INDIRECT(P54),MATCH(INDIRECT(K$5),INDIRECT(M54),0)),IF(INDIRECT(K$5)=0,1,""))</f>
        <v/>
      </c>
      <c r="R54" s="97"/>
      <c r="S54" s="307"/>
      <c r="T54" s="96" t="str">
        <f>IFERROR(IFERROR(SUBSTITUTE(AchtzigmLaufResultat[[#This Row],[Eingabe]],".",",")*1,SUBSTITUTE(AchtzigmLaufResultat[[#This Row],[Eingabe]],",",".")*1),"")</f>
        <v/>
      </c>
      <c r="U54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4" s="96"/>
      <c r="W54" s="91" t="str" cm="1">
        <f t="array" aca="1" ref="W54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4" s="96" t="str">
        <f ca="1">LEFT(Geschlecht[[#This Row],[Geschlecht (Skala)]],1)&amp;AC$4</f>
        <v>2</v>
      </c>
      <c r="Y54" s="96" t="str">
        <f t="shared" ca="1" si="39"/>
        <v>AchtzigmLauf_2[Resultat]</v>
      </c>
      <c r="Z54" s="97" t="str" cm="1">
        <f t="array" aca="1" ref="Z54" ca="1">IF(INDIRECT(W$1)="","",IF(INDIRECT(W$2)=0,0,IF(OR(INDIRECT(W$1)=$A$2,INDIRECT(W$1)=$A$3),$A$3,IFERROR(INDEX(INDIRECT(Y54),MATCH(INDIRECT(W$3),INDIRECT(Y54),Y$25)),IFERROR(IF(Y$25=-1,MAX(INDIRECT(Y54)),IF(Y$25=1,MIN(INDIRECT(Y54)))),"")))))</f>
        <v/>
      </c>
      <c r="AB54" s="91" t="str">
        <f t="shared" ca="1" si="40"/>
        <v>AchtzigmLauf_2[Note]</v>
      </c>
      <c r="AC54" s="97" t="str" cm="1">
        <f t="array" aca="1" ref="AC54" ca="1">IFERROR(INDEX(INDIRECT(AB54),MATCH(INDIRECT(W$5),INDIRECT(Y54),0)),IF(INDIRECT(W$5)=0,1,""))</f>
        <v/>
      </c>
      <c r="AD54" s="97"/>
      <c r="AE54" s="307"/>
      <c r="AF54" s="96" t="str">
        <f>IFERROR(IFERROR(SUBSTITUTE(ZwölfMinLaufHalleResultat[[#This Row],[Eingabe]],".",",")*1,SUBSTITUTE(ZwölfMinLaufHalleResultat[[#This Row],[Eingabe]],",",".")*1),"")</f>
        <v/>
      </c>
      <c r="AG54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4" s="96"/>
      <c r="AI54" s="91" t="str" cm="1">
        <f t="array" aca="1" ref="AI54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4" s="96" t="str">
        <f ca="1">LEFT(Geschlecht[[#This Row],[Geschlecht (Skala)]],1)&amp;AO$4</f>
        <v>2</v>
      </c>
      <c r="AK54" s="96" t="str">
        <f t="shared" ca="1" si="41"/>
        <v>ZwölfMinLaufHalle_2[Resultat]</v>
      </c>
      <c r="AL54" s="97" t="str" cm="1">
        <f t="array" aca="1" ref="AL54" ca="1">IF(INDIRECT(AI$1)="","",IF(INDIRECT(AI$2)=0,0,IF(OR(INDIRECT(AI$1)=$A$2,INDIRECT(AI$1)=$A$3),$A$3,IFERROR(INDEX(INDIRECT(AK54),MATCH(INDIRECT(AI$3),INDIRECT(AK54),AK$25)),IFERROR(IF(AK$25=-1,MAX(INDIRECT(AK54)),IF(AK$25=1,MIN(INDIRECT(AK54)))),"")))))</f>
        <v/>
      </c>
      <c r="AN54" s="91" t="str">
        <f t="shared" ca="1" si="42"/>
        <v>ZwölfMinLaufHalle_2[Note]</v>
      </c>
      <c r="AO54" s="97" t="str" cm="1">
        <f t="array" aca="1" ref="AO54" ca="1">IFERROR(INDEX(INDIRECT(AN54),MATCH(INDIRECT(AI$5),INDIRECT(AK54),0)),IF(INDIRECT(AI$5)=0,1,""))</f>
        <v/>
      </c>
      <c r="AP54" s="97"/>
      <c r="AQ54" s="307"/>
      <c r="AR54" s="96" t="str">
        <f>IFERROR(IFERROR(SUBSTITUTE(ZwölfMinLaufimFreienResultat[[#This Row],[Eingabe]],".",",")*1,SUBSTITUTE(ZwölfMinLaufimFreienResultat[[#This Row],[Eingabe]],",",".")*1),"")</f>
        <v/>
      </c>
      <c r="AS54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4" s="96"/>
      <c r="AU54" s="91" t="str" cm="1">
        <f t="array" aca="1" ref="AU54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4" s="96" t="str">
        <f ca="1">LEFT(Geschlecht[[#This Row],[Geschlecht (Skala)]],1)&amp;BA$4</f>
        <v>2</v>
      </c>
      <c r="AW54" s="96" t="str">
        <f t="shared" ca="1" si="43"/>
        <v>ZwölfMinLaufimFreien_2[Resultat]</v>
      </c>
      <c r="AX54" s="97" t="str" cm="1">
        <f t="array" aca="1" ref="AX54" ca="1">IF(INDIRECT(AU$1)="","",IF(INDIRECT(AU$2)=0,0,IF(OR(INDIRECT(AU$1)=$A$2,INDIRECT(AU$1)=$A$3),$A$3,IFERROR(INDEX(INDIRECT(AW54),MATCH(INDIRECT(AU$3),INDIRECT(AW54),AW$25)),IFERROR(IF(AW$25=-1,MAX(INDIRECT(AW54)),IF(AW$25=1,MIN(INDIRECT(AW54)))),"")))))</f>
        <v/>
      </c>
      <c r="AZ54" s="91" t="str">
        <f t="shared" ca="1" si="44"/>
        <v>ZwölfMinLaufimFreien_2[Note]</v>
      </c>
      <c r="BA54" s="97" t="str" cm="1">
        <f t="array" aca="1" ref="BA54" ca="1">IFERROR(INDEX(INDIRECT(AZ54),MATCH(INDIRECT(AU$5),INDIRECT(AW54),0)),IF(INDIRECT(AU$5)=0,1,""))</f>
        <v/>
      </c>
      <c r="BB54" s="97"/>
      <c r="BC54" s="307"/>
      <c r="BD54" s="96" t="str">
        <f>IFERROR(IFERROR(SUBSTITUTE(HochsprungResultat[[#This Row],[Eingabe]],".",",")*1,SUBSTITUTE(HochsprungResultat[[#This Row],[Eingabe]],",",".")*1),"")</f>
        <v/>
      </c>
      <c r="BE54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4" s="96"/>
      <c r="BG54" s="91" t="str" cm="1">
        <f t="array" aca="1" ref="BG54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4" s="96" t="str">
        <f ca="1">LEFT(Geschlecht[[#This Row],[Geschlecht (Skala)]],1)&amp;BM$4</f>
        <v>2</v>
      </c>
      <c r="BI54" s="96" t="str">
        <f t="shared" ca="1" si="45"/>
        <v>Hochsprung_2[Resultat]</v>
      </c>
      <c r="BJ54" s="97" t="str" cm="1">
        <f t="array" aca="1" ref="BJ54" ca="1">IF(INDIRECT(BG$1)="","",IF(INDIRECT(BG$2)=0,0,IF(OR(INDIRECT(BG$1)=$A$2,INDIRECT(BG$1)=$A$3),$A$3,IFERROR(INDEX(INDIRECT(BI54),MATCH(INDIRECT(BG$3),INDIRECT(BI54),BI$25)),IFERROR(IF(BI$25=-1,MAX(INDIRECT(BI54)),IF(BI$25=1,MIN(INDIRECT(BI54)))),"")))))</f>
        <v/>
      </c>
      <c r="BL54" s="91" t="str">
        <f t="shared" ca="1" si="46"/>
        <v>Hochsprung_2[Note]</v>
      </c>
      <c r="BM54" s="97" t="str" cm="1">
        <f t="array" aca="1" ref="BM54" ca="1">IFERROR(INDEX(INDIRECT(BL54),MATCH(INDIRECT(BG$5),INDIRECT(BI54),0)),IF(INDIRECT(BG$5)=0,1,""))</f>
        <v/>
      </c>
      <c r="BN54" s="97"/>
      <c r="BO54" s="307"/>
      <c r="BP54" s="96" t="str">
        <f>IFERROR(IFERROR(SUBSTITUTE(WeitsprungResultat[[#This Row],[Eingabe]],".",",")*1,SUBSTITUTE(WeitsprungResultat[[#This Row],[Eingabe]],",",".")*1),"")</f>
        <v/>
      </c>
      <c r="BQ54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4" s="96"/>
      <c r="BS54" s="91" t="str" cm="1">
        <f t="array" aca="1" ref="BS54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4" s="96" t="str">
        <f ca="1">LEFT(Geschlecht[[#This Row],[Geschlecht (Skala)]],1)&amp;BY$4</f>
        <v>2</v>
      </c>
      <c r="BU54" s="96" t="str">
        <f t="shared" ca="1" si="47"/>
        <v>Weitsprung_2[Resultat]</v>
      </c>
      <c r="BV54" s="97" t="str" cm="1">
        <f t="array" aca="1" ref="BV54" ca="1">IF(INDIRECT(BS$1)="","",IF(INDIRECT(BS$2)=0,0,IF(OR(INDIRECT(BS$1)=$A$2,INDIRECT(BS$1)=$A$3),$A$3,IFERROR(INDEX(INDIRECT(BU54),MATCH(INDIRECT(BS$3),INDIRECT(BU54),BU$25)),IFERROR(IF(BU$25=-1,MAX(INDIRECT(BU54)),IF(BU$25=1,MIN(INDIRECT(BU54)))),"")))))</f>
        <v/>
      </c>
      <c r="BX54" s="91" t="str">
        <f t="shared" ca="1" si="48"/>
        <v>Weitsprung_2[Note]</v>
      </c>
      <c r="BY54" s="97" t="str" cm="1">
        <f t="array" aca="1" ref="BY54" ca="1">IFERROR(INDEX(INDIRECT(BX54),MATCH(INDIRECT(BS$5),INDIRECT(BU54),0)),IF(INDIRECT(BS$5)=0,1,""))</f>
        <v/>
      </c>
      <c r="BZ54" s="97"/>
      <c r="CA54" s="307"/>
      <c r="CB54" s="96" t="str">
        <f>IFERROR(IFERROR(SUBSTITUTE(BallwurfResultat[[#This Row],[Eingabe]],".",",")*1,SUBSTITUTE(BallwurfResultat[[#This Row],[Eingabe]],",",".")*1),"")</f>
        <v/>
      </c>
      <c r="CC54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4" s="96"/>
      <c r="CE54" s="91" t="str" cm="1">
        <f t="array" aca="1" ref="CE54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4" s="96" t="str">
        <f ca="1">LEFT(Geschlecht[[#This Row],[Geschlecht (Skala)]],1)&amp;CK$4</f>
        <v>2</v>
      </c>
      <c r="CG54" s="96" t="str">
        <f t="shared" ca="1" si="49"/>
        <v>Ballwurf_2[Resultat]</v>
      </c>
      <c r="CH54" s="97" t="str" cm="1">
        <f t="array" aca="1" ref="CH54" ca="1">IF(INDIRECT(CE$1)="","",IF(INDIRECT(CE$2)=0,0,IF(OR(INDIRECT(CE$1)=$A$2,INDIRECT(CE$1)=$A$3),$A$3,IFERROR(INDEX(INDIRECT(CG54),MATCH(INDIRECT(CE$3),INDIRECT(CG54),CG$25)),IFERROR(IF(CG$25=-1,MAX(INDIRECT(CG54)),IF(CG$25=1,MIN(INDIRECT(CG54)))),"")))))</f>
        <v/>
      </c>
      <c r="CJ54" s="91" t="str">
        <f t="shared" ca="1" si="50"/>
        <v>Ballwurf_2[Note]</v>
      </c>
      <c r="CK54" s="97" t="str" cm="1">
        <f t="array" aca="1" ref="CK54" ca="1">IFERROR(INDEX(INDIRECT(CJ54),MATCH(INDIRECT(CE$5),INDIRECT(CG54),0)),IF(INDIRECT(CE$5)=0,1,""))</f>
        <v/>
      </c>
      <c r="CL54" s="97"/>
      <c r="CM54" s="307"/>
      <c r="CN54" s="96" t="str">
        <f>IFERROR(IFERROR(SUBSTITUTE(KugelstossenResultat[[#This Row],[Eingabe]],".",",")*1,SUBSTITUTE(KugelstossenResultat[[#This Row],[Eingabe]],",",".")*1),"")</f>
        <v/>
      </c>
      <c r="CO54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4" s="96"/>
      <c r="CQ54" s="91" t="str" cm="1">
        <f t="array" aca="1" ref="CQ54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4" s="96" t="str">
        <f ca="1">LEFT(Geschlecht[[#This Row],[Geschlecht (Skala)]],1)&amp;CW$4</f>
        <v>2</v>
      </c>
      <c r="CS54" s="96" t="str">
        <f t="shared" ca="1" si="51"/>
        <v>Kugelstossen_2[Resultat]</v>
      </c>
      <c r="CT54" s="97" t="str" cm="1">
        <f t="array" aca="1" ref="CT54" ca="1">IF(INDIRECT(CQ$1)="","",IF(INDIRECT(CQ$2)=0,0,IF(OR(INDIRECT(CQ$1)=$A$2,INDIRECT(CQ$1)=$A$3),$A$3,IFERROR(INDEX(INDIRECT(CS54),MATCH(INDIRECT(CQ$3),INDIRECT(CS54),CS$25)),IFERROR(IF(CS$25=-1,MAX(INDIRECT(CS54)),IF(CS$25=1,MIN(INDIRECT(CS54)))),"")))))</f>
        <v/>
      </c>
      <c r="CV54" s="91" t="str">
        <f t="shared" ca="1" si="52"/>
        <v>Kugelstossen_2[Note]</v>
      </c>
      <c r="CW54" s="97" t="str" cm="1">
        <f t="array" aca="1" ref="CW54" ca="1">IFERROR(INDEX(INDIRECT(CV54),MATCH(INDIRECT(CQ$5),INDIRECT(CS54),0)),IF(INDIRECT(CQ$5)=0,1,""))</f>
        <v/>
      </c>
      <c r="CX54" s="97"/>
      <c r="CY54" s="307"/>
      <c r="CZ54" s="96" t="str">
        <f>IFERROR(IFERROR(SUBSTITUTE(SpeerwurfResultat[[#This Row],[Eingabe]],".",",")*1,SUBSTITUTE(SpeerwurfResultat[[#This Row],[Eingabe]],",",".")*1),"")</f>
        <v/>
      </c>
      <c r="DA54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4" s="96"/>
      <c r="DC54" s="91" t="str" cm="1">
        <f t="array" aca="1" ref="DC54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4" s="96" t="str">
        <f ca="1">LEFT(Geschlecht[[#This Row],[Geschlecht (Skala)]],1)&amp;DI$4</f>
        <v>2</v>
      </c>
      <c r="DE54" s="96" t="str">
        <f t="shared" ca="1" si="53"/>
        <v>Speerwurf_2[Resultat]</v>
      </c>
      <c r="DF54" s="97" t="str" cm="1">
        <f t="array" aca="1" ref="DF54" ca="1">IF(INDIRECT(DC$1)="","",IF(INDIRECT(DC$2)=0,0,IF(OR(INDIRECT(DC$1)=$A$2,INDIRECT(DC$1)=$A$3),$A$3,IFERROR(INDEX(INDIRECT(DE54),MATCH(INDIRECT(DC$3),INDIRECT(DE54),DE$25)),IFERROR(IF(DE$25=-1,MAX(INDIRECT(DE54)),IF(DE$25=1,MIN(INDIRECT(DE54)))),"")))))</f>
        <v/>
      </c>
      <c r="DH54" s="91" t="str">
        <f t="shared" ca="1" si="54"/>
        <v>Speerwurf_2[Note]</v>
      </c>
      <c r="DI54" s="97" t="str" cm="1">
        <f t="array" aca="1" ref="DI54" ca="1">IFERROR(INDEX(INDIRECT(DH54),MATCH(INDIRECT(DC$5),INDIRECT(DE54),0)),IF(INDIRECT(DC$5)=0,1,""))</f>
        <v/>
      </c>
      <c r="DJ54" s="97"/>
      <c r="DK54" s="97" t="str" cm="1">
        <f t="array" aca="1" ref="DK54" ca="1">INDIRECT(DK$5)</f>
        <v/>
      </c>
      <c r="DL54" s="97" t="str" cm="1">
        <f t="array" aca="1" ref="DL54" ca="1">INDIRECT(DL$5)</f>
        <v/>
      </c>
      <c r="DM54" s="97" t="str" cm="1">
        <f t="array" aca="1" ref="DM54" ca="1">INDIRECT(DM$5)</f>
        <v/>
      </c>
      <c r="DN54" s="97" t="str" cm="1">
        <f t="array" aca="1" ref="DN54" ca="1">INDIRECT(DN$5)</f>
        <v/>
      </c>
      <c r="DO54" s="97" t="str">
        <f t="shared" ca="1" si="135"/>
        <v>Sprintdisziplinen nicht durchgeführt</v>
      </c>
      <c r="DP54" s="97" t="str">
        <f t="shared" ca="1" si="136"/>
        <v/>
      </c>
      <c r="DQ54" s="108">
        <f t="shared" ca="1" si="137"/>
        <v>0</v>
      </c>
      <c r="DR54" s="108">
        <f t="shared" ca="1" si="138"/>
        <v>0</v>
      </c>
      <c r="DS54" s="108" t="str">
        <f t="shared" ca="1" si="139"/>
        <v/>
      </c>
      <c r="DT54" s="97" t="str">
        <f t="shared" ca="1" si="140"/>
        <v>Sprintdisziplinen nicht durchgeführt</v>
      </c>
      <c r="DU54" s="97" t="str">
        <f t="shared" ca="1" si="141"/>
        <v/>
      </c>
      <c r="DV54" s="97" t="str" cm="1">
        <f t="array" aca="1" ref="DV54" ca="1">IFERROR(IF(INDIRECT(INDEX(INDIRECT(DV$5),MATCH(DT54,INDIRECT(DV$4),0)))&lt;&gt;"",INDEX(INDIRECT(DV$5),MATCH(DT54,INDIRECT(DV$4),0)),INDEX(INDIRECT(DV$6),MATCH(DT54,INDIRECT(DV$4),0))),"")</f>
        <v/>
      </c>
      <c r="DW54" s="97" t="str">
        <f t="shared" ca="1" si="142"/>
        <v/>
      </c>
      <c r="DX54" s="97" t="str" cm="1">
        <f t="array" aca="1" ref="DX54" ca="1">IFERROR(INDIRECT(DV54),IF(NOT(ISERROR(FIND(Stammdaten!$CC$3,DT54,1))),$A$2,""))</f>
        <v/>
      </c>
      <c r="DY54" s="97" t="str">
        <f ca="1">IF(DX54="","",IF(AND(DU54=Stammdaten!$BX$20,DW54="0",DX54=1),SUBSTITUTE(TEXT(DX54,DW54)&amp;" "&amp;LEFT(DU54,LEN(DU54)-1),".",","),SUBSTITUTE(TEXT(DX54,DW54)&amp;" "&amp;DU54,".",",")))</f>
        <v/>
      </c>
      <c r="DZ54" s="97" t="str">
        <f t="shared" ca="1" si="55"/>
        <v/>
      </c>
      <c r="EA54" s="97" t="str" cm="1">
        <f t="array" aca="1" ref="EA54" ca="1">IFERROR(LEFT(INDIRECT(DZ54),1)&amp;"]","")</f>
        <v/>
      </c>
      <c r="EB54" s="97" t="str">
        <f t="shared" ca="1" si="56"/>
        <v/>
      </c>
      <c r="EC54" s="97" t="str">
        <f ca="1">IFERROR(LEFT(DT54,FIND(Stammdaten!$CA$4,DT54,1)-2),IFERROR(LEFT(DT54,FIND(Stammdaten!$CC$3,DT54,1)-2),DT54))</f>
        <v>Sprintdisziplinen</v>
      </c>
      <c r="ED54" s="97" t="str">
        <f ca="1">IF(NOT(ISERROR(FIND(Stammdaten!$CA$4,DT54,1))),Stammdaten!$CA$4,IF(EE54&lt;&gt;Stammdaten!$CC$3,EB54,""))</f>
        <v>nicht durchgeführt</v>
      </c>
      <c r="EE54" s="91" t="str">
        <f ca="1">IF(DX54=$A$2,Stammdaten!$CC$3,DY54)</f>
        <v/>
      </c>
      <c r="EF54" s="97" t="str" cm="1">
        <f t="array" aca="1" ref="EF54" ca="1">INDIRECT(EF$5)</f>
        <v/>
      </c>
      <c r="EG54" s="97" t="str" cm="1">
        <f t="array" aca="1" ref="EG54" ca="1">INDIRECT(EG$5)</f>
        <v/>
      </c>
      <c r="EH54" s="97" t="str" cm="1">
        <f t="array" aca="1" ref="EH54" ca="1">INDIRECT(EH$5)</f>
        <v/>
      </c>
      <c r="EI54" s="97" t="str" cm="1">
        <f t="array" aca="1" ref="EI54" ca="1">INDIRECT(EI$5)</f>
        <v/>
      </c>
      <c r="EJ54" s="97" t="str">
        <f t="shared" ca="1" si="143"/>
        <v>Ausdauerdisziplinen nicht durchgeführt</v>
      </c>
      <c r="EK54" s="97" t="str">
        <f t="shared" ca="1" si="144"/>
        <v/>
      </c>
      <c r="EL54" s="108">
        <f t="shared" ca="1" si="145"/>
        <v>0</v>
      </c>
      <c r="EM54" s="108">
        <f t="shared" ca="1" si="146"/>
        <v>0</v>
      </c>
      <c r="EN54" s="108" t="str">
        <f t="shared" ca="1" si="147"/>
        <v/>
      </c>
      <c r="EO54" s="97" t="str">
        <f t="shared" ca="1" si="148"/>
        <v>Ausdauerdisziplinen nicht durchgeführt</v>
      </c>
      <c r="EP54" s="97" t="str">
        <f t="shared" ca="1" si="149"/>
        <v/>
      </c>
      <c r="EQ54" s="97" t="str" cm="1">
        <f t="array" aca="1" ref="EQ54" ca="1">IFERROR(IF(INDIRECT(INDEX(INDIRECT(EQ$5),MATCH(EO54,INDIRECT(EQ$4),0)))&lt;&gt;"",INDEX(INDIRECT(EQ$5),MATCH(EO54,INDIRECT(EQ$4),0)),INDEX(INDIRECT(EQ$6),MATCH(EO54,INDIRECT(EQ$4),0))),"")</f>
        <v/>
      </c>
      <c r="ER54" s="97" t="str">
        <f t="shared" ca="1" si="150"/>
        <v/>
      </c>
      <c r="ES54" s="97" t="str" cm="1">
        <f t="array" aca="1" ref="ES54" ca="1">IFERROR(INDIRECT(EQ54),IF(NOT(ISERROR(FIND(Stammdaten!$CC$3,EO54,1))),$A$2,""))</f>
        <v/>
      </c>
      <c r="ET54" s="97" t="str">
        <f ca="1">IF(ES54="","",IF(AND(EP54=Stammdaten!$BX$20,ER54="0",ES54=1),SUBSTITUTE(TEXT(ES54,ER54)&amp;" "&amp;LEFT(EP54,LEN(EP54)-1),".",","),SUBSTITUTE(TEXT(ES54,ER54)&amp;" "&amp;EP54,".",",")))</f>
        <v/>
      </c>
      <c r="EU54" s="97" t="str">
        <f t="shared" ca="1" si="57"/>
        <v/>
      </c>
      <c r="EV54" s="97" t="str" cm="1">
        <f t="array" aca="1" ref="EV54" ca="1">IFERROR(LEFT(INDIRECT(EU54),1)&amp;"]","")</f>
        <v/>
      </c>
      <c r="EW54" s="97" t="str">
        <f t="shared" ca="1" si="58"/>
        <v/>
      </c>
      <c r="EX54" s="97" t="str">
        <f ca="1">IFERROR(LEFT(EO54,FIND(Stammdaten!$CA$4,EO54,1)-2),IFERROR(LEFT(EO54,FIND(Stammdaten!$CC$3,EO54,1)-2),EO54))</f>
        <v>Ausdauerdisziplinen</v>
      </c>
      <c r="EY54" s="97" t="str">
        <f ca="1">IF(NOT(ISERROR(FIND(Stammdaten!$CA$4,EO54,1))),Stammdaten!$CA$4,IF(EZ54&lt;&gt;Stammdaten!$CC$3,EW54,""))</f>
        <v>nicht durchgeführt</v>
      </c>
      <c r="EZ54" s="91" t="str">
        <f ca="1">IF(ES54=$A$2,Stammdaten!$CC$3,ET54)</f>
        <v/>
      </c>
      <c r="FA54" s="97" t="str" cm="1">
        <f t="array" aca="1" ref="FA54" ca="1">INDIRECT(FA$5)</f>
        <v/>
      </c>
      <c r="FB54" s="97" t="str" cm="1">
        <f t="array" aca="1" ref="FB54" ca="1">INDIRECT(FB$5)</f>
        <v/>
      </c>
      <c r="FC54" s="97" t="str" cm="1">
        <f t="array" aca="1" ref="FC54" ca="1">INDIRECT(FC$5)</f>
        <v/>
      </c>
      <c r="FD54" s="97" t="str" cm="1">
        <f t="array" aca="1" ref="FD54" ca="1">INDIRECT(FD$5)</f>
        <v/>
      </c>
      <c r="FE54" s="97" t="str">
        <f t="shared" ca="1" si="151"/>
        <v>Sprungdisziplinen nicht durchgeführt</v>
      </c>
      <c r="FF54" s="97" t="str">
        <f t="shared" ca="1" si="152"/>
        <v/>
      </c>
      <c r="FG54" s="108">
        <f t="shared" ca="1" si="153"/>
        <v>0</v>
      </c>
      <c r="FH54" s="108">
        <f t="shared" ca="1" si="154"/>
        <v>0</v>
      </c>
      <c r="FI54" s="108" t="str">
        <f t="shared" ca="1" si="155"/>
        <v/>
      </c>
      <c r="FJ54" s="97" t="str">
        <f t="shared" ca="1" si="156"/>
        <v>Sprungdisziplinen nicht durchgeführt</v>
      </c>
      <c r="FK54" s="97" t="str">
        <f t="shared" ca="1" si="157"/>
        <v/>
      </c>
      <c r="FL54" s="97" t="str" cm="1">
        <f t="array" aca="1" ref="FL54" ca="1">IFERROR(IF(INDIRECT(INDEX(INDIRECT(FL$5),MATCH(FJ54,INDIRECT(FL$4),0)))&lt;&gt;"",INDEX(INDIRECT(FL$5),MATCH(FJ54,INDIRECT(FL$4),0)),INDEX(INDIRECT(FL$6),MATCH(FJ54,INDIRECT(FL$4),0))),"")</f>
        <v/>
      </c>
      <c r="FM54" s="97" t="str">
        <f t="shared" ca="1" si="158"/>
        <v/>
      </c>
      <c r="FN54" s="97" t="str" cm="1">
        <f t="array" aca="1" ref="FN54" ca="1">IFERROR(INDIRECT(FL54),IF(NOT(ISERROR(FIND(Stammdaten!$CC$3,FJ54,1))),$A$2,""))</f>
        <v/>
      </c>
      <c r="FO54" s="97" t="str">
        <f ca="1">IF(FN54="","",IF(AND(FK54=Stammdaten!$BX$20,FM54="0",FN54=1),SUBSTITUTE(TEXT(FN54,FM54)&amp;" "&amp;LEFT(FK54,LEN(FK54)-1),".",","),SUBSTITUTE(TEXT(FN54,FM54)&amp;" "&amp;FK54,".",",")))</f>
        <v/>
      </c>
      <c r="FP54" s="97" t="str">
        <f t="shared" ca="1" si="59"/>
        <v/>
      </c>
      <c r="FQ54" s="97" t="str" cm="1">
        <f t="array" aca="1" ref="FQ54" ca="1">IFERROR(LEFT(INDIRECT(FP54),1)&amp;"]","")</f>
        <v/>
      </c>
      <c r="FR54" s="97" t="str">
        <f t="shared" ca="1" si="60"/>
        <v/>
      </c>
      <c r="FS54" s="97" t="str">
        <f ca="1">IFERROR(LEFT(FJ54,FIND(Stammdaten!$CA$4,FJ54,1)-2),IFERROR(LEFT(FJ54,FIND(Stammdaten!$CC$3,FJ54,1)-2),FJ54))</f>
        <v>Sprungdisziplinen</v>
      </c>
      <c r="FT54" s="97" t="str">
        <f ca="1">IF(NOT(ISERROR(FIND(Stammdaten!$CA$4,FJ54,1))),Stammdaten!$CA$4,IF(FU54&lt;&gt;Stammdaten!$CC$3,FR54,""))</f>
        <v>nicht durchgeführt</v>
      </c>
      <c r="FU54" s="91" t="str">
        <f ca="1">IF(FN54=$A$2,Stammdaten!$CC$3,FO54)</f>
        <v/>
      </c>
      <c r="FV54" s="97" t="str" cm="1">
        <f t="array" aca="1" ref="FV54" ca="1">INDIRECT(FV$5)</f>
        <v/>
      </c>
      <c r="FW54" s="97" t="str" cm="1">
        <f t="array" aca="1" ref="FW54" ca="1">INDIRECT(FW$5)</f>
        <v/>
      </c>
      <c r="FX54" s="97" t="str" cm="1">
        <f t="array" aca="1" ref="FX54" ca="1">INDIRECT(FX$5)</f>
        <v/>
      </c>
      <c r="FY54" s="97" t="str" cm="1">
        <f t="array" aca="1" ref="FY54" ca="1">INDIRECT(FY$5)</f>
        <v/>
      </c>
      <c r="FZ54" s="97" t="str" cm="1">
        <f t="array" aca="1" ref="FZ54" ca="1">INDIRECT(FZ$5)</f>
        <v/>
      </c>
      <c r="GA54" s="97" t="str" cm="1">
        <f t="array" aca="1" ref="GA54" ca="1">INDIRECT(GA$5)</f>
        <v/>
      </c>
      <c r="GB54" s="97" t="str">
        <f t="shared" ca="1" si="159"/>
        <v>Wurfdisziplinen nicht durchgeführt</v>
      </c>
      <c r="GC54" s="97" t="str">
        <f t="shared" ca="1" si="160"/>
        <v/>
      </c>
      <c r="GD54" s="108">
        <f t="shared" ca="1" si="161"/>
        <v>0</v>
      </c>
      <c r="GE54" s="108">
        <f t="shared" ca="1" si="162"/>
        <v>0</v>
      </c>
      <c r="GF54" s="108" t="str">
        <f t="shared" ca="1" si="163"/>
        <v/>
      </c>
      <c r="GG54" s="97" t="str">
        <f t="shared" ca="1" si="164"/>
        <v>Wurfdisziplinen nicht durchgeführt</v>
      </c>
      <c r="GH54" s="97" t="str">
        <f t="shared" ca="1" si="165"/>
        <v/>
      </c>
      <c r="GI54" s="97" t="str" cm="1">
        <f t="array" aca="1" ref="GI54" ca="1">IFERROR(IF(INDIRECT(INDEX(INDIRECT(GI$5),MATCH(GG54,INDIRECT(GI$4),0)))&lt;&gt;"",INDEX(INDIRECT(GI$5),MATCH(GG54,INDIRECT(GI$4),0)),INDEX(INDIRECT(GI$6),MATCH(GG54,INDIRECT(GI$4),0))),"")</f>
        <v/>
      </c>
      <c r="GJ54" s="97" t="str">
        <f t="shared" ca="1" si="166"/>
        <v/>
      </c>
      <c r="GK54" s="97" t="str" cm="1">
        <f t="array" aca="1" ref="GK54" ca="1">IFERROR(INDIRECT(GI54),IF(NOT(ISERROR(FIND(Stammdaten!$CC$3,GG54,1))),$A$2,""))</f>
        <v/>
      </c>
      <c r="GL54" s="97" t="str">
        <f ca="1">IF(GK54="","",IF(AND(GH54=Stammdaten!$BX$20,GJ54="0",GK54=1),SUBSTITUTE(TEXT(GK54,GJ54)&amp;" "&amp;LEFT(GH54,LEN(GH54)-1),".",","),SUBSTITUTE(TEXT(GK54,GJ54)&amp;" "&amp;GH54,".",",")))</f>
        <v/>
      </c>
      <c r="GM54" s="97" t="str">
        <f t="shared" ca="1" si="61"/>
        <v/>
      </c>
      <c r="GN54" s="97" t="str" cm="1">
        <f t="array" aca="1" ref="GN54" ca="1">IFERROR(LEFT(INDIRECT(GM54),1)&amp;"]","")</f>
        <v/>
      </c>
      <c r="GO54" s="97" t="str">
        <f t="shared" ca="1" si="62"/>
        <v/>
      </c>
      <c r="GP54" s="97" t="str">
        <f ca="1">IFERROR(LEFT(GG54,FIND(Stammdaten!$CA$4,GG54,1)-2),IFERROR(LEFT(GG54,FIND(Stammdaten!$CC$3,GG54,1)-2),GG54))</f>
        <v>Wurfdisziplinen</v>
      </c>
      <c r="GQ54" s="97" t="str">
        <f ca="1">IF(NOT(ISERROR(FIND(Stammdaten!$CA$4,GG54,1))),Stammdaten!$CA$4,IF(GR54&lt;&gt;Stammdaten!$CC$3,GO54,""))</f>
        <v>nicht durchgeführt</v>
      </c>
      <c r="GR54" s="91" t="str">
        <f ca="1">IF(GK54=$A$2,Stammdaten!$CC$3,GL54)</f>
        <v/>
      </c>
      <c r="GS54" s="97" t="str">
        <f t="shared" ca="1" si="63"/>
        <v/>
      </c>
      <c r="GT54" s="97" t="str">
        <f t="shared" ca="1" si="64"/>
        <v/>
      </c>
      <c r="GU54" s="97" t="str">
        <f t="shared" ca="1" si="65"/>
        <v/>
      </c>
      <c r="GV54" s="97" t="str">
        <f t="shared" ca="1" si="66"/>
        <v/>
      </c>
      <c r="GW54" s="97">
        <f t="shared" ca="1" si="167"/>
        <v>0</v>
      </c>
      <c r="GX54" s="108">
        <f t="shared" ca="1" si="168"/>
        <v>0</v>
      </c>
      <c r="GY54" s="108">
        <f t="shared" ca="1" si="169"/>
        <v>0</v>
      </c>
      <c r="GZ54" s="108" t="str">
        <f t="shared" ca="1" si="170"/>
        <v/>
      </c>
      <c r="HA54" s="97" t="str">
        <f ca="1">IF(GZ54="",Stammdaten!$BZ$1,IF(AND(GX54=0,GY54&gt;=GZ$25),$A$3,ROUND(SUM(GW54/GZ54)/HA$25,0)*HA$25))</f>
        <v>Zu wenige Werte</v>
      </c>
      <c r="HB54" s="108">
        <f t="shared" ca="1" si="171"/>
        <v>6</v>
      </c>
      <c r="HC54" s="97" t="str">
        <f t="shared" ca="1" si="172"/>
        <v/>
      </c>
      <c r="HD54" s="97" t="str">
        <f t="shared" ca="1" si="173"/>
        <v/>
      </c>
      <c r="HE54" s="97" t="str">
        <f t="shared" ca="1" si="174"/>
        <v/>
      </c>
      <c r="HF54" s="97" t="str">
        <f t="shared" ca="1" si="175"/>
        <v/>
      </c>
      <c r="HG54" s="97" t="str">
        <f t="shared" ca="1" si="176"/>
        <v/>
      </c>
      <c r="HH54" s="97" t="str">
        <f t="shared" ca="1" si="177"/>
        <v>g</v>
      </c>
      <c r="HI54" s="97" t="str">
        <f t="shared" ca="1" si="178"/>
        <v/>
      </c>
      <c r="HJ54" s="97">
        <f t="shared" ca="1" si="179"/>
        <v>1</v>
      </c>
      <c r="HK54" s="97" t="str">
        <f ca="1">IF(OR(Geschlecht[[#This Row],[Geschlecht (Skala)]]="",NOT(ISNUMBER(GZ54))),"",HJ54)</f>
        <v/>
      </c>
      <c r="HL54" s="97" t="str">
        <f t="shared" ca="1" si="180"/>
        <v/>
      </c>
      <c r="HM54" s="97"/>
      <c r="HN54" s="308" t="str">
        <f t="shared" ca="1" si="68"/>
        <v>Zu wenige Werte</v>
      </c>
      <c r="HO54" s="97"/>
      <c r="HP54" s="307"/>
      <c r="HQ54" s="96" t="str">
        <f>IFERROR(IFERROR(SUBSTITUTE(ReckResultat[[#This Row],[Eingabe]],".",",")*1,SUBSTITUTE(ReckResultat[[#This Row],[Eingabe]],",",".")*1),"")</f>
        <v/>
      </c>
      <c r="HR54" s="96" t="e">
        <f>INT(ReckResultat[[#This Row],[Resultat]])=ReckResultat[[#This Row],[Resultat]]</f>
        <v>#VALUE!</v>
      </c>
      <c r="HS54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4" s="96"/>
      <c r="HX54" s="97"/>
      <c r="HY54" s="307"/>
      <c r="HZ54" s="96" t="str">
        <f>IFERROR(IFERROR(SUBSTITUTE(BodenResultat[[#This Row],[Eingabe]],".",",")*1,SUBSTITUTE(BodenResultat[[#This Row],[Eingabe]],",",".")*1),"")</f>
        <v/>
      </c>
      <c r="IA54" s="96" t="e">
        <f>INT(BodenResultat[[#This Row],[Resultat]])=BodenResultat[[#This Row],[Resultat]]</f>
        <v>#VALUE!</v>
      </c>
      <c r="IB54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4" s="96"/>
      <c r="IG54" s="97"/>
      <c r="IH54" s="307"/>
      <c r="II54" s="96" t="str">
        <f>IFERROR(IFERROR(SUBSTITUTE(StufenbarrenResultat[[#This Row],[Eingabe]],".",",")*1,SUBSTITUTE(StufenbarrenResultat[[#This Row],[Eingabe]],",",".")*1),"")</f>
        <v/>
      </c>
      <c r="IJ54" s="96" t="e">
        <f>INT(StufenbarrenResultat[[#This Row],[Resultat]])=StufenbarrenResultat[[#This Row],[Resultat]]</f>
        <v>#VALUE!</v>
      </c>
      <c r="IK54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4" s="96"/>
      <c r="IP54" s="97"/>
      <c r="IQ54" s="307"/>
      <c r="IR54" s="96" t="str">
        <f>IFERROR(IFERROR(SUBSTITUTE(ParallelbarrenResultat[[#This Row],[Eingabe]],".",",")*1,SUBSTITUTE(ParallelbarrenResultat[[#This Row],[Eingabe]],",",".")*1),"")</f>
        <v/>
      </c>
      <c r="IS54" s="96" t="e">
        <f>INT(ParallelbarrenResultat[[#This Row],[Resultat]])=ParallelbarrenResultat[[#This Row],[Resultat]]</f>
        <v>#VALUE!</v>
      </c>
      <c r="IT54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4" s="96"/>
      <c r="IY54" s="97"/>
      <c r="IZ54" s="307"/>
      <c r="JA54" s="96" t="str">
        <f>IFERROR(IFERROR(SUBSTITUTE(SchaukelringeResultat[[#This Row],[Eingabe]],".",",")*1,SUBSTITUTE(SchaukelringeResultat[[#This Row],[Eingabe]],",",".")*1),"")</f>
        <v/>
      </c>
      <c r="JB54" s="96" t="e">
        <f>INT(SchaukelringeResultat[[#This Row],[Resultat]])=SchaukelringeResultat[[#This Row],[Resultat]]</f>
        <v>#VALUE!</v>
      </c>
      <c r="JC54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4" s="96"/>
      <c r="JH54" s="97"/>
      <c r="JI54" s="307"/>
      <c r="JJ54" s="96" t="str">
        <f>IFERROR(IFERROR(SUBSTITUTE(SprungResultat[[#This Row],[Eingabe]],".",",")*1,SUBSTITUTE(SprungResultat[[#This Row],[Eingabe]],",",".")*1),"")</f>
        <v/>
      </c>
      <c r="JK54" s="96" t="e">
        <f>INT(SprungResultat[[#This Row],[Resultat]])=SprungResultat[[#This Row],[Resultat]]</f>
        <v>#VALUE!</v>
      </c>
      <c r="JL54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4" s="96"/>
      <c r="JQ54" s="97"/>
      <c r="JR54" s="309" t="str" cm="1">
        <f t="array" aca="1" ref="JR54" ca="1">IF(AND(ISNUMBER(INDIRECT(JR$3)),INDIRECT(JR$3)&gt;0),INDIRECT(JR$3),"")</f>
        <v/>
      </c>
      <c r="JS54" s="309" t="str" cm="1">
        <f t="array" aca="1" ref="JS54" ca="1">IF(AND(ISNUMBER(INDIRECT(JS$3)),INDIRECT(JS$3)&gt;0),INDIRECT(JS$3),"")</f>
        <v/>
      </c>
      <c r="JT54" s="309" t="str" cm="1">
        <f t="array" aca="1" ref="JT54" ca="1">IF(AND(ISNUMBER(INDIRECT(JT$3)),INDIRECT(JT$3)&gt;0),INDIRECT(JT$3),"")</f>
        <v/>
      </c>
      <c r="JU54" s="309" t="str" cm="1">
        <f t="array" aca="1" ref="JU54" ca="1">IF(AND(ISNUMBER(INDIRECT(JU$3)),INDIRECT(JU$3)&gt;0),INDIRECT(JU$3),"")</f>
        <v/>
      </c>
      <c r="JV54" s="309" t="str" cm="1">
        <f t="array" aca="1" ref="JV54" ca="1">IF(AND(ISNUMBER(INDIRECT(JV$3)),INDIRECT(JV$3)&gt;0),INDIRECT(JV$3),"")</f>
        <v/>
      </c>
      <c r="JW54" s="309" t="str" cm="1">
        <f t="array" aca="1" ref="JW54" ca="1">IF(AND(ISNUMBER(INDIRECT(JW$3)),INDIRECT(JW$3)&gt;0),INDIRECT(JW$3),"")</f>
        <v/>
      </c>
      <c r="JX54" s="309" t="str">
        <f t="shared" ca="1" si="69"/>
        <v>x</v>
      </c>
      <c r="JY54" s="309" t="str">
        <f t="shared" ca="1" si="70"/>
        <v>y</v>
      </c>
      <c r="JZ54" s="309" t="str">
        <f t="shared" ca="1" si="71"/>
        <v>z</v>
      </c>
      <c r="KA54" s="309" t="str">
        <f t="shared" ca="1" si="181"/>
        <v>a</v>
      </c>
      <c r="KB54" s="309" t="str" cm="1">
        <f t="array" aca="1" ref="KB54" ca="1">IF(KA54="a","",INDEX($JR$23:$JW$23,,MATCH(KA54,$JR54:$JW54,0)))</f>
        <v/>
      </c>
      <c r="KC54" s="309" t="str" cm="1">
        <f t="array" aca="1" ref="KC54" ca="1">IF(OR(KB54="",KB54&gt;=$JW$23),"",INDEX(INDIRECT(ADDRESS(ROW($JR$23),KB54+1)):$JW$23,,MATCH(KA54,INDIRECT(ADDRESS(ROW(),KB54+1)):$JW54,0)))</f>
        <v/>
      </c>
      <c r="KD54" s="309" t="str" cm="1">
        <f t="array" aca="1" ref="KD54" ca="1">IF(OR(KC54="",KC54&gt;=$JW$23),"",INDEX(INDIRECT(ADDRESS(ROW($JR$23),KC54+1)):$JW$23,,MATCH(KA54,INDIRECT(ADDRESS(ROW(),KC54+1)):$JW54,0)))</f>
        <v/>
      </c>
      <c r="KE54" s="309" t="str">
        <f t="shared" ca="1" si="182"/>
        <v>c</v>
      </c>
      <c r="KF54" s="309" t="str" cm="1">
        <f t="array" aca="1" ref="KF54" ca="1">IF(OR(KE54="b",KE54="c"),"",INDEX($JR$23:$JW$23,,MATCH(KE54,$JR54:$JW54,0)))</f>
        <v/>
      </c>
      <c r="KG54" s="309" t="str" cm="1">
        <f t="array" aca="1" ref="KG54" ca="1">IF(OR(KF54="",KF54&gt;=$JW$23),"",INDEX(INDIRECT(ADDRESS(ROW($JR$23),KF54+1)):$JW$23,,MATCH(KE54,INDIRECT(ADDRESS(ROW(),KF54+1)):$JW54,0)))</f>
        <v/>
      </c>
      <c r="KH54" s="309" t="str">
        <f t="shared" ca="1" si="72"/>
        <v/>
      </c>
      <c r="KI54" s="309" t="str">
        <f t="shared" ca="1" si="183"/>
        <v>e</v>
      </c>
      <c r="KJ54" s="309" t="str">
        <f t="shared" ca="1" si="73"/>
        <v/>
      </c>
      <c r="KK54" s="309" t="str" cm="1">
        <f t="array" aca="1" ref="KK54" ca="1">IF(OR(KI54="d",KI54="e"),"",INDEX($JR$23:$JW$23,,MATCH(KI54,$JR54:$JW54,0)))</f>
        <v/>
      </c>
      <c r="KL54" s="309" t="str" cm="1">
        <f t="array" aca="1" ref="KL54" ca="1">IF(OR(KK54="",KK54&gt;=$JW$23),"",INDEX(INDIRECT(ADDRESS(ROW($JR$23),KK54+1)):$JW$23,,MATCH(KI54,INDIRECT(ADDRESS(ROW(),KK54+1)):$JW54,0)))</f>
        <v/>
      </c>
      <c r="KM54" s="309" t="str" cm="1">
        <f t="array" aca="1" ref="KM54" ca="1">IFERROR(IF(ISNUMBER(KB54),KB54,IF(ISNUMBER(KF54),KF54,IF(ISNUMBER(KJ54),KJ54,INDEX($JR$23:$JW$23,,MATCH(JX54,$JR54:$JW54,0))))),"x1")</f>
        <v>x1</v>
      </c>
      <c r="KN54" s="309" t="str" cm="1">
        <f t="array" aca="1" ref="KN54" ca="1">IFERROR(IF(ISNUMBER(KC54),KC54,IF(ISNUMBER(KG54),KG54,IF(ISNUMBER(KK54),KK54,INDEX($JR$23:$JW$23,,MATCH(JY54,$JR54:$JW54,0))))),IF(KM54="x1","x2","x1"))</f>
        <v>x2</v>
      </c>
      <c r="KO54" s="309" t="str" cm="1">
        <f t="array" aca="1" ref="KO54" ca="1">IFERROR(IF(ISNUMBER(KD54),KD54,IF(ISNUMBER(KH54),KH54,IF(ISNUMBER(KL54),KL54,INDEX($JR$23:$JW$23,,MATCH(JZ54,$JR54:$JW54,0))))),IF(KN54="x1","x2",IF(KN54="x2","x3","x1")))</f>
        <v>x3</v>
      </c>
      <c r="KP54" s="97" t="str" cm="1">
        <f t="array" aca="1" ref="KP54" ca="1">IF(OR(INDIRECT(KP$3)=$A$2,INDIRECT(KP$3)=$A$3),COLUMN(),"")</f>
        <v/>
      </c>
      <c r="KQ54" s="97" t="str" cm="1">
        <f t="array" aca="1" ref="KQ54" ca="1">IF(OR(INDIRECT(KQ$3)=$A$2,INDIRECT(KQ$3)=$A$3),COLUMN(),"")</f>
        <v/>
      </c>
      <c r="KR54" s="97" t="str" cm="1">
        <f t="array" aca="1" ref="KR54" ca="1">IF(OR(INDIRECT(KR$3)=$A$2,INDIRECT(KR$3)=$A$3),COLUMN(),"")</f>
        <v/>
      </c>
      <c r="KS54" s="97" t="str" cm="1">
        <f t="array" aca="1" ref="KS54" ca="1">IF(OR(INDIRECT(KS$3)=$A$2,INDIRECT(KS$3)=$A$3),COLUMN(),"")</f>
        <v/>
      </c>
      <c r="KT54" s="97" t="str" cm="1">
        <f t="array" aca="1" ref="KT54" ca="1">IF(OR(INDIRECT(KT$3)=$A$2,INDIRECT(KT$3)=$A$3),COLUMN(),"")</f>
        <v/>
      </c>
      <c r="KU54" s="97" t="str" cm="1">
        <f t="array" aca="1" ref="KU54" ca="1">IF(OR(INDIRECT(KU$3)=$A$2,INDIRECT(KU$3)=$A$3),COLUMN(),"")</f>
        <v/>
      </c>
      <c r="KV54" s="97" t="str" cm="1">
        <f t="array" aca="1" ref="KV54" ca="1">IF(AND(ISNUMBER(INDIRECT(KV$3)),INDIRECT(KV$3)=0),COLUMN(),"")</f>
        <v/>
      </c>
      <c r="KW54" s="97" t="str" cm="1">
        <f t="array" aca="1" ref="KW54" ca="1">IF(AND(ISNUMBER(INDIRECT(KW$3)),INDIRECT(KW$3)=0),COLUMN(),"")</f>
        <v/>
      </c>
      <c r="KX54" s="97" t="str" cm="1">
        <f t="array" aca="1" ref="KX54" ca="1">IF(AND(ISNUMBER(INDIRECT(KX$3)),INDIRECT(KX$3)=0),COLUMN(),"")</f>
        <v/>
      </c>
      <c r="KY54" s="97" t="str" cm="1">
        <f t="array" aca="1" ref="KY54" ca="1">IF(AND(ISNUMBER(INDIRECT(KY$3)),INDIRECT(KY$3)=0),COLUMN(),"")</f>
        <v/>
      </c>
      <c r="KZ54" s="97" t="str" cm="1">
        <f t="array" aca="1" ref="KZ54" ca="1">IF(AND(ISNUMBER(INDIRECT(KZ$3)),INDIRECT(KZ$3)=0),COLUMN(),"")</f>
        <v/>
      </c>
      <c r="LA54" s="97" t="str" cm="1">
        <f t="array" aca="1" ref="LA54" ca="1">IF(AND(ISNUMBER(INDIRECT(LA$3)),INDIRECT(LA$3)=0),COLUMN(),"")</f>
        <v/>
      </c>
      <c r="LB54" s="97" t="str">
        <f t="shared" ca="1" si="184"/>
        <v>x1</v>
      </c>
      <c r="LC54" s="97" t="str">
        <f t="shared" ca="1" si="185"/>
        <v>x2</v>
      </c>
      <c r="LD54" s="97" t="str">
        <f t="shared" ca="1" si="186"/>
        <v>x3</v>
      </c>
      <c r="LE54" s="97" t="str">
        <f ca="1">IFERROR(IF(ISNUMBER(LB54),LB54,SMALL($KV54:$LA54,VALUE(RIGHT(LB54,1)))),Stammdaten!$CA$17)</f>
        <v>Erstes Gerät nicht durchgeführt</v>
      </c>
      <c r="LF54" s="97" t="str">
        <f ca="1">IFERROR(IF(ISNUMBER(LC54),LC54,SMALL($KV54:$LA54,VALUE(RIGHT(LC54,1)))),Stammdaten!$CA$18)</f>
        <v>Zweites Gerät nicht durchgeführt</v>
      </c>
      <c r="LG54" s="97" t="str">
        <f ca="1">IFERROR(IF(ISNUMBER(LD54),LD54,SMALL($KV54:$LA54,VALUE(RIGHT(LD54,1)))),Stammdaten!$CA$19)</f>
        <v>Drittes Gerät nicht durchgeführt</v>
      </c>
      <c r="LH54" s="91" t="str" cm="1">
        <f t="array" aca="1" ref="LH54" ca="1">IFERROR(INDIRECT(ADDRESS(ROW($JR$5),LE54)),LE54)</f>
        <v>Erstes Gerät nicht durchgeführt</v>
      </c>
      <c r="LI54" s="97" t="str">
        <f t="shared" ca="1" si="187"/>
        <v/>
      </c>
      <c r="LJ54" s="97" t="str" cm="1">
        <f t="array" aca="1" ref="LJ54" ca="1">IFERROR(IF(INDIRECT(INDEX(INDIRECT(LJ$5),MATCH(LH54,INDIRECT(LJ$4),0)))&lt;&gt;"",INDEX(INDIRECT(LJ$5),MATCH(LH54,INDIRECT(LJ$4),0)),INDEX(INDIRECT(LJ$6),MATCH(LH54,INDIRECT(LJ$4),0))),"")</f>
        <v/>
      </c>
      <c r="LK54" s="97" t="str">
        <f t="shared" ca="1" si="188"/>
        <v/>
      </c>
      <c r="LL54" s="97" t="str" cm="1">
        <f t="array" aca="1" ref="LL54" ca="1">IFERROR(INDIRECT(LJ54),"")</f>
        <v/>
      </c>
      <c r="LM54" s="97" t="str">
        <f ca="1">IF(LL54="","",IF(AND(LI54=Stammdaten!$BX$20,LK54="0",LL54=1),SUBSTITUTE(TEXT(LL54,LK54)&amp;" "&amp;LEFT(LI54,LEN(LI54)-1),".",","),SUBSTITUTE(TEXT(LL54,LK54)&amp;" "&amp;LI54,".",",")))</f>
        <v/>
      </c>
      <c r="LN54" s="97" t="str">
        <f t="shared" ca="1" si="74"/>
        <v/>
      </c>
      <c r="LO54" s="97" t="str" cm="1">
        <f t="array" aca="1" ref="LO54" ca="1">IFERROR(LEFT(INDIRECT(LN54),1)&amp;"]","")</f>
        <v/>
      </c>
      <c r="LP54" s="97" t="str">
        <f t="shared" ca="1" si="75"/>
        <v/>
      </c>
      <c r="LQ54" s="97" t="str">
        <f ca="1">IFERROR(LEFT(LH54,FIND(Stammdaten!$CA$4,LH54,1)-2),IFERROR(LEFT(LH54,FIND(Stammdaten!$CC$3,LH54,1)-2),LH54))</f>
        <v>Erstes Gerät</v>
      </c>
      <c r="LR54" s="97" t="str">
        <f ca="1">IF(NOT(ISERROR(FIND(Stammdaten!$CA$4,LH54,1))),Stammdaten!$CA$4,IF(LS54&lt;&gt;Stammdaten!$CC$3,LP54,""))</f>
        <v>nicht durchgeführt</v>
      </c>
      <c r="LS54" s="91" t="str">
        <f ca="1">IF(LL54=$A$2,Stammdaten!$CC$3,LM54)</f>
        <v/>
      </c>
      <c r="LT54" s="91" t="str" cm="1">
        <f t="array" aca="1" ref="LT54" ca="1">IFERROR(INDIRECT(ADDRESS(ROW($JR$5),LF54)),LF54)</f>
        <v>Zweites Gerät nicht durchgeführt</v>
      </c>
      <c r="LU54" s="97" t="str">
        <f t="shared" ca="1" si="189"/>
        <v/>
      </c>
      <c r="LV54" s="97" t="str" cm="1">
        <f t="array" aca="1" ref="LV54" ca="1">IFERROR(IF(INDIRECT(INDEX(INDIRECT(LV$5),MATCH(LT54,INDIRECT(LV$4),0)))&lt;&gt;"",INDEX(INDIRECT(LV$5),MATCH(LT54,INDIRECT(LV$4),0)),INDEX(INDIRECT(LV$6),MATCH(LT54,INDIRECT(LV$4),0))),"")</f>
        <v/>
      </c>
      <c r="LW54" s="97" t="str">
        <f t="shared" ca="1" si="190"/>
        <v/>
      </c>
      <c r="LX54" s="97" t="str" cm="1">
        <f t="array" aca="1" ref="LX54" ca="1">IFERROR(INDIRECT(LV54),"")</f>
        <v/>
      </c>
      <c r="LY54" s="97" t="str">
        <f ca="1">IF(LX54="","",IF(AND(LU54=Stammdaten!$BX$20,LW54="0",LX54=1),SUBSTITUTE(TEXT(LX54,LW54)&amp;" "&amp;LEFT(LU54,LEN(LU54)-1),".",","),SUBSTITUTE(TEXT(LX54,LW54)&amp;" "&amp;LU54,".",",")))</f>
        <v/>
      </c>
      <c r="LZ54" s="97" t="str">
        <f t="shared" ca="1" si="76"/>
        <v/>
      </c>
      <c r="MA54" s="97" t="str" cm="1">
        <f t="array" aca="1" ref="MA54" ca="1">IFERROR(LEFT(INDIRECT(LZ54),1)&amp;"]","")</f>
        <v/>
      </c>
      <c r="MB54" s="97" t="str">
        <f t="shared" ca="1" si="77"/>
        <v/>
      </c>
      <c r="MC54" s="97" t="str">
        <f ca="1">IFERROR(LEFT(LT54,FIND(Stammdaten!$CA$4,LT54,1)-2),IFERROR(LEFT(LT54,FIND(Stammdaten!$CC$3,LT54,1)-2),LT54))</f>
        <v>Zweites Gerät</v>
      </c>
      <c r="MD54" s="97" t="str">
        <f ca="1">IF(NOT(ISERROR(FIND(Stammdaten!$CA$4,LT54,1))),Stammdaten!$CA$4,IF(ME54&lt;&gt;Stammdaten!$CC$3,MB54,""))</f>
        <v>nicht durchgeführt</v>
      </c>
      <c r="ME54" s="91" t="str">
        <f ca="1">IF(LX54=$A$2,Stammdaten!$CC$3,LY54)</f>
        <v/>
      </c>
      <c r="MF54" s="91" t="str" cm="1">
        <f t="array" aca="1" ref="MF54" ca="1">IFERROR(INDIRECT(ADDRESS(ROW($JR$5),LG54)),LG54)</f>
        <v>Drittes Gerät nicht durchgeführt</v>
      </c>
      <c r="MG54" s="97" t="str">
        <f t="shared" ca="1" si="191"/>
        <v/>
      </c>
      <c r="MH54" s="97" t="str" cm="1">
        <f t="array" aca="1" ref="MH54" ca="1">IFERROR(IF(INDIRECT(INDEX(INDIRECT(MH$5),MATCH(MF54,INDIRECT(MH$4),0)))&lt;&gt;"",INDEX(INDIRECT(MH$5),MATCH(MF54,INDIRECT(MH$4),0)),INDEX(INDIRECT(MH$6),MATCH(MF54,INDIRECT(MH$4),0))),"")</f>
        <v/>
      </c>
      <c r="MI54" s="97" t="str">
        <f t="shared" ca="1" si="192"/>
        <v/>
      </c>
      <c r="MJ54" s="97" t="str" cm="1">
        <f t="array" aca="1" ref="MJ54" ca="1">IFERROR(INDIRECT(MH54),"")</f>
        <v/>
      </c>
      <c r="MK54" s="97" t="str">
        <f ca="1">IF(MJ54="","",IF(AND(MG54=Stammdaten!$BX$20,MI54="0",MJ54=1),SUBSTITUTE(TEXT(MJ54,MI54)&amp;" "&amp;LEFT(MG54,LEN(MG54)-1),".",","),SUBSTITUTE(TEXT(MJ54,MI54)&amp;" "&amp;MG54,".",",")))</f>
        <v/>
      </c>
      <c r="ML54" s="97" t="str">
        <f t="shared" ca="1" si="78"/>
        <v/>
      </c>
      <c r="MM54" s="97" t="str" cm="1">
        <f t="array" aca="1" ref="MM54" ca="1">IFERROR(LEFT(INDIRECT(ML54),1)&amp;"]","")</f>
        <v/>
      </c>
      <c r="MN54" s="97" t="str">
        <f t="shared" ca="1" si="79"/>
        <v/>
      </c>
      <c r="MO54" s="97" t="str">
        <f ca="1">IFERROR(LEFT(MF54,FIND(Stammdaten!$CA$4,MF54,1)-2),IFERROR(LEFT(MF54,FIND(Stammdaten!$CC$3,MF54,1)-2),MF54))</f>
        <v>Drittes Gerät</v>
      </c>
      <c r="MP54" s="97" t="str">
        <f ca="1">IF(NOT(ISERROR(FIND(Stammdaten!$CA$4,MF54,1))),Stammdaten!$CA$4,IF(MQ54&lt;&gt;Stammdaten!$CC$3,MN54,""))</f>
        <v>nicht durchgeführt</v>
      </c>
      <c r="MQ54" s="91" t="str">
        <f ca="1">IF(MJ54=$A$2,Stammdaten!$CC$3,MK54)</f>
        <v/>
      </c>
      <c r="MR54" s="97">
        <f t="shared" ca="1" si="80"/>
        <v>0</v>
      </c>
      <c r="MS54" s="108">
        <f t="shared" ca="1" si="193"/>
        <v>0</v>
      </c>
      <c r="MT54" s="108">
        <f t="shared" ca="1" si="194"/>
        <v>0</v>
      </c>
      <c r="MU54" s="108">
        <f t="shared" ca="1" si="195"/>
        <v>0</v>
      </c>
      <c r="MV54" s="108" t="str">
        <f t="shared" ca="1" si="196"/>
        <v/>
      </c>
      <c r="MW54" s="97" t="str">
        <f ca="1">IF(MV54="",Stammdaten!$BZ$1,IF(AND(MS54+MT54=0,MU54&gt;=MV$25),$A$3,MR54))</f>
        <v>Zu wenige Werte</v>
      </c>
      <c r="MX54" s="97"/>
      <c r="MY54" s="91" t="str">
        <f t="shared" ca="1" si="81"/>
        <v/>
      </c>
      <c r="MZ54" s="96" t="str">
        <f>LEFT(Geschlecht[[#This Row],[Geschlecht (Skala)]],1)&amp;$MZ$27</f>
        <v>2</v>
      </c>
      <c r="NA54" s="96" t="str">
        <f t="shared" ca="1" si="82"/>
        <v>Geräteturnen_2[Resultat]</v>
      </c>
      <c r="NB54" s="97" t="str" cm="1">
        <f t="array" aca="1" ref="NB54" ca="1">IF(OR($MW54="",$MW54=Stammdaten!$BZ$1),"",IF($MW54=0,0,IF(OR($MW54=$A$2,$MW54=$A$3),$A$3,IFERROR(INDEX(INDIRECT(NA54),MATCH(INDIRECT(MY$3),INDIRECT(NA54),NA$25)),IFERROR(IF(NA$25=-1,MAX(INDIRECT(NA54)),IF(NA$25=1,MIN(INDIRECT(NA54)))),"")))))</f>
        <v/>
      </c>
      <c r="ND54" s="91" t="str">
        <f t="shared" ca="1" si="83"/>
        <v>Geräteturnen_2[Note]</v>
      </c>
      <c r="NE54" s="97" t="str" cm="1">
        <f t="array" aca="1" ref="NE54" ca="1">IFERROR(INDEX(INDIRECT(ND54),MATCH(INDIRECT(MY$5),INDIRECT(NA54),0)),IF(INDIRECT(MY$5)=0,1,""))</f>
        <v/>
      </c>
      <c r="NF54" s="97"/>
      <c r="NG54" s="307"/>
      <c r="NH54" s="96" t="str">
        <f>IFERROR(IFERROR(SUBSTITUTE(ParkourResultat[[#This Row],[Eingabe]],".",",")*1,SUBSTITUTE(ParkourResultat[[#This Row],[Eingabe]],",",".")*1),"")</f>
        <v/>
      </c>
      <c r="NI54" s="96" t="e">
        <f>INT(ParkourResultat[[#This Row],[Resultat]])=ParkourResultat[[#This Row],[Resultat]]</f>
        <v>#VALUE!</v>
      </c>
      <c r="NJ54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4" s="96"/>
      <c r="NL54" s="91" t="str" cm="1">
        <f t="array" aca="1" ref="NL54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4" s="96" t="str">
        <f ca="1">LEFT(Geschlecht[[#This Row],[Geschlecht (Skala)]],1)&amp;NR$4</f>
        <v>2</v>
      </c>
      <c r="NN54" s="96" t="str">
        <f t="shared" ca="1" si="84"/>
        <v>Parkour_2[Resultat]</v>
      </c>
      <c r="NO54" s="97" t="str" cm="1">
        <f t="array" aca="1" ref="NO54" ca="1">IF(INDIRECT(NL$1)="","",IF(INDIRECT(NL$2)=0,0,IF(OR(INDIRECT(NL$1)=$A$2,INDIRECT(NL$1)=$A$3),$A$3,IFERROR(INDEX(INDIRECT(NN54),MATCH(INDIRECT(NL$3),INDIRECT(NN54),NN$25)),IFERROR(IF(NN$25=-1,MAX(INDIRECT(NN54)),IF(NN$25=1,MIN(INDIRECT(NN54)))),"")))))</f>
        <v/>
      </c>
      <c r="NQ54" s="91" t="str">
        <f t="shared" ca="1" si="85"/>
        <v>Parkour_2[Note]</v>
      </c>
      <c r="NR54" s="97" t="str" cm="1">
        <f t="array" aca="1" ref="NR54" ca="1">IFERROR(INDEX(INDIRECT(NQ54),MATCH(INDIRECT(NL$5),INDIRECT(NN54),0)),IF(INDIRECT(NL$5)=0,1,""))</f>
        <v/>
      </c>
      <c r="NS54" s="97"/>
      <c r="NT54" s="97" t="str" cm="1">
        <f t="array" aca="1" ref="NT54" ca="1">INDIRECT(NT$5)</f>
        <v/>
      </c>
      <c r="NU54" s="97" t="str" cm="1">
        <f t="array" aca="1" ref="NU54" ca="1">INDIRECT(NU$5)</f>
        <v/>
      </c>
      <c r="NV54" s="97" t="str" cm="1">
        <f t="array" aca="1" ref="NV54" ca="1">INDIRECT(NV$5)</f>
        <v/>
      </c>
      <c r="NW54" s="97" t="str" cm="1">
        <f t="array" aca="1" ref="NW54" ca="1">INDIRECT(NW$5)</f>
        <v/>
      </c>
      <c r="NX54" s="97" t="str">
        <f t="shared" ca="1" si="86"/>
        <v>Parkour nicht durchgeführt</v>
      </c>
      <c r="NY54" s="97" t="str">
        <f t="shared" ca="1" si="197"/>
        <v/>
      </c>
      <c r="NZ54" s="97" t="str" cm="1">
        <f t="array" aca="1" ref="NZ54" ca="1">IFERROR(IF(INDIRECT(INDEX(INDIRECT(NZ$5),MATCH(NX54,INDIRECT(NZ$4),0)))&lt;&gt;"",INDEX(INDIRECT(NZ$5),MATCH(NX54,INDIRECT(NZ$4),0)),INDEX(INDIRECT(NZ$6),MATCH(NX54,INDIRECT(NZ$4),0))),"")</f>
        <v/>
      </c>
      <c r="OA54" s="97" t="str">
        <f t="shared" ca="1" si="198"/>
        <v/>
      </c>
      <c r="OB54" s="97" t="str" cm="1">
        <f t="array" aca="1" ref="OB54" ca="1">IFERROR(INDIRECT(NZ54),IF(NOT(ISERROR(FIND(Stammdaten!$CC$3,NX54,1))),$A$2,""))</f>
        <v/>
      </c>
      <c r="OC54" s="97" t="str">
        <f ca="1">IF(OB54="","",IF(AND(NY54=Stammdaten!$BX$20,OA54="0",OB54=1),SUBSTITUTE(TEXT(OB54,OA54)&amp;" "&amp;LEFT(NY54,LEN(NY54)-1),".",","),SUBSTITUTE(TEXT(OB54,OA54)&amp;" "&amp;NY54,".",",")))</f>
        <v/>
      </c>
      <c r="OD54" s="97" t="str">
        <f t="shared" ca="1" si="87"/>
        <v/>
      </c>
      <c r="OE54" s="97" t="str" cm="1">
        <f t="array" aca="1" ref="OE54" ca="1">IFERROR(LEFT(INDIRECT(OD54),1)&amp;"]","")</f>
        <v/>
      </c>
      <c r="OF54" s="97" t="str">
        <f t="shared" ca="1" si="88"/>
        <v/>
      </c>
      <c r="OG54" s="97" t="str">
        <f ca="1">IFERROR(LEFT(NX54,FIND(Stammdaten!$CA$4,NX54,1)-2),IFERROR(LEFT(NX54,FIND(Stammdaten!$CC$3,NX54,1)-2),NX54))</f>
        <v>Parkour</v>
      </c>
      <c r="OH54" s="97" t="str">
        <f ca="1">IF(NOT(ISERROR(FIND(Stammdaten!$CA$4,NX54,1))),Stammdaten!$CA$4,IF(OI54&lt;&gt;Stammdaten!$CC$3,OF54,""))</f>
        <v>nicht durchgeführt</v>
      </c>
      <c r="OI54" s="91" t="str">
        <f ca="1">IF(OB54=$A$2,Stammdaten!$CC$3,OC54)</f>
        <v/>
      </c>
      <c r="OJ54" s="97" t="str">
        <f t="shared" ca="1" si="89"/>
        <v/>
      </c>
      <c r="OK54" s="97" t="str">
        <f t="shared" ca="1" si="90"/>
        <v/>
      </c>
      <c r="OL54" s="97">
        <f t="shared" ca="1" si="199"/>
        <v>0</v>
      </c>
      <c r="OM54" s="108">
        <f t="shared" ca="1" si="91"/>
        <v>0</v>
      </c>
      <c r="ON54" s="108">
        <f t="shared" ca="1" si="92"/>
        <v>0</v>
      </c>
      <c r="OO54" s="108" t="str">
        <f t="shared" ca="1" si="200"/>
        <v/>
      </c>
      <c r="OP54" s="97" t="str">
        <f ca="1">IF(OO54="",Stammdaten!$BZ$1,IF(AND(OM54=0,ON54&gt;=OO$25),$A$3,ROUND(SUM(OL54/OO54)/OP$25,0)*OP$25))</f>
        <v>Zu wenige Werte</v>
      </c>
      <c r="OQ54" s="108">
        <f t="shared" ca="1" si="201"/>
        <v>6</v>
      </c>
      <c r="OR54" s="97" t="str">
        <f t="shared" ca="1" si="202"/>
        <v/>
      </c>
      <c r="OS54" s="97" t="str">
        <f t="shared" ca="1" si="203"/>
        <v/>
      </c>
      <c r="OT54" s="97" t="str">
        <f t="shared" ca="1" si="204"/>
        <v/>
      </c>
      <c r="OU54" s="97" t="str">
        <f t="shared" ca="1" si="205"/>
        <v>g</v>
      </c>
      <c r="OV54" s="97" t="str">
        <f t="shared" ca="1" si="206"/>
        <v/>
      </c>
      <c r="OW54" s="97">
        <f t="shared" ca="1" si="207"/>
        <v>1</v>
      </c>
      <c r="OX54" s="97" t="str">
        <f ca="1">IF(OR(Geschlecht[[#This Row],[Geschlecht (Skala)]]="",NOT(ISNUMBER(OO54))),"",OW54)</f>
        <v/>
      </c>
      <c r="OY54" s="97" t="str">
        <f t="shared" ca="1" si="208"/>
        <v/>
      </c>
      <c r="OZ54" s="97"/>
      <c r="PA54" s="308" t="str">
        <f t="shared" ca="1" si="209"/>
        <v>Zu wenige Werte</v>
      </c>
      <c r="PB54" s="97"/>
      <c r="PC54" s="307"/>
      <c r="PD54" s="96" t="str">
        <f>IFERROR(IFERROR(SUBSTITUTE(TanzenResultat[[#This Row],[Eingabe]],".",",")*1,SUBSTITUTE(TanzenResultat[[#This Row],[Eingabe]],",",".")*1),"")</f>
        <v/>
      </c>
      <c r="PE54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4" s="96"/>
      <c r="PG54" s="91" t="str" cm="1">
        <f t="array" aca="1" ref="PG54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4" s="96" t="str">
        <f ca="1">LEFT(Geschlecht[[#This Row],[Geschlecht (Skala)]],1)&amp;PM$4</f>
        <v>2</v>
      </c>
      <c r="PI54" s="96" t="str">
        <f t="shared" ca="1" si="93"/>
        <v>Tanzen_2[Resultat]</v>
      </c>
      <c r="PJ54" s="97" t="str" cm="1">
        <f t="array" aca="1" ref="PJ54" ca="1">IF(INDIRECT(PG$1)="","",IF(INDIRECT(PG$2)=0,0,IF(OR(INDIRECT(PG$1)=$A$2,INDIRECT(PG$1)=$A$3),$A$3,IFERROR(INDEX(INDIRECT(PI54),MATCH(INDIRECT(PG$3),INDIRECT(PI54),PI$25)),IFERROR(IF(PI$25=-1,MAX(INDIRECT(PI54)),IF(PI$25=1,MIN(INDIRECT(PI54)))),"")))))</f>
        <v/>
      </c>
      <c r="PL54" s="91" t="str">
        <f t="shared" ca="1" si="94"/>
        <v>Tanzen_2[Note]</v>
      </c>
      <c r="PM54" s="97" t="str" cm="1">
        <f t="array" aca="1" ref="PM54" ca="1">IFERROR(INDEX(INDIRECT(PL54),MATCH(INDIRECT(PG$5),INDIRECT(PI54),0)),IF(INDIRECT(PG$5)=0,1,""))</f>
        <v/>
      </c>
      <c r="PN54" s="97"/>
      <c r="PO54" s="307"/>
      <c r="PP54" s="96" t="str">
        <f>IFERROR(IFERROR(SUBSTITUTE(RopeSkippingResultat[[#This Row],[Eingabe]],".",",")*1,SUBSTITUTE(RopeSkippingResultat[[#This Row],[Eingabe]],",",".")*1),"")</f>
        <v/>
      </c>
      <c r="PQ54" s="96" t="e">
        <f>INT(RopeSkippingResultat[[#This Row],[Resultat]])=RopeSkippingResultat[[#This Row],[Resultat]]</f>
        <v>#VALUE!</v>
      </c>
      <c r="PR54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4" s="96"/>
      <c r="PT54" s="91" t="str" cm="1">
        <f t="array" aca="1" ref="PT54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4" s="96" t="str">
        <f ca="1">LEFT(Geschlecht[[#This Row],[Geschlecht (Skala)]],1)&amp;PZ$4</f>
        <v>2</v>
      </c>
      <c r="PV54" s="96" t="str">
        <f t="shared" ca="1" si="95"/>
        <v>RopeSkipping_2[Resultat]</v>
      </c>
      <c r="PW54" s="97" t="str" cm="1">
        <f t="array" aca="1" ref="PW54" ca="1">IF(INDIRECT(PT$1)="","",IF(INDIRECT(PT$2)=0,0,IF(OR(INDIRECT(PT$1)=$A$2,INDIRECT(PT$1)=$A$3),$A$3,IFERROR(INDEX(INDIRECT(PV54),MATCH(INDIRECT(PT$3),INDIRECT(PV54),PV$25)),IFERROR(IF(PV$25=-1,MAX(INDIRECT(PV54)),IF(PV$25=1,MIN(INDIRECT(PV54)))),"")))))</f>
        <v/>
      </c>
      <c r="PY54" s="91" t="str">
        <f t="shared" ca="1" si="96"/>
        <v>RopeSkipping_2[Note]</v>
      </c>
      <c r="PZ54" s="97" t="str" cm="1">
        <f t="array" aca="1" ref="PZ54" ca="1">IFERROR(INDEX(INDIRECT(PY54),MATCH(INDIRECT(PT$5),INDIRECT(PV54),0)),IF(INDIRECT(PT$5)=0,1,""))</f>
        <v/>
      </c>
      <c r="QA54" s="97"/>
      <c r="QB54" s="307"/>
      <c r="QC54" s="96" t="str">
        <f>IFERROR(IFERROR(SUBSTITUTE(AerobicResultat[[#This Row],[Eingabe]],".",",")*1,SUBSTITUTE(AerobicResultat[[#This Row],[Eingabe]],",",".")*1),"")</f>
        <v/>
      </c>
      <c r="QD54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4" s="96"/>
      <c r="QF54" s="91" t="str" cm="1">
        <f t="array" aca="1" ref="QF54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4" s="96" t="str">
        <f ca="1">LEFT(Geschlecht[[#This Row],[Geschlecht (Skala)]],1)&amp;QL$4</f>
        <v>2</v>
      </c>
      <c r="QH54" s="96" t="str">
        <f t="shared" ca="1" si="97"/>
        <v>Aerobic_2[Resultat]</v>
      </c>
      <c r="QI54" s="97" t="str" cm="1">
        <f t="array" aca="1" ref="QI54" ca="1">IF(INDIRECT(QF$1)="","",IF(INDIRECT(QF$2)=0,0,IF(OR(INDIRECT(QF$1)=$A$2,INDIRECT(QF$1)=$A$3),$A$3,IFERROR(INDEX(INDIRECT(QH54),MATCH(INDIRECT(QF$3),INDIRECT(QH54),QH$25)),IFERROR(IF(QH$25=-1,MAX(INDIRECT(QH54)),IF(QH$25=1,MIN(INDIRECT(QH54)))),"")))))</f>
        <v/>
      </c>
      <c r="QK54" s="91" t="str">
        <f t="shared" ca="1" si="98"/>
        <v>Aerobic_2[Note]</v>
      </c>
      <c r="QL54" s="97" t="str" cm="1">
        <f t="array" aca="1" ref="QL54" ca="1">IFERROR(INDEX(INDIRECT(QK54),MATCH(INDIRECT(QF$5),INDIRECT(QH54),0)),IF(INDIRECT(QF$5)=0,1,""))</f>
        <v/>
      </c>
      <c r="QM54" s="97"/>
      <c r="QN54" s="97" t="str" cm="1">
        <f t="array" aca="1" ref="QN54" ca="1">INDIRECT(QN$5)</f>
        <v/>
      </c>
      <c r="QO54" s="97" t="str" cm="1">
        <f t="array" aca="1" ref="QO54" ca="1">INDIRECT(QO$5)</f>
        <v/>
      </c>
      <c r="QP54" s="97" t="str" cm="1">
        <f t="array" aca="1" ref="QP54" ca="1">INDIRECT(QP$5)</f>
        <v/>
      </c>
      <c r="QQ54" s="97" t="str" cm="1">
        <f t="array" aca="1" ref="QQ54" ca="1">INDIRECT(QQ$5)</f>
        <v/>
      </c>
      <c r="QR54" s="97" t="str" cm="1">
        <f t="array" aca="1" ref="QR54" ca="1">INDIRECT(QR$5)</f>
        <v/>
      </c>
      <c r="QS54" s="97" t="str" cm="1">
        <f t="array" aca="1" ref="QS54" ca="1">INDIRECT(QS$5)</f>
        <v/>
      </c>
      <c r="QT54" s="97" t="str">
        <f t="shared" ca="1" si="99"/>
        <v>Darstellen und Tanzen nicht durchgeführt</v>
      </c>
      <c r="QU54" s="108">
        <f t="shared" ca="1" si="100"/>
        <v>0</v>
      </c>
      <c r="QV54" s="108">
        <f t="shared" ca="1" si="101"/>
        <v>0</v>
      </c>
      <c r="QW54" s="108" t="str">
        <f t="shared" ca="1" si="210"/>
        <v/>
      </c>
      <c r="QX54" s="97" t="str">
        <f t="shared" ca="1" si="211"/>
        <v>Darstellen und Tanzen nicht durchgeführt</v>
      </c>
      <c r="QY54" s="97" t="str">
        <f t="shared" ca="1" si="212"/>
        <v/>
      </c>
      <c r="QZ54" s="97" t="str" cm="1">
        <f t="array" aca="1" ref="QZ54" ca="1">IFERROR(IF(INDIRECT(INDEX(INDIRECT(QZ$5),MATCH(QX54,INDIRECT(QZ$4),0)))&lt;&gt;"",INDEX(INDIRECT(QZ$5),MATCH(QX54,INDIRECT(QZ$4),0)),INDEX(INDIRECT(QZ$6),MATCH(QX54,INDIRECT(QZ$4),0))),"")</f>
        <v/>
      </c>
      <c r="RA54" s="97" t="str">
        <f t="shared" ca="1" si="213"/>
        <v/>
      </c>
      <c r="RB54" s="97" t="str" cm="1">
        <f t="array" aca="1" ref="RB54" ca="1">IFERROR(INDIRECT(QZ54),IF(NOT(ISERROR(FIND(Stammdaten!$CC$3,QX54,1))),$A$2,""))</f>
        <v/>
      </c>
      <c r="RC54" s="97" t="str">
        <f ca="1">IF(RB54="","",IF(AND(QY54=Stammdaten!$BX$20,RA54="0",RB54=1),SUBSTITUTE(TEXT(RB54,RA54)&amp;" "&amp;LEFT(QY54,LEN(QY54)-1),".",","),SUBSTITUTE(TEXT(RB54,RA54)&amp;" "&amp;QY54,".",",")))</f>
        <v/>
      </c>
      <c r="RD54" s="97" t="str">
        <f t="shared" ca="1" si="102"/>
        <v/>
      </c>
      <c r="RE54" s="97" t="str" cm="1">
        <f t="array" aca="1" ref="RE54" ca="1">IFERROR(LEFT(INDIRECT(RD54),1)&amp;"]","")</f>
        <v/>
      </c>
      <c r="RF54" s="97" t="str">
        <f t="shared" ca="1" si="103"/>
        <v/>
      </c>
      <c r="RG54" s="97" t="str">
        <f ca="1">IFERROR(LEFT(QX54,FIND(Stammdaten!$CA$4,QX54,1)-2),IFERROR(LEFT(QX54,FIND(Stammdaten!$CC$3,QX54,1)-2),QX54))</f>
        <v>Darstellen und Tanzen</v>
      </c>
      <c r="RH54" s="97" t="str">
        <f ca="1">IF(NOT(ISERROR(FIND(Stammdaten!$CA$4,QX54,1))),Stammdaten!$CA$4,IF(RI54&lt;&gt;Stammdaten!$CC$3,RF54,""))</f>
        <v>nicht durchgeführt</v>
      </c>
      <c r="RI54" s="91" t="str">
        <f ca="1">IF(RB54=$A$2,Stammdaten!$CC$3,RC54)</f>
        <v/>
      </c>
      <c r="RJ54" s="108">
        <f t="shared" ca="1" si="214"/>
        <v>6</v>
      </c>
      <c r="RK54" s="97"/>
      <c r="RL54" s="308" t="str">
        <f ca="1">IF(QT54=$QT$4,Stammdaten!$BZ$1,IF(QT54=$QT$5,$A$3,QT54))</f>
        <v>Zu wenige Werte</v>
      </c>
      <c r="RM54" s="97"/>
      <c r="RN54" s="307"/>
      <c r="RO54" s="96" t="str">
        <f>IFERROR(IFERROR(SUBSTITUTE(BasketballResultat[[#This Row],[Eingabe]],".",",")*1,SUBSTITUTE(BasketballResultat[[#This Row],[Eingabe]],",",".")*1),"")</f>
        <v/>
      </c>
      <c r="RP54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4" s="96"/>
      <c r="RR54" s="91" t="str" cm="1">
        <f t="array" aca="1" ref="RR54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4" s="96" t="str">
        <f ca="1">LEFT(Geschlecht[[#This Row],[Geschlecht (Skala)]],1)&amp;RX$4</f>
        <v>2</v>
      </c>
      <c r="RT54" s="96" t="str">
        <f t="shared" ca="1" si="104"/>
        <v>Basketball_2[Resultat]</v>
      </c>
      <c r="RU54" s="97" t="str" cm="1">
        <f t="array" aca="1" ref="RU54" ca="1">IF(INDIRECT(RR$1)="","",IF(INDIRECT(RR$2)=0,0,IF(OR(INDIRECT(RR$1)=$A$2,INDIRECT(RR$1)=$A$3),$A$3,IFERROR(INDEX(INDIRECT(RT54),MATCH(INDIRECT(RR$3),INDIRECT(RT54),RT$25)),IFERROR(IF(RT$25=-1,MAX(INDIRECT(RT54)),IF(RT$25=1,MIN(INDIRECT(RT54)))),"")))))</f>
        <v/>
      </c>
      <c r="RW54" s="91" t="str">
        <f t="shared" ca="1" si="105"/>
        <v>Basketball_2[Note]</v>
      </c>
      <c r="RX54" s="97" t="str" cm="1">
        <f t="array" aca="1" ref="RX54" ca="1">IFERROR(INDEX(INDIRECT(RW54),MATCH(INDIRECT(RR$5),INDIRECT(RT54),0)),IF(INDIRECT(RR$5)=0,1,""))</f>
        <v/>
      </c>
      <c r="RY54" s="97"/>
      <c r="RZ54" s="307"/>
      <c r="SA54" s="96" t="str">
        <f>IFERROR(IFERROR(SUBSTITUTE(FussballResultat[[#This Row],[Eingabe]],".",",")*1,SUBSTITUTE(FussballResultat[[#This Row],[Eingabe]],",",".")*1),"")</f>
        <v/>
      </c>
      <c r="SB54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4" s="96"/>
      <c r="SD54" s="316" t="str" cm="1">
        <f t="array" aca="1" ref="SD54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4" s="96" t="str">
        <f ca="1">LEFT(Geschlecht[[#This Row],[Geschlecht (Skala)]],1)&amp;SJ$4</f>
        <v>2</v>
      </c>
      <c r="SF54" s="96" t="str">
        <f t="shared" ca="1" si="106"/>
        <v>Fussball_2[Resultat]</v>
      </c>
      <c r="SG54" s="97" t="str" cm="1">
        <f t="array" aca="1" ref="SG54" ca="1">IF(INDIRECT(SD$1)="","",IF(INDIRECT(SD$2)=0,0,IF(OR(INDIRECT(SD$1)=$A$2,INDIRECT(SD$1)=$A$3),$A$3,IFERROR(INDEX(INDIRECT(SF54),MATCH(INDIRECT(SD$3),INDIRECT(SF54),SF$25)),IFERROR(IF(SF$25=-1,MAX(INDIRECT(SF54)),IF(SF$25=1,MIN(INDIRECT(SF54)))),"")))))</f>
        <v/>
      </c>
      <c r="SI54" s="91" t="str">
        <f t="shared" ca="1" si="107"/>
        <v>Fussball_2[Note]</v>
      </c>
      <c r="SJ54" s="97" t="str" cm="1">
        <f t="array" aca="1" ref="SJ54" ca="1">IFERROR(INDEX(INDIRECT(SI54),MATCH(INDIRECT(SD$5),INDIRECT(SF54),0)),IF(INDIRECT(SD$5)=0,1,""))</f>
        <v/>
      </c>
      <c r="SK54" s="97"/>
      <c r="SL54" s="307"/>
      <c r="SM54" s="96" t="str">
        <f>IFERROR(IFERROR(SUBSTITUTE(HandballResultat[[#This Row],[Eingabe]],".",",")*1,SUBSTITUTE(HandballResultat[[#This Row],[Eingabe]],",",".")*1),"")</f>
        <v/>
      </c>
      <c r="SN54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4" s="96"/>
      <c r="SP54" s="91" t="str" cm="1">
        <f t="array" aca="1" ref="SP54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4" s="96" t="str">
        <f ca="1">LEFT(Geschlecht[[#This Row],[Geschlecht (Skala)]],1)&amp;SV$4</f>
        <v>2</v>
      </c>
      <c r="SR54" s="96" t="str">
        <f t="shared" ca="1" si="108"/>
        <v>Handball_2[Resultat]</v>
      </c>
      <c r="SS54" s="97" t="str" cm="1">
        <f t="array" aca="1" ref="SS54" ca="1">IF(INDIRECT(SP$1)="","",IF(INDIRECT(SP$2)=0,0,IF(OR(INDIRECT(SP$1)=$A$2,INDIRECT(SP$1)=$A$3),$A$3,IFERROR(INDEX(INDIRECT(SR54),MATCH(INDIRECT(SP$3),INDIRECT(SR54),SR$25)),IFERROR(IF(SR$25=-1,MAX(INDIRECT(SR54)),IF(SR$25=1,MIN(INDIRECT(SR54)))),"")))))</f>
        <v/>
      </c>
      <c r="SU54" s="91" t="str">
        <f t="shared" ca="1" si="109"/>
        <v>Handball_2[Note]</v>
      </c>
      <c r="SV54" s="97" t="str" cm="1">
        <f t="array" aca="1" ref="SV54" ca="1">IFERROR(INDEX(INDIRECT(SU54),MATCH(INDIRECT(SP$5),INDIRECT(SR54),0)),IF(INDIRECT(SP$5)=0,1,""))</f>
        <v/>
      </c>
      <c r="SW54" s="97"/>
      <c r="SX54" s="307"/>
      <c r="SY54" s="96" t="str">
        <f>IFERROR(IFERROR(SUBSTITUTE(UnihockeyResultat[[#This Row],[Eingabe]],".",",")*1,SUBSTITUTE(UnihockeyResultat[[#This Row],[Eingabe]],",",".")*1),"")</f>
        <v/>
      </c>
      <c r="SZ54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4" s="96"/>
      <c r="TB54" s="91" t="str" cm="1">
        <f t="array" aca="1" ref="TB54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4" s="96" t="str">
        <f ca="1">LEFT(Geschlecht[[#This Row],[Geschlecht (Skala)]],1)&amp;TH$4</f>
        <v>2</v>
      </c>
      <c r="TD54" s="96" t="str">
        <f t="shared" ca="1" si="110"/>
        <v>Unihockey_2[Resultat]</v>
      </c>
      <c r="TE54" s="97" t="str" cm="1">
        <f t="array" aca="1" ref="TE54" ca="1">IF(INDIRECT(TB$1)="","",IF(INDIRECT(TB$2)=0,0,IF(OR(INDIRECT(TB$1)=$A$2,INDIRECT(TB$1)=$A$3),$A$3,IFERROR(INDEX(INDIRECT(TD54),MATCH(INDIRECT(TB$3),INDIRECT(TD54),TD$25)),IFERROR(IF(TD$25=-1,MAX(INDIRECT(TD54)),IF(TD$25=1,MIN(INDIRECT(TD54)))),"")))))</f>
        <v/>
      </c>
      <c r="TG54" s="91" t="str">
        <f t="shared" ca="1" si="111"/>
        <v>Unihockey_2[Note]</v>
      </c>
      <c r="TH54" s="97" t="str" cm="1">
        <f t="array" aca="1" ref="TH54" ca="1">IFERROR(INDEX(INDIRECT(TG54),MATCH(INDIRECT(TB$5),INDIRECT(TD54),0)),IF(INDIRECT(TB$5)=0,1,""))</f>
        <v/>
      </c>
      <c r="TI54" s="97"/>
      <c r="TJ54" s="307"/>
      <c r="TK54" s="96" t="str">
        <f>IFERROR(IFERROR(SUBSTITUTE(VolleyballResultat[[#This Row],[Eingabe]],".",",")*1,SUBSTITUTE(VolleyballResultat[[#This Row],[Eingabe]],",",".")*1),"")</f>
        <v/>
      </c>
      <c r="TL54" s="96" t="e">
        <f>INT(VolleyballResultat[[#This Row],[Resultat]])=VolleyballResultat[[#This Row],[Resultat]]</f>
        <v>#VALUE!</v>
      </c>
      <c r="TM54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4" s="96"/>
      <c r="TO54" s="91" t="str" cm="1">
        <f t="array" aca="1" ref="TO54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4" s="96" t="str">
        <f ca="1">LEFT(Geschlecht[[#This Row],[Geschlecht (Skala)]],1)&amp;TU$4</f>
        <v>2</v>
      </c>
      <c r="TQ54" s="96" t="str">
        <f t="shared" ca="1" si="112"/>
        <v>Volleyball_2[Resultat]</v>
      </c>
      <c r="TR54" s="97" t="str" cm="1">
        <f t="array" aca="1" ref="TR54" ca="1">IF(INDIRECT(TO$1)="","",IF(INDIRECT(TO$2)=0,0,IF(OR(INDIRECT(TO$1)=$A$2,INDIRECT(TO$1)=$A$3),$A$3,IFERROR(INDEX(INDIRECT(TQ54),MATCH(INDIRECT(TO$3),INDIRECT(TQ54),TQ$25)),IFERROR(IF(TQ$25=-1,MAX(INDIRECT(TQ54)),IF(TQ$25=1,MIN(INDIRECT(TQ54)))),"")))))</f>
        <v/>
      </c>
      <c r="TT54" s="91" t="str">
        <f t="shared" ca="1" si="113"/>
        <v>Volleyball_2[Note]</v>
      </c>
      <c r="TU54" s="97" t="str" cm="1">
        <f t="array" aca="1" ref="TU54" ca="1">IFERROR(INDEX(INDIRECT(TT54),MATCH(INDIRECT(TO$5),INDIRECT(TQ54),0)),IF(INDIRECT(TO$5)=0,1,""))</f>
        <v/>
      </c>
      <c r="TV54" s="97"/>
      <c r="TW54" s="309" t="str" cm="1">
        <f t="array" aca="1" ref="TW54" ca="1">IF(AND(ISNUMBER(INDIRECT(TW$3)),INDIRECT(TW$3)&gt;1),INDIRECT(TW$3),"")</f>
        <v/>
      </c>
      <c r="TX54" s="309" t="str" cm="1">
        <f t="array" aca="1" ref="TX54" ca="1">IF(AND(ISNUMBER(INDIRECT(TX$3)),INDIRECT(TX$3)&gt;1),INDIRECT(TX$3),"")</f>
        <v/>
      </c>
      <c r="TY54" s="309" t="str" cm="1">
        <f t="array" aca="1" ref="TY54" ca="1">IF(AND(ISNUMBER(INDIRECT(TY$3)),INDIRECT(TY$3)&gt;1),INDIRECT(TY$3),"")</f>
        <v/>
      </c>
      <c r="TZ54" s="309" t="str" cm="1">
        <f t="array" aca="1" ref="TZ54" ca="1">IF(AND(ISNUMBER(INDIRECT(TZ$3)),INDIRECT(TZ$3)&gt;1),INDIRECT(TZ$3),"")</f>
        <v/>
      </c>
      <c r="UA54" s="309" t="str" cm="1">
        <f t="array" aca="1" ref="UA54" ca="1">IF(AND(ISNUMBER(INDIRECT(UA$3)),INDIRECT(UA$3)&gt;1),INDIRECT(UA$3),"")</f>
        <v/>
      </c>
      <c r="UB54" s="309" t="str">
        <f t="shared" ca="1" si="114"/>
        <v>x</v>
      </c>
      <c r="UC54" s="309" t="str">
        <f t="shared" ca="1" si="115"/>
        <v>y</v>
      </c>
      <c r="UD54" s="309" t="str">
        <f t="shared" ca="1" si="116"/>
        <v>z</v>
      </c>
      <c r="UE54" s="309" t="str">
        <f t="shared" ca="1" si="215"/>
        <v>a</v>
      </c>
      <c r="UF54" s="309" t="str" cm="1">
        <f t="array" aca="1" ref="UF54" ca="1">IF(UE54="a","",INDEX($TW$23:$UA$23,,MATCH(UE54,$TW54:$UA54,0)))</f>
        <v/>
      </c>
      <c r="UG54" s="309" t="str" cm="1">
        <f t="array" aca="1" ref="UG54" ca="1">IF(OR(UF54="",UF54&gt;=$UA$23),"",INDEX(INDIRECT(ADDRESS(ROW($TW$23),UF54+1)):$UA$23,,MATCH(UE54,INDIRECT(ADDRESS(ROW(),UF54+1)):$UA54,0)))</f>
        <v/>
      </c>
      <c r="UH54" s="309" t="str" cm="1">
        <f t="array" aca="1" ref="UH54" ca="1">IF(OR(UG54="",UG54&gt;=$UA$23),"",INDEX(INDIRECT(ADDRESS(ROW($TW$23),UG54+1)):$UA$23,,MATCH(UE54,INDIRECT(ADDRESS(ROW(),UG54+1)):$UA54,0)))</f>
        <v/>
      </c>
      <c r="UI54" s="309" t="str">
        <f t="shared" ca="1" si="216"/>
        <v>c</v>
      </c>
      <c r="UJ54" s="309" t="str" cm="1">
        <f t="array" aca="1" ref="UJ54" ca="1">IF(OR(UI54="b",UI54="c"),"",INDEX($TW$23:$UA$23,,MATCH(UI54,$TW54:$UA54,0)))</f>
        <v/>
      </c>
      <c r="UK54" s="309" t="str" cm="1">
        <f t="array" aca="1" ref="UK54" ca="1">IF(OR(UJ54="",UJ54&gt;=$UA$23),"",INDEX(INDIRECT(ADDRESS(ROW($TW$23),UJ54+1)):$UA$23,,MATCH(UI54,INDIRECT(ADDRESS(ROW(),UJ54+1)):$UA54,0)))</f>
        <v/>
      </c>
      <c r="UL54" s="309" t="str">
        <f t="shared" ca="1" si="117"/>
        <v/>
      </c>
      <c r="UM54" s="309" t="str">
        <f t="shared" ca="1" si="217"/>
        <v>e</v>
      </c>
      <c r="UN54" s="309" t="str">
        <f t="shared" ca="1" si="118"/>
        <v/>
      </c>
      <c r="UO54" s="309" t="str" cm="1">
        <f t="array" aca="1" ref="UO54" ca="1">IF(OR(UM54="d",UM54="e"),"",INDEX($TW$23:$UA$23,,MATCH(UM54,$TW54:$UA54,0)))</f>
        <v/>
      </c>
      <c r="UP54" s="309" t="str" cm="1">
        <f t="array" aca="1" ref="UP54" ca="1">IF(OR(UO54="",UO54&gt;=$UA$23),"",INDEX(INDIRECT(ADDRESS(ROW($TW$23),UO54+1)):$UA$23,,MATCH(UM54,INDIRECT(ADDRESS(ROW(),UO54+1)):$UA54,0)))</f>
        <v/>
      </c>
      <c r="UQ54" s="309" t="str" cm="1">
        <f t="array" aca="1" ref="UQ54" ca="1">IFERROR(IF(ISNUMBER(UF54),UF54,IF(ISNUMBER(UJ54),UJ54,IF(ISNUMBER(UN54),UN54,INDEX($TW$23:$UA$23,,MATCH(UB54,$TW54:$UA54,0))))),"x1")</f>
        <v>x1</v>
      </c>
      <c r="UR54" s="309" t="str" cm="1">
        <f t="array" aca="1" ref="UR54" ca="1">IFERROR(IF(ISNUMBER(UG54),UG54,IF(ISNUMBER(UK54),UK54,IF(ISNUMBER(UO54),UO54,INDEX($TW$23:$UA$23,,MATCH(UC54,$TW54:$UA54,0))))),IF(UQ54="x1","x2","x1"))</f>
        <v>x2</v>
      </c>
      <c r="US54" s="309" t="str" cm="1">
        <f t="array" aca="1" ref="US54" ca="1">IFERROR(IF(ISNUMBER(UH54),UH54,IF(ISNUMBER(UL54),UL54,IF(ISNUMBER(UP54),UP54,INDEX($TW$23:$UA$23,,MATCH(UD54,$TW54:$UA54,0))))),IF(UR54="x1","x2",IF(UR54="x2","x3","x1")))</f>
        <v>x3</v>
      </c>
      <c r="UT54" s="97" t="str" cm="1">
        <f t="array" aca="1" ref="UT54" ca="1">IF(OR(INDIRECT(UT$3)=$A$2,INDIRECT(UT$3)=$A$3),COLUMN(),"")</f>
        <v/>
      </c>
      <c r="UU54" s="97" t="str" cm="1">
        <f t="array" aca="1" ref="UU54" ca="1">IF(OR(INDIRECT(UU$3)=$A$2,INDIRECT(UU$3)=$A$3),COLUMN(),"")</f>
        <v/>
      </c>
      <c r="UV54" s="97" t="str" cm="1">
        <f t="array" aca="1" ref="UV54" ca="1">IF(OR(INDIRECT(UV$3)=$A$2,INDIRECT(UV$3)=$A$3),COLUMN(),"")</f>
        <v/>
      </c>
      <c r="UW54" s="97" t="str" cm="1">
        <f t="array" aca="1" ref="UW54" ca="1">IF(OR(INDIRECT(UW$3)=$A$2,INDIRECT(UW$3)=$A$3),COLUMN(),"")</f>
        <v/>
      </c>
      <c r="UX54" s="97" t="str" cm="1">
        <f t="array" aca="1" ref="UX54" ca="1">IF(OR(INDIRECT(UX$3)=$A$2,INDIRECT(UX$3)=$A$3),COLUMN(),"")</f>
        <v/>
      </c>
      <c r="UY54" s="97" t="str" cm="1">
        <f t="array" aca="1" ref="UY54" ca="1">IF(AND(ISNUMBER(INDIRECT(UY$3)),INDIRECT(UY$3)=0),COLUMN(),"")</f>
        <v/>
      </c>
      <c r="UZ54" s="97" t="str" cm="1">
        <f t="array" aca="1" ref="UZ54" ca="1">IF(AND(ISNUMBER(INDIRECT(UZ$3)),INDIRECT(UZ$3)=0),COLUMN(),"")</f>
        <v/>
      </c>
      <c r="VA54" s="97" t="str" cm="1">
        <f t="array" aca="1" ref="VA54" ca="1">IF(AND(ISNUMBER(INDIRECT(VA$3)),INDIRECT(VA$3)=0),COLUMN(),"")</f>
        <v/>
      </c>
      <c r="VB54" s="97" t="str" cm="1">
        <f t="array" aca="1" ref="VB54" ca="1">IF(AND(ISNUMBER(INDIRECT(VB$3)),INDIRECT(VB$3)=0),COLUMN(),"")</f>
        <v/>
      </c>
      <c r="VC54" s="97" t="str" cm="1">
        <f t="array" aca="1" ref="VC54" ca="1">IF(AND(ISNUMBER(INDIRECT(VC$3)),INDIRECT(VC$3)=0),COLUMN(),"")</f>
        <v/>
      </c>
      <c r="VD54" s="97" t="str">
        <f t="shared" ca="1" si="218"/>
        <v>x1</v>
      </c>
      <c r="VE54" s="97" t="str">
        <f t="shared" ca="1" si="219"/>
        <v>x2</v>
      </c>
      <c r="VF54" s="97" t="str">
        <f t="shared" ca="1" si="220"/>
        <v>x3</v>
      </c>
      <c r="VG54" s="97" t="str">
        <f ca="1">IFERROR(IF(ISNUMBER(VD54),VD54,SMALL($UY54:$VC54,VALUE(RIGHT(VD54,1)))),Stammdaten!$CB$17)</f>
        <v>Erste Spielsportart nicht durchgeführt</v>
      </c>
      <c r="VH54" s="97" t="str">
        <f ca="1">IFERROR(IF(ISNUMBER(VE54),VE54,SMALL($UY54:$VC54,VALUE(RIGHT(VE54,1)))),Stammdaten!$CB$18)</f>
        <v>Zweite Spielsportart nicht durchgeführt</v>
      </c>
      <c r="VI54" s="97" t="str">
        <f ca="1">IFERROR(IF(ISNUMBER(VF54),VF54,SMALL($UY54:$VC54,VALUE(RIGHT(VF54,1)))),Stammdaten!$CB$19)</f>
        <v>Dritte Spielsportart nicht durchgeführt</v>
      </c>
      <c r="VJ54" s="91" t="str" cm="1">
        <f t="array" aca="1" ref="VJ54" ca="1">IFERROR(INDIRECT(ADDRESS(ROW($TW$5),VG54)),VG54)</f>
        <v>Erste Spielsportart nicht durchgeführt</v>
      </c>
      <c r="VK54" s="97" t="str">
        <f t="shared" ca="1" si="221"/>
        <v/>
      </c>
      <c r="VL54" s="97" t="str" cm="1">
        <f t="array" aca="1" ref="VL54" ca="1">IFERROR(IF(INDIRECT(INDEX(INDIRECT(VL$5),MATCH(VJ54,INDIRECT(VL$4),0)))&lt;&gt;"",INDEX(INDIRECT(VL$5),MATCH(VJ54,INDIRECT(VL$4),0)),INDEX(INDIRECT(VL$6),MATCH(VJ54,INDIRECT(VL$4),0))),"")</f>
        <v/>
      </c>
      <c r="VM54" s="97" t="str">
        <f t="shared" ca="1" si="222"/>
        <v/>
      </c>
      <c r="VN54" s="97" t="str" cm="1">
        <f t="array" aca="1" ref="VN54" ca="1">IFERROR(INDIRECT(VL54),"")</f>
        <v/>
      </c>
      <c r="VO54" s="97" t="str">
        <f ca="1">IF(VN54="","",IF(AND(VK54=Stammdaten!$BX$20,VM54="0",VN54=1),SUBSTITUTE(TEXT(VN54,VM54)&amp;" "&amp;LEFT(VK54,LEN(VK54)-1),".",","),SUBSTITUTE(TEXT(VN54,VM54)&amp;" "&amp;VK54,".",",")))</f>
        <v/>
      </c>
      <c r="VP54" s="97" t="str">
        <f t="shared" ca="1" si="119"/>
        <v/>
      </c>
      <c r="VQ54" s="97" t="str" cm="1">
        <f t="array" aca="1" ref="VQ54" ca="1">IFERROR(LEFT(INDIRECT(VP54),1)&amp;"]","")</f>
        <v/>
      </c>
      <c r="VR54" s="97" t="str">
        <f t="shared" ca="1" si="120"/>
        <v/>
      </c>
      <c r="VS54" s="97" t="str">
        <f ca="1">IFERROR(LEFT(VJ54,FIND(Stammdaten!$CA$4,VJ54,1)-2),IFERROR(LEFT(VJ54,FIND(Stammdaten!$CC$3,VJ54,1)-2),VJ54))</f>
        <v>Erste Spielsportart</v>
      </c>
      <c r="VT54" s="97" t="str">
        <f ca="1">IF(NOT(ISERROR(FIND(Stammdaten!$CA$4,VJ54,1))),Stammdaten!$CA$4,IF(VU54&lt;&gt;Stammdaten!$CC$3,VR54,""))</f>
        <v>nicht durchgeführt</v>
      </c>
      <c r="VU54" s="91" t="str">
        <f ca="1">IF(VN54=$A$2,Stammdaten!$CC$3,VO54)</f>
        <v/>
      </c>
      <c r="VV54" s="91" t="str" cm="1">
        <f t="array" aca="1" ref="VV54" ca="1">IFERROR(INDIRECT(ADDRESS(ROW($TW$5),VH54)),VH54)</f>
        <v>Zweite Spielsportart nicht durchgeführt</v>
      </c>
      <c r="VW54" s="97" t="str">
        <f t="shared" ca="1" si="223"/>
        <v/>
      </c>
      <c r="VX54" s="97" t="str" cm="1">
        <f t="array" aca="1" ref="VX54" ca="1">IFERROR(IF(INDIRECT(INDEX(INDIRECT(VX$5),MATCH(VV54,INDIRECT(VX$4),0)))&lt;&gt;"",INDEX(INDIRECT(VX$5),MATCH(VV54,INDIRECT(VX$4),0)),INDEX(INDIRECT(VX$6),MATCH(VV54,INDIRECT(VX$4),0))),"")</f>
        <v/>
      </c>
      <c r="VY54" s="97" t="str">
        <f t="shared" ca="1" si="224"/>
        <v/>
      </c>
      <c r="VZ54" s="97" t="str" cm="1">
        <f t="array" aca="1" ref="VZ54" ca="1">IFERROR(INDIRECT(VX54),"")</f>
        <v/>
      </c>
      <c r="WA54" s="97" t="str">
        <f ca="1">IF(VZ54="","",IF(AND(VW54=Stammdaten!$BX$20,VY54="0",VZ54=1),SUBSTITUTE(TEXT(VZ54,VY54)&amp;" "&amp;LEFT(VW54,LEN(VW54)-1),".",","),SUBSTITUTE(TEXT(VZ54,VY54)&amp;" "&amp;VW54,".",",")))</f>
        <v/>
      </c>
      <c r="WB54" s="97" t="str">
        <f t="shared" ca="1" si="121"/>
        <v/>
      </c>
      <c r="WC54" s="97" t="str" cm="1">
        <f t="array" aca="1" ref="WC54" ca="1">IFERROR(LEFT(INDIRECT(WB54),1)&amp;"]","")</f>
        <v/>
      </c>
      <c r="WD54" s="97" t="str">
        <f t="shared" ca="1" si="122"/>
        <v/>
      </c>
      <c r="WE54" s="97" t="str">
        <f ca="1">IFERROR(LEFT(VV54,FIND(Stammdaten!$CA$4,VV54,1)-2),IFERROR(LEFT(VV54,FIND(Stammdaten!$CC$3,VV54,1)-2),VV54))</f>
        <v>Zweite Spielsportart</v>
      </c>
      <c r="WF54" s="97" t="str">
        <f ca="1">IF(NOT(ISERROR(FIND(Stammdaten!$CA$4,VV54,1))),Stammdaten!$CA$4,IF(WG54&lt;&gt;Stammdaten!$CC$3,WD54,""))</f>
        <v>nicht durchgeführt</v>
      </c>
      <c r="WG54" s="91" t="str">
        <f ca="1">IF(VZ54=$A$2,Stammdaten!$CC$3,WA54)</f>
        <v/>
      </c>
      <c r="WH54" s="91" t="str" cm="1">
        <f t="array" aca="1" ref="WH54" ca="1">IFERROR(INDIRECT(ADDRESS(ROW($TW$5),VI54)),VI54)</f>
        <v>Dritte Spielsportart nicht durchgeführt</v>
      </c>
      <c r="WI54" s="97" t="str">
        <f t="shared" ca="1" si="225"/>
        <v/>
      </c>
      <c r="WJ54" s="97" t="str" cm="1">
        <f t="array" aca="1" ref="WJ54" ca="1">IFERROR(IF(INDIRECT(INDEX(INDIRECT(WJ$5),MATCH(WH54,INDIRECT(WJ$4),0)))&lt;&gt;"",INDEX(INDIRECT(WJ$5),MATCH(WH54,INDIRECT(WJ$4),0)),INDEX(INDIRECT(WJ$6),MATCH(WH54,INDIRECT(WJ$4),0))),"")</f>
        <v/>
      </c>
      <c r="WK54" s="97" t="str">
        <f t="shared" ca="1" si="226"/>
        <v/>
      </c>
      <c r="WL54" s="97" t="str" cm="1">
        <f t="array" aca="1" ref="WL54" ca="1">IFERROR(INDIRECT(WJ54),"")</f>
        <v/>
      </c>
      <c r="WM54" s="97" t="str">
        <f ca="1">IF(WL54="","",IF(AND(WI54=Stammdaten!$BX$20,WK54="0",WL54=1),SUBSTITUTE(TEXT(WL54,WK54)&amp;" "&amp;LEFT(WI54,LEN(WI54)-1),".",","),SUBSTITUTE(TEXT(WL54,WK54)&amp;" "&amp;WI54,".",",")))</f>
        <v/>
      </c>
      <c r="WN54" s="97" t="str">
        <f t="shared" ca="1" si="123"/>
        <v/>
      </c>
      <c r="WO54" s="97" t="str" cm="1">
        <f t="array" aca="1" ref="WO54" ca="1">IFERROR(LEFT(INDIRECT(WN54),1)&amp;"]","")</f>
        <v/>
      </c>
      <c r="WP54" s="97" t="str">
        <f t="shared" ca="1" si="124"/>
        <v/>
      </c>
      <c r="WQ54" s="97" t="str">
        <f ca="1">IFERROR(LEFT(WH54,FIND(Stammdaten!$CA$4,WH54,1)-2),IFERROR(LEFT(WH54,FIND(Stammdaten!$CC$3,WH54,1)-2),WH54))</f>
        <v>Dritte Spielsportart</v>
      </c>
      <c r="WR54" s="97" t="str">
        <f ca="1">IF(NOT(ISERROR(FIND(Stammdaten!$CA$4,WH54,1))),Stammdaten!$CA$4,IF(WS54&lt;&gt;Stammdaten!$CC$3,WP54,""))</f>
        <v>nicht durchgeführt</v>
      </c>
      <c r="WS54" s="91" t="str">
        <f ca="1">IF(WL54=$A$2,Stammdaten!$CC$3,WM54)</f>
        <v/>
      </c>
      <c r="WT54" s="97" t="str" cm="1">
        <f t="array" aca="1" ref="WT54" ca="1">INDIRECT(WT$5)</f>
        <v/>
      </c>
      <c r="WU54" s="97" t="str" cm="1">
        <f t="array" aca="1" ref="WU54" ca="1">INDIRECT(WU$5)</f>
        <v/>
      </c>
      <c r="WV54" s="97" t="str" cm="1">
        <f t="array" aca="1" ref="WV54" ca="1">INDIRECT(WV$5)</f>
        <v/>
      </c>
      <c r="WW54" s="97" t="str" cm="1">
        <f t="array" aca="1" ref="WW54" ca="1">INDIRECT(WW$5)</f>
        <v/>
      </c>
      <c r="WX54" s="97" t="str" cm="1">
        <f t="array" aca="1" ref="WX54" ca="1">INDIRECT(WX$5)</f>
        <v/>
      </c>
      <c r="WY54" s="97" cm="1">
        <f t="array" aca="1" ref="WY54" ca="1">IF(INDIRECT(WY$5)&lt;&gt;"",INDIRECT(WY$5),0)</f>
        <v>0</v>
      </c>
      <c r="WZ54" s="97" cm="1">
        <f t="array" aca="1" ref="WZ54" ca="1">IF(INDIRECT(WZ$5)&lt;&gt;"",INDIRECT(WZ$5),0)</f>
        <v>0</v>
      </c>
      <c r="XA54" s="97" cm="1">
        <f t="array" aca="1" ref="XA54" ca="1">IF(INDIRECT(XA$5)&lt;&gt;"",INDIRECT(XA$5),0)</f>
        <v>0</v>
      </c>
      <c r="XB54" s="97" cm="1">
        <f t="array" aca="1" ref="XB54" ca="1">IF(INDIRECT(XB$5)&lt;&gt;"",INDIRECT(XB$5),0)</f>
        <v>0</v>
      </c>
      <c r="XC54" s="97" cm="1">
        <f t="array" aca="1" ref="XC54" ca="1">IF(INDIRECT(XC$5)&lt;&gt;"",INDIRECT(XC$5),0)</f>
        <v>0</v>
      </c>
      <c r="XD54" s="97">
        <f t="shared" ca="1" si="125"/>
        <v>0</v>
      </c>
      <c r="XE54" s="97">
        <f t="shared" ca="1" si="125"/>
        <v>0</v>
      </c>
      <c r="XF54" s="97">
        <f t="shared" ca="1" si="125"/>
        <v>0</v>
      </c>
      <c r="XG54" s="97">
        <f t="shared" ca="1" si="227"/>
        <v>0</v>
      </c>
      <c r="XH54" s="108">
        <f t="shared" ca="1" si="228"/>
        <v>0</v>
      </c>
      <c r="XI54" s="108">
        <f t="shared" ca="1" si="126"/>
        <v>0</v>
      </c>
      <c r="XJ54" s="108" t="str">
        <f t="shared" ca="1" si="229"/>
        <v/>
      </c>
      <c r="XK54" s="97" t="str">
        <f ca="1">IF(XJ54="",Stammdaten!$BZ$1,IF(AND(XH54=0,XI54&gt;=XJ$25),$A$3,ROUND(SUM(XG54/XJ54)/XK$25,0)*XK$25))</f>
        <v>Zu wenige Werte</v>
      </c>
      <c r="XL54" s="108">
        <f t="shared" ca="1" si="230"/>
        <v>6</v>
      </c>
      <c r="XM54" s="97" t="str">
        <f t="shared" ca="1" si="231"/>
        <v/>
      </c>
      <c r="XN54" s="97" t="str">
        <f t="shared" ca="1" si="232"/>
        <v/>
      </c>
      <c r="XO54" s="97" t="str">
        <f t="shared" ca="1" si="233"/>
        <v/>
      </c>
      <c r="XP54" s="97" t="str">
        <f t="shared" ca="1" si="234"/>
        <v/>
      </c>
      <c r="XQ54" s="97" t="str">
        <f t="shared" ca="1" si="235"/>
        <v>g</v>
      </c>
      <c r="XR54" s="97" t="str">
        <f t="shared" ca="1" si="236"/>
        <v/>
      </c>
      <c r="XS54" s="97">
        <f t="shared" ca="1" si="237"/>
        <v>1</v>
      </c>
      <c r="XT54" s="97" t="str">
        <f ca="1">IF(OR(Geschlecht[[#This Row],[Geschlecht (Skala)]]="",NOT(ISNUMBER(XJ54))),"",XS54)</f>
        <v/>
      </c>
      <c r="XU54" s="97" t="str">
        <f t="shared" ca="1" si="238"/>
        <v/>
      </c>
      <c r="XV54" s="97"/>
      <c r="XW54" s="308" t="str">
        <f t="shared" ca="1" si="127"/>
        <v>Zu wenige Werte</v>
      </c>
      <c r="XX54" s="97"/>
      <c r="XY54" s="97" t="str">
        <f t="shared" ca="1" si="128"/>
        <v>Zu wenige Werte</v>
      </c>
      <c r="XZ54" s="97" t="str">
        <f t="shared" ca="1" si="129"/>
        <v>Zu wenige Werte</v>
      </c>
      <c r="YA54" s="97" t="str">
        <f t="shared" ca="1" si="130"/>
        <v>Zu wenige Werte</v>
      </c>
      <c r="YB54" s="97" t="str">
        <f t="shared" ca="1" si="131"/>
        <v>Zu wenige Werte</v>
      </c>
      <c r="YC54" s="97">
        <f t="shared" ca="1" si="239"/>
        <v>0</v>
      </c>
      <c r="YD54" s="108">
        <f t="shared" ca="1" si="240"/>
        <v>0</v>
      </c>
      <c r="YE54" s="108">
        <f t="shared" ca="1" si="241"/>
        <v>0</v>
      </c>
      <c r="YF54" s="108" t="str">
        <f t="shared" ca="1" si="242"/>
        <v/>
      </c>
      <c r="YG54" s="97" t="str">
        <f ca="1">IF(YF54="",Stammdaten!$BZ$1,IF(YE54=YF$25,$A$3,ROUND(SUM(YC54/YF54)/YG$25,0)*YG$25))</f>
        <v>Zu wenige Werte</v>
      </c>
      <c r="YH54" s="97" t="str">
        <f ca="1">IF(NOT(ISNUMBER(XY54)),"",IF(YH$11&lt;&gt;"2+",TEXT(XY54,YH$11)&amp;" / ",IF(RIGHT(XY54*100,2)="00",TEXT(XY54,"0"&amp;Stammdaten!$AZ$3&amp;"0")&amp;" / ",XY54&amp;" / ")))</f>
        <v/>
      </c>
      <c r="YI54" s="97" t="str">
        <f ca="1">IF(NOT(ISNUMBER(XZ54)),"",IF(YI$11&lt;&gt;"2+",TEXT(XZ54,YI$11)&amp;" / ",IF(RIGHT(XZ54*100,2)="00",TEXT(XZ54,"0"&amp;Stammdaten!$AZ$3&amp;"0")&amp;" / ",XZ54&amp;" / ")))</f>
        <v/>
      </c>
      <c r="YJ54" s="97" t="str">
        <f ca="1">IF(NOT(ISNUMBER(YA54)),"",IF(YJ$11&lt;&gt;"2+",TEXT(YA54,YJ$11)&amp;" / ",IF(RIGHT(YA54*100,2)="00",TEXT(YA54,"0"&amp;Stammdaten!$AZ$3&amp;"0")&amp;" / ",YA54&amp;" / ")))</f>
        <v/>
      </c>
      <c r="YK54" s="97" t="str">
        <f ca="1">IF(NOT(ISNUMBER(YB54)),"",IF(YK$11&lt;&gt;"2+",TEXT(YB54,YK$11)&amp;" / ",IF(RIGHT(YB54*100,2)="00",TEXT(YB54,"0"&amp;Stammdaten!$AZ$3&amp;"0")&amp;" / ",YB54&amp;" / ")))</f>
        <v/>
      </c>
      <c r="YL54" s="97" t="str">
        <f t="shared" ca="1" si="243"/>
        <v/>
      </c>
      <c r="YM54" s="97" t="str">
        <f>IF(Geschlecht[[#This Row],[Geschlecht (Skala)]]="","",IF(ISNUMBER(XY54),1,IF(XY54=$A$3,$A$2,"R")))</f>
        <v/>
      </c>
      <c r="YN54" s="97" t="str">
        <f>IF(Geschlecht[[#This Row],[Geschlecht (Skala)]]="","",IF(ISNUMBER(XZ54),1,IF(XZ54=$A$3,$A$2,"R")))</f>
        <v/>
      </c>
      <c r="YO54" s="97" t="str">
        <f>IF(Geschlecht[[#This Row],[Geschlecht (Skala)]]="","",IF(ISNUMBER(YA54),1,IF(YA54=$A$3,$A$2,"R")))</f>
        <v/>
      </c>
      <c r="YP54" s="97" t="str">
        <f>IF(Geschlecht[[#This Row],[Geschlecht (Skala)]]="","",IF(ISNUMBER(YB54),1,IF(YB54=$A$3,$A$2,"R")))</f>
        <v/>
      </c>
      <c r="YQ54" s="97" t="str">
        <f t="shared" si="244"/>
        <v>g</v>
      </c>
      <c r="YR54" s="97" t="str">
        <f t="shared" ca="1" si="245"/>
        <v/>
      </c>
      <c r="YS54" s="97">
        <f t="shared" ca="1" si="246"/>
        <v>1</v>
      </c>
      <c r="YT54" s="97" t="str">
        <f ca="1">IF(OR(Geschlecht[[#This Row],[Geschlecht (Skala)]]="",NOT(ISNUMBER(YG54))),"",YS54)</f>
        <v/>
      </c>
      <c r="YU54" s="97"/>
      <c r="YV54" s="311" t="str">
        <f t="shared" si="247"/>
        <v>D</v>
      </c>
      <c r="YW54" s="302"/>
      <c r="YX54" s="311" t="str">
        <f t="shared" si="248"/>
        <v>D</v>
      </c>
      <c r="YY54" s="302"/>
      <c r="YZ54" s="311" t="str">
        <f t="shared" si="249"/>
        <v>D</v>
      </c>
      <c r="ZA54" s="302"/>
      <c r="ZB54" s="311" t="str">
        <f t="shared" si="250"/>
        <v>D</v>
      </c>
      <c r="ZC54" s="97"/>
      <c r="ZD54" s="97" t="str">
        <f t="shared" ca="1" si="132"/>
        <v/>
      </c>
      <c r="ZE54" s="97"/>
      <c r="ZF54" s="308" t="str">
        <f t="shared" ca="1" si="251"/>
        <v>Zu wenige Werte</v>
      </c>
      <c r="ZH54" s="317" t="s">
        <v>134</v>
      </c>
      <c r="ZJ54" s="91" t="str" cm="1">
        <f t="array" ref="ZJ54">IF(OR(Geschlecht[[#This Row],[Geschlecht (Skala)]]="",ZH54="",ZH54=Stammdaten!$BZ$5),"",REPLACE(INDEX(StdDisziplinen[TabÜberschriftNote],ZH$3),FIND("X",INDEX(StdDisziplinen[TabÜberschriftNote],ZH$3),1),1,Geschlecht[[#This Row],[Geschlecht (Skala)]]))</f>
        <v/>
      </c>
      <c r="ZK54" s="314"/>
      <c r="ZM54" s="315"/>
      <c r="ZN54" s="97" t="str">
        <f>IFERROR(IFERROR(SUBSTITUTE(SchwimmenResultatMin[[#This Row],[Min]],".",",")*1,SUBSTITUTE(SchwimmenResultatMin[[#This Row],[Min]],",",".")*1),"")</f>
        <v/>
      </c>
      <c r="ZO54" s="91" t="e">
        <f>INT(SchwimmenResultatMin[[#This Row],[Resultat]])=SchwimmenResultatMin[[#This Row],[Resultat]]</f>
        <v>#VALUE!</v>
      </c>
      <c r="ZP54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4" s="315"/>
      <c r="ZS54" s="97" t="str">
        <f>IFERROR(IFERROR(SUBSTITUTE(SchwimmenResultatSek[[#This Row],[Sek]],".",",")*1,SUBSTITUTE(SchwimmenResultatSek[[#This Row],[Sek]],",",".")*1),"")</f>
        <v/>
      </c>
      <c r="ZT54" s="108" t="e">
        <f>INT(SchwimmenResultatSek[[#This Row],[Resultat]])=SchwimmenResultatSek[[#This Row],[Resultat]]</f>
        <v>#VALUE!</v>
      </c>
      <c r="ZU54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4" s="97" t="str" cm="1">
        <f t="array" aca="1" ref="ZW54" ca="1">IF(AND(INDIRECT(ZW$2)="",INDIRECT(ZX$2)=""),"",IFERROR((INDIRECT(ZW$2)*$ZW$25)+INDIRECT(ZX$2),""))</f>
        <v/>
      </c>
      <c r="ZX54" s="91" t="str">
        <f ca="1">REPLACE(ZW$4,ZX$6,1,Geschlecht[[#This Row],[Geschlecht (Skala)]])</f>
        <v>Schwimmen_[Resultat]</v>
      </c>
      <c r="ZY54" s="91" t="str">
        <f ca="1">IFERROR(REPLACE($ZX54,FIND(Stammdaten!$V$2,$ZX54,1),LEN(Stammdaten!$V$2),Stammdaten!$BZ$9),"")</f>
        <v>Schwimmen_[Anzeige]</v>
      </c>
      <c r="ZZ54" s="97" t="str" cm="1">
        <f t="array" aca="1" ref="ZZ54" ca="1">IF(INDIRECT(ZW$3)="","",IF(INDIRECT(ZW$3)=0,0,IF(OR(INDIRECT(ZW$1)=$A$2,INDIRECT(ZW$1)=$A$3),$A$3,IFERROR(INDEX(INDIRECT(ZX54),MATCH(INDIRECT(ZW$3),INDIRECT(ZX54),ZY$25)),IFERROR(IF(ZY$25=-1,MAX(INDIRECT(ZX54)),IF(ZY$25=1,MIN(INDIRECT(ZX54)))),"")))))</f>
        <v/>
      </c>
      <c r="AAA54" s="97" t="str" cm="1">
        <f t="array" aca="1" ref="AAA54" ca="1">IF(INDIRECT(ZX$5)=0,0,IF(OR(INDIRECT(ZW$1)=$A$2,INDIRECT(ZW$1)=$A$3),$A$3,IFERROR(INDEX(INDIRECT($ZY54),MATCH(INDIRECT(ZX$5),INDIRECT($ZX54),0)),"")))</f>
        <v/>
      </c>
      <c r="AAC54" s="91" t="str">
        <f ca="1">REPLACE(ZW$6,ZX$6,1,Geschlecht[[#This Row],[Geschlecht (Skala)]])</f>
        <v>Schwimmen_[Note]</v>
      </c>
      <c r="AAD54" s="97" t="str" cm="1">
        <f t="array" aca="1" ref="AAD54" ca="1">IFERROR(INDEX(INDIRECT(AAC54),MATCH(INDIRECT(ZX$5),INDIRECT(ZX54),0)),IF(INDIRECT(ZX$5)=0,1,""))</f>
        <v/>
      </c>
      <c r="AAE54" s="97"/>
      <c r="AAF54" s="96" t="str">
        <f>ZwölfMinLaufHalleResultat[[#This Row],[Resultat]]</f>
        <v/>
      </c>
      <c r="AAG54" s="96"/>
      <c r="AAH54" s="97" t="str">
        <f ca="1">ZwölfMinLaufHalleSkalawert[[#This Row],[Skala-Wert]]</f>
        <v/>
      </c>
      <c r="AAJ54" s="97" t="str">
        <f ca="1">ZwölfMinLaufHalleNote[[#This Row],[Note]]</f>
        <v/>
      </c>
      <c r="AAK54" s="97"/>
      <c r="AAL54" s="96" t="str">
        <f>ZwölfMinLaufimFreienResultat[[#This Row],[Resultat]]</f>
        <v/>
      </c>
      <c r="AAM54" s="96"/>
      <c r="AAN54" s="97" t="str">
        <f ca="1">ZwölfMinLaufimFreienSkalawert[[#This Row],[Skala-Wert]]</f>
        <v/>
      </c>
      <c r="AAP54" s="97" t="str">
        <f ca="1">ZwölfMinLaufimFreienNote[[#This Row],[Note]]</f>
        <v/>
      </c>
      <c r="AAQ54" s="97"/>
      <c r="AAR54" s="307"/>
      <c r="AAS54" s="96" t="str">
        <f>IFERROR(IFERROR(SUBSTITUTE(BeweglichkeitResultat[[#This Row],[Eingabe]],".",",")*1,SUBSTITUTE(BeweglichkeitResultat[[#This Row],[Eingabe]],",",".")*1),"")</f>
        <v/>
      </c>
      <c r="AAT54" s="96" t="e">
        <f>INT(BeweglichkeitResultat[[#This Row],[Resultat]])=BeweglichkeitResultat[[#This Row],[Resultat]]</f>
        <v>#VALUE!</v>
      </c>
      <c r="AAU54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4" s="96"/>
      <c r="AAW54" s="91" t="str" cm="1">
        <f t="array" aca="1" ref="AAW54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4" s="96" t="str">
        <f ca="1">REPLACE(AAW$4,AAX$6,1,Geschlecht[[#This Row],[Geschlecht (Skala)]])</f>
        <v>Beweglichkeit_[Resultat]</v>
      </c>
      <c r="AAY54" s="96" t="str" cm="1">
        <f t="array" aca="1" ref="AAY54" ca="1">IF(OR(INDIRECT(AAW$1)=$A$2,INDIRECT(AAW$1)=$A$3),$A$3,IF(OR(INDIRECT(AAW$2)="",AND(Geschlecht[[#This Row],[Geschlecht (Skala)]]=Stammdaten!$D$7,INDIRECT(AAW$2)&lt;0)),"",IFERROR(INDEX(INDIRECT(AAX54),MATCH(INDIRECT(AAW$3),INDIRECT(AAX54),AAX$25)),IFERROR(IF(AAX$25=-1,MAX(INDIRECT(AAX54)),IF(AAX$25=1,MIN(INDIRECT(AAX54)))),""))))</f>
        <v/>
      </c>
      <c r="AAZ54" s="97" t="str" cm="1">
        <f t="array" aca="1" ref="AAZ54" ca="1">IF(INDIRECT(AAW$1)="","",IF(INDIRECT(AAW$1)=0,0,IF(OR(INDIRECT(AAW$1)=$A$2,INDIRECT(AAW$1)=$A$3),$A$3,IFERROR(INDEX(INDIRECT(AAY54),MATCH(INDIRECT(AAW$3),INDIRECT(AAY54),AAY$27)),IFERROR(IF(AAY$27=-1,MAX(INDIRECT(AAY54)),IF(AAY$27=1,MIN(INDIRECT(AAY54)))),"")))))</f>
        <v/>
      </c>
      <c r="ABA54" s="96" t="str">
        <f ca="1">REPLACE(AAW$6,AAX$6,1,Geschlecht[[#This Row],[Geschlecht (Skala)]])</f>
        <v>Beweglichkeit_[Note]</v>
      </c>
      <c r="ABB54" s="91" t="str" cm="1">
        <f t="array" aca="1" ref="ABB54" ca="1">IFERROR(INDEX(INDIRECT(ABA54),MATCH(INDIRECT(AAW$5),INDIRECT(AAX54),0)),"")</f>
        <v/>
      </c>
      <c r="ABC54" s="97" t="str" cm="1">
        <f t="array" aca="1" ref="ABC54" ca="1">IFERROR(INDEX(INDIRECT(ABB54),MATCH(INDIRECT(AAW$5),INDIRECT(AAY54),0)),"")</f>
        <v/>
      </c>
      <c r="ABD54" s="307"/>
      <c r="ABE54" s="96" t="str">
        <f>IFERROR(IFERROR(SUBSTITUTE(RumpfkraftResultat[[#This Row],[Eingabe]],".",",")*1,SUBSTITUTE(RumpfkraftResultat[[#This Row],[Eingabe]],",",".")*1),"")</f>
        <v/>
      </c>
      <c r="ABF54" s="96" t="e">
        <f>INT(RumpfkraftResultat[[#This Row],[Resultat]])=RumpfkraftResultat[[#This Row],[Resultat]]</f>
        <v>#VALUE!</v>
      </c>
      <c r="ABG54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4" s="96"/>
      <c r="ABI54" s="91" t="str" cm="1">
        <f t="array" aca="1" ref="ABI54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4" s="96" t="str">
        <f ca="1">REPLACE(ABI$4,ABJ$6,1,Geschlecht[[#This Row],[Geschlecht (Skala)]])</f>
        <v>Rumpfkraft_[Resultat]</v>
      </c>
      <c r="ABK54" s="97" t="str" cm="1">
        <f t="array" aca="1" ref="ABK54" ca="1">IF(INDIRECT(ABI$1)="","",IF(OR(INDIRECT(ABI$1)=$A$2,INDIRECT(ABI$1)=$A$3),$A$3,IFERROR(INDEX(INDIRECT(ABJ54),MATCH(INDIRECT(ABI$3),INDIRECT(ABJ54),ABJ$25)),IFERROR(IF(ABJ$25=-1,MAX(INDIRECT(ABJ54)),IF(ABJ$25=1,MIN(INDIRECT(ABJ54)))),""))))</f>
        <v/>
      </c>
      <c r="ABM54" s="91" t="str">
        <f ca="1">REPLACE(ABI$6,ABJ$6,1,Geschlecht[[#This Row],[Geschlecht (Skala)]])</f>
        <v>Rumpfkraft_[Note]</v>
      </c>
      <c r="ABN54" s="97" t="str" cm="1">
        <f t="array" aca="1" ref="ABN54" ca="1">IFERROR(INDEX(INDIRECT(ABM54),MATCH(INDIRECT(ABI$5),INDIRECT(ABJ54),0)),"")</f>
        <v/>
      </c>
      <c r="ABO54" s="97"/>
      <c r="ABP54" s="96" t="str">
        <f>SechzigmLaufResultat[[#This Row],[Resultat]]</f>
        <v/>
      </c>
      <c r="ABQ54" s="96"/>
      <c r="ABR54" s="97" t="str">
        <f ca="1">SechzigmLaufSkalawert[[#This Row],[Skala-Wert]]</f>
        <v/>
      </c>
      <c r="ABT54" s="97" t="str">
        <f ca="1">SechzigmLaufNote[[#This Row],[Note]]</f>
        <v/>
      </c>
      <c r="ABU54" s="97"/>
      <c r="ABV54" s="96" t="str">
        <f>AchtzigmLaufResultat[[#This Row],[Resultat]]</f>
        <v/>
      </c>
      <c r="ABW54" s="96"/>
      <c r="ABX54" s="97" t="str">
        <f ca="1">AchtzigmLaufSkalawert[[#This Row],[Skala-Wert]]</f>
        <v/>
      </c>
      <c r="ABZ54" s="97" t="str">
        <f ca="1">AchtzigmLaufNote[[#This Row],[Note]]</f>
        <v/>
      </c>
      <c r="ACA54" s="97"/>
      <c r="ACB54" s="307"/>
      <c r="ACC54" s="96" t="str">
        <f>IFERROR(IFERROR(SUBSTITUTE(KonditionsparcoursResultat[[#This Row],[Eingabe]],".",",")*1,SUBSTITUTE(KonditionsparcoursResultat[[#This Row],[Eingabe]],",",".")*1),"")</f>
        <v/>
      </c>
      <c r="ACD54" s="96" t="e">
        <f>INT(KonditionsparcoursResultat[[#This Row],[Resultat]])=KonditionsparcoursResultat[[#This Row],[Resultat]]</f>
        <v>#VALUE!</v>
      </c>
      <c r="ACE54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4" s="96"/>
      <c r="ACG54" s="91" t="str" cm="1">
        <f t="array" aca="1" ref="ACG54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4" s="96" t="str">
        <f ca="1">LEFT(Geschlecht[[#This Row],[Geschlecht (Skala)]],1)&amp;ACM$4</f>
        <v>2</v>
      </c>
      <c r="ACI54" s="96" t="str">
        <f t="shared" ca="1" si="133"/>
        <v>Konditionsparcours_2[Resultat]</v>
      </c>
      <c r="ACJ54" s="97" t="str" cm="1">
        <f t="array" aca="1" ref="ACJ54" ca="1">IF(INDIRECT(ACG$1)="","",IF(OR(INDIRECT(ACG$1)=$A$2,INDIRECT(ACG$1)=$A$3),$A$3,IFERROR(INDEX(INDIRECT(ACI54),MATCH(INDIRECT(ACG$3),INDIRECT(ACI54),ACI$25)),IFERROR(IF(ACI$25=-1,MAX(INDIRECT(ACI54)),IF(ACI$25=1,MIN(INDIRECT(ACI54)))),""))))</f>
        <v/>
      </c>
      <c r="ACL54" s="91" t="str">
        <f t="shared" ca="1" si="134"/>
        <v>Konditionsparcours_2[Note]</v>
      </c>
      <c r="ACM54" s="97" t="str" cm="1">
        <f t="array" aca="1" ref="ACM54" ca="1">IFERROR(INDEX(INDIRECT(ACL54),MATCH(INDIRECT(ACG$5),INDIRECT(ACI54),0)),"")</f>
        <v/>
      </c>
      <c r="ACN54" s="102"/>
    </row>
    <row r="55" spans="1:768">
      <c r="A55" s="305">
        <v>28</v>
      </c>
      <c r="B55" s="133"/>
      <c r="C55" s="133"/>
      <c r="E55" s="306"/>
      <c r="G55" s="307"/>
      <c r="H55" s="96" t="str">
        <f>IFERROR(IFERROR(SUBSTITUTE(SechzigmLaufResultat[[#This Row],[Eingabe]],".",",")*1,SUBSTITUTE(SechzigmLaufResultat[[#This Row],[Eingabe]],",",".")*1),"")</f>
        <v/>
      </c>
      <c r="I55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5" s="96"/>
      <c r="K55" s="91" t="str" cm="1">
        <f t="array" aca="1" ref="K55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5" s="96" t="str">
        <f ca="1">LEFT(Geschlecht[[#This Row],[Geschlecht (Skala)]],1)&amp;Q$4</f>
        <v>2</v>
      </c>
      <c r="M55" s="96" t="str">
        <f t="shared" ca="1" si="37"/>
        <v>SechzigmLauf_2[Resultat]</v>
      </c>
      <c r="N55" s="97" t="str" cm="1">
        <f t="array" aca="1" ref="N55" ca="1">IF(INDIRECT(K$1)="","",IF(INDIRECT(K$2)=0,0,IF(OR(INDIRECT(K$1)=$A$2,INDIRECT(K$1)=$A$3),$A$3,IFERROR(INDEX(INDIRECT(M55),MATCH(INDIRECT(K$3),INDIRECT(M55),M$25)),IFERROR(IF(M$25=-1,MAX(INDIRECT(M55)),IF(M$25=1,MIN(INDIRECT(M55)))),"")))))</f>
        <v/>
      </c>
      <c r="P55" s="91" t="str">
        <f t="shared" ca="1" si="38"/>
        <v>SechzigmLauf_2[Note]</v>
      </c>
      <c r="Q55" s="97" t="str" cm="1">
        <f t="array" aca="1" ref="Q55" ca="1">IFERROR(INDEX(INDIRECT(P55),MATCH(INDIRECT(K$5),INDIRECT(M55),0)),IF(INDIRECT(K$5)=0,1,""))</f>
        <v/>
      </c>
      <c r="R55" s="97"/>
      <c r="S55" s="307"/>
      <c r="T55" s="96" t="str">
        <f>IFERROR(IFERROR(SUBSTITUTE(AchtzigmLaufResultat[[#This Row],[Eingabe]],".",",")*1,SUBSTITUTE(AchtzigmLaufResultat[[#This Row],[Eingabe]],",",".")*1),"")</f>
        <v/>
      </c>
      <c r="U55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5" s="96"/>
      <c r="W55" s="91" t="str" cm="1">
        <f t="array" aca="1" ref="W55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5" s="96" t="str">
        <f ca="1">LEFT(Geschlecht[[#This Row],[Geschlecht (Skala)]],1)&amp;AC$4</f>
        <v>2</v>
      </c>
      <c r="Y55" s="96" t="str">
        <f t="shared" ca="1" si="39"/>
        <v>AchtzigmLauf_2[Resultat]</v>
      </c>
      <c r="Z55" s="97" t="str" cm="1">
        <f t="array" aca="1" ref="Z55" ca="1">IF(INDIRECT(W$1)="","",IF(INDIRECT(W$2)=0,0,IF(OR(INDIRECT(W$1)=$A$2,INDIRECT(W$1)=$A$3),$A$3,IFERROR(INDEX(INDIRECT(Y55),MATCH(INDIRECT(W$3),INDIRECT(Y55),Y$25)),IFERROR(IF(Y$25=-1,MAX(INDIRECT(Y55)),IF(Y$25=1,MIN(INDIRECT(Y55)))),"")))))</f>
        <v/>
      </c>
      <c r="AB55" s="91" t="str">
        <f t="shared" ca="1" si="40"/>
        <v>AchtzigmLauf_2[Note]</v>
      </c>
      <c r="AC55" s="97" t="str" cm="1">
        <f t="array" aca="1" ref="AC55" ca="1">IFERROR(INDEX(INDIRECT(AB55),MATCH(INDIRECT(W$5),INDIRECT(Y55),0)),IF(INDIRECT(W$5)=0,1,""))</f>
        <v/>
      </c>
      <c r="AD55" s="97"/>
      <c r="AE55" s="307"/>
      <c r="AF55" s="96" t="str">
        <f>IFERROR(IFERROR(SUBSTITUTE(ZwölfMinLaufHalleResultat[[#This Row],[Eingabe]],".",",")*1,SUBSTITUTE(ZwölfMinLaufHalleResultat[[#This Row],[Eingabe]],",",".")*1),"")</f>
        <v/>
      </c>
      <c r="AG55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5" s="96"/>
      <c r="AI55" s="91" t="str" cm="1">
        <f t="array" aca="1" ref="AI55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5" s="96" t="str">
        <f ca="1">LEFT(Geschlecht[[#This Row],[Geschlecht (Skala)]],1)&amp;AO$4</f>
        <v>2</v>
      </c>
      <c r="AK55" s="96" t="str">
        <f t="shared" ca="1" si="41"/>
        <v>ZwölfMinLaufHalle_2[Resultat]</v>
      </c>
      <c r="AL55" s="97" t="str" cm="1">
        <f t="array" aca="1" ref="AL55" ca="1">IF(INDIRECT(AI$1)="","",IF(INDIRECT(AI$2)=0,0,IF(OR(INDIRECT(AI$1)=$A$2,INDIRECT(AI$1)=$A$3),$A$3,IFERROR(INDEX(INDIRECT(AK55),MATCH(INDIRECT(AI$3),INDIRECT(AK55),AK$25)),IFERROR(IF(AK$25=-1,MAX(INDIRECT(AK55)),IF(AK$25=1,MIN(INDIRECT(AK55)))),"")))))</f>
        <v/>
      </c>
      <c r="AN55" s="91" t="str">
        <f t="shared" ca="1" si="42"/>
        <v>ZwölfMinLaufHalle_2[Note]</v>
      </c>
      <c r="AO55" s="97" t="str" cm="1">
        <f t="array" aca="1" ref="AO55" ca="1">IFERROR(INDEX(INDIRECT(AN55),MATCH(INDIRECT(AI$5),INDIRECT(AK55),0)),IF(INDIRECT(AI$5)=0,1,""))</f>
        <v/>
      </c>
      <c r="AP55" s="97"/>
      <c r="AQ55" s="307"/>
      <c r="AR55" s="96" t="str">
        <f>IFERROR(IFERROR(SUBSTITUTE(ZwölfMinLaufimFreienResultat[[#This Row],[Eingabe]],".",",")*1,SUBSTITUTE(ZwölfMinLaufimFreienResultat[[#This Row],[Eingabe]],",",".")*1),"")</f>
        <v/>
      </c>
      <c r="AS55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5" s="96"/>
      <c r="AU55" s="91" t="str" cm="1">
        <f t="array" aca="1" ref="AU55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5" s="96" t="str">
        <f ca="1">LEFT(Geschlecht[[#This Row],[Geschlecht (Skala)]],1)&amp;BA$4</f>
        <v>2</v>
      </c>
      <c r="AW55" s="96" t="str">
        <f t="shared" ca="1" si="43"/>
        <v>ZwölfMinLaufimFreien_2[Resultat]</v>
      </c>
      <c r="AX55" s="97" t="str" cm="1">
        <f t="array" aca="1" ref="AX55" ca="1">IF(INDIRECT(AU$1)="","",IF(INDIRECT(AU$2)=0,0,IF(OR(INDIRECT(AU$1)=$A$2,INDIRECT(AU$1)=$A$3),$A$3,IFERROR(INDEX(INDIRECT(AW55),MATCH(INDIRECT(AU$3),INDIRECT(AW55),AW$25)),IFERROR(IF(AW$25=-1,MAX(INDIRECT(AW55)),IF(AW$25=1,MIN(INDIRECT(AW55)))),"")))))</f>
        <v/>
      </c>
      <c r="AZ55" s="91" t="str">
        <f t="shared" ca="1" si="44"/>
        <v>ZwölfMinLaufimFreien_2[Note]</v>
      </c>
      <c r="BA55" s="97" t="str" cm="1">
        <f t="array" aca="1" ref="BA55" ca="1">IFERROR(INDEX(INDIRECT(AZ55),MATCH(INDIRECT(AU$5),INDIRECT(AW55),0)),IF(INDIRECT(AU$5)=0,1,""))</f>
        <v/>
      </c>
      <c r="BB55" s="97"/>
      <c r="BC55" s="307"/>
      <c r="BD55" s="96" t="str">
        <f>IFERROR(IFERROR(SUBSTITUTE(HochsprungResultat[[#This Row],[Eingabe]],".",",")*1,SUBSTITUTE(HochsprungResultat[[#This Row],[Eingabe]],",",".")*1),"")</f>
        <v/>
      </c>
      <c r="BE55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5" s="96"/>
      <c r="BG55" s="91" t="str" cm="1">
        <f t="array" aca="1" ref="BG55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5" s="96" t="str">
        <f ca="1">LEFT(Geschlecht[[#This Row],[Geschlecht (Skala)]],1)&amp;BM$4</f>
        <v>2</v>
      </c>
      <c r="BI55" s="96" t="str">
        <f t="shared" ca="1" si="45"/>
        <v>Hochsprung_2[Resultat]</v>
      </c>
      <c r="BJ55" s="97" t="str" cm="1">
        <f t="array" aca="1" ref="BJ55" ca="1">IF(INDIRECT(BG$1)="","",IF(INDIRECT(BG$2)=0,0,IF(OR(INDIRECT(BG$1)=$A$2,INDIRECT(BG$1)=$A$3),$A$3,IFERROR(INDEX(INDIRECT(BI55),MATCH(INDIRECT(BG$3),INDIRECT(BI55),BI$25)),IFERROR(IF(BI$25=-1,MAX(INDIRECT(BI55)),IF(BI$25=1,MIN(INDIRECT(BI55)))),"")))))</f>
        <v/>
      </c>
      <c r="BL55" s="91" t="str">
        <f t="shared" ca="1" si="46"/>
        <v>Hochsprung_2[Note]</v>
      </c>
      <c r="BM55" s="97" t="str" cm="1">
        <f t="array" aca="1" ref="BM55" ca="1">IFERROR(INDEX(INDIRECT(BL55),MATCH(INDIRECT(BG$5),INDIRECT(BI55),0)),IF(INDIRECT(BG$5)=0,1,""))</f>
        <v/>
      </c>
      <c r="BN55" s="97"/>
      <c r="BO55" s="307"/>
      <c r="BP55" s="96" t="str">
        <f>IFERROR(IFERROR(SUBSTITUTE(WeitsprungResultat[[#This Row],[Eingabe]],".",",")*1,SUBSTITUTE(WeitsprungResultat[[#This Row],[Eingabe]],",",".")*1),"")</f>
        <v/>
      </c>
      <c r="BQ55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5" s="96"/>
      <c r="BS55" s="91" t="str" cm="1">
        <f t="array" aca="1" ref="BS55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5" s="96" t="str">
        <f ca="1">LEFT(Geschlecht[[#This Row],[Geschlecht (Skala)]],1)&amp;BY$4</f>
        <v>2</v>
      </c>
      <c r="BU55" s="96" t="str">
        <f t="shared" ca="1" si="47"/>
        <v>Weitsprung_2[Resultat]</v>
      </c>
      <c r="BV55" s="97" t="str" cm="1">
        <f t="array" aca="1" ref="BV55" ca="1">IF(INDIRECT(BS$1)="","",IF(INDIRECT(BS$2)=0,0,IF(OR(INDIRECT(BS$1)=$A$2,INDIRECT(BS$1)=$A$3),$A$3,IFERROR(INDEX(INDIRECT(BU55),MATCH(INDIRECT(BS$3),INDIRECT(BU55),BU$25)),IFERROR(IF(BU$25=-1,MAX(INDIRECT(BU55)),IF(BU$25=1,MIN(INDIRECT(BU55)))),"")))))</f>
        <v/>
      </c>
      <c r="BX55" s="91" t="str">
        <f t="shared" ca="1" si="48"/>
        <v>Weitsprung_2[Note]</v>
      </c>
      <c r="BY55" s="97" t="str" cm="1">
        <f t="array" aca="1" ref="BY55" ca="1">IFERROR(INDEX(INDIRECT(BX55),MATCH(INDIRECT(BS$5),INDIRECT(BU55),0)),IF(INDIRECT(BS$5)=0,1,""))</f>
        <v/>
      </c>
      <c r="BZ55" s="97"/>
      <c r="CA55" s="307"/>
      <c r="CB55" s="96" t="str">
        <f>IFERROR(IFERROR(SUBSTITUTE(BallwurfResultat[[#This Row],[Eingabe]],".",",")*1,SUBSTITUTE(BallwurfResultat[[#This Row],[Eingabe]],",",".")*1),"")</f>
        <v/>
      </c>
      <c r="CC55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5" s="96"/>
      <c r="CE55" s="91" t="str" cm="1">
        <f t="array" aca="1" ref="CE55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5" s="96" t="str">
        <f ca="1">LEFT(Geschlecht[[#This Row],[Geschlecht (Skala)]],1)&amp;CK$4</f>
        <v>2</v>
      </c>
      <c r="CG55" s="96" t="str">
        <f t="shared" ca="1" si="49"/>
        <v>Ballwurf_2[Resultat]</v>
      </c>
      <c r="CH55" s="97" t="str" cm="1">
        <f t="array" aca="1" ref="CH55" ca="1">IF(INDIRECT(CE$1)="","",IF(INDIRECT(CE$2)=0,0,IF(OR(INDIRECT(CE$1)=$A$2,INDIRECT(CE$1)=$A$3),$A$3,IFERROR(INDEX(INDIRECT(CG55),MATCH(INDIRECT(CE$3),INDIRECT(CG55),CG$25)),IFERROR(IF(CG$25=-1,MAX(INDIRECT(CG55)),IF(CG$25=1,MIN(INDIRECT(CG55)))),"")))))</f>
        <v/>
      </c>
      <c r="CJ55" s="91" t="str">
        <f t="shared" ca="1" si="50"/>
        <v>Ballwurf_2[Note]</v>
      </c>
      <c r="CK55" s="97" t="str" cm="1">
        <f t="array" aca="1" ref="CK55" ca="1">IFERROR(INDEX(INDIRECT(CJ55),MATCH(INDIRECT(CE$5),INDIRECT(CG55),0)),IF(INDIRECT(CE$5)=0,1,""))</f>
        <v/>
      </c>
      <c r="CL55" s="97"/>
      <c r="CM55" s="307"/>
      <c r="CN55" s="96" t="str">
        <f>IFERROR(IFERROR(SUBSTITUTE(KugelstossenResultat[[#This Row],[Eingabe]],".",",")*1,SUBSTITUTE(KugelstossenResultat[[#This Row],[Eingabe]],",",".")*1),"")</f>
        <v/>
      </c>
      <c r="CO55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5" s="96"/>
      <c r="CQ55" s="91" t="str" cm="1">
        <f t="array" aca="1" ref="CQ55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5" s="96" t="str">
        <f ca="1">LEFT(Geschlecht[[#This Row],[Geschlecht (Skala)]],1)&amp;CW$4</f>
        <v>2</v>
      </c>
      <c r="CS55" s="96" t="str">
        <f t="shared" ca="1" si="51"/>
        <v>Kugelstossen_2[Resultat]</v>
      </c>
      <c r="CT55" s="97" t="str" cm="1">
        <f t="array" aca="1" ref="CT55" ca="1">IF(INDIRECT(CQ$1)="","",IF(INDIRECT(CQ$2)=0,0,IF(OR(INDIRECT(CQ$1)=$A$2,INDIRECT(CQ$1)=$A$3),$A$3,IFERROR(INDEX(INDIRECT(CS55),MATCH(INDIRECT(CQ$3),INDIRECT(CS55),CS$25)),IFERROR(IF(CS$25=-1,MAX(INDIRECT(CS55)),IF(CS$25=1,MIN(INDIRECT(CS55)))),"")))))</f>
        <v/>
      </c>
      <c r="CV55" s="91" t="str">
        <f t="shared" ca="1" si="52"/>
        <v>Kugelstossen_2[Note]</v>
      </c>
      <c r="CW55" s="97" t="str" cm="1">
        <f t="array" aca="1" ref="CW55" ca="1">IFERROR(INDEX(INDIRECT(CV55),MATCH(INDIRECT(CQ$5),INDIRECT(CS55),0)),IF(INDIRECT(CQ$5)=0,1,""))</f>
        <v/>
      </c>
      <c r="CX55" s="97"/>
      <c r="CY55" s="307"/>
      <c r="CZ55" s="96" t="str">
        <f>IFERROR(IFERROR(SUBSTITUTE(SpeerwurfResultat[[#This Row],[Eingabe]],".",",")*1,SUBSTITUTE(SpeerwurfResultat[[#This Row],[Eingabe]],",",".")*1),"")</f>
        <v/>
      </c>
      <c r="DA55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5" s="96"/>
      <c r="DC55" s="91" t="str" cm="1">
        <f t="array" aca="1" ref="DC55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5" s="96" t="str">
        <f ca="1">LEFT(Geschlecht[[#This Row],[Geschlecht (Skala)]],1)&amp;DI$4</f>
        <v>2</v>
      </c>
      <c r="DE55" s="96" t="str">
        <f t="shared" ca="1" si="53"/>
        <v>Speerwurf_2[Resultat]</v>
      </c>
      <c r="DF55" s="97" t="str" cm="1">
        <f t="array" aca="1" ref="DF55" ca="1">IF(INDIRECT(DC$1)="","",IF(INDIRECT(DC$2)=0,0,IF(OR(INDIRECT(DC$1)=$A$2,INDIRECT(DC$1)=$A$3),$A$3,IFERROR(INDEX(INDIRECT(DE55),MATCH(INDIRECT(DC$3),INDIRECT(DE55),DE$25)),IFERROR(IF(DE$25=-1,MAX(INDIRECT(DE55)),IF(DE$25=1,MIN(INDIRECT(DE55)))),"")))))</f>
        <v/>
      </c>
      <c r="DH55" s="91" t="str">
        <f t="shared" ca="1" si="54"/>
        <v>Speerwurf_2[Note]</v>
      </c>
      <c r="DI55" s="97" t="str" cm="1">
        <f t="array" aca="1" ref="DI55" ca="1">IFERROR(INDEX(INDIRECT(DH55),MATCH(INDIRECT(DC$5),INDIRECT(DE55),0)),IF(INDIRECT(DC$5)=0,1,""))</f>
        <v/>
      </c>
      <c r="DJ55" s="97"/>
      <c r="DK55" s="97" t="str" cm="1">
        <f t="array" aca="1" ref="DK55" ca="1">INDIRECT(DK$5)</f>
        <v/>
      </c>
      <c r="DL55" s="97" t="str" cm="1">
        <f t="array" aca="1" ref="DL55" ca="1">INDIRECT(DL$5)</f>
        <v/>
      </c>
      <c r="DM55" s="97" t="str" cm="1">
        <f t="array" aca="1" ref="DM55" ca="1">INDIRECT(DM$5)</f>
        <v/>
      </c>
      <c r="DN55" s="97" t="str" cm="1">
        <f t="array" aca="1" ref="DN55" ca="1">INDIRECT(DN$5)</f>
        <v/>
      </c>
      <c r="DO55" s="97" t="str">
        <f t="shared" ca="1" si="135"/>
        <v>Sprintdisziplinen nicht durchgeführt</v>
      </c>
      <c r="DP55" s="97" t="str">
        <f t="shared" ca="1" si="136"/>
        <v/>
      </c>
      <c r="DQ55" s="108">
        <f t="shared" ca="1" si="137"/>
        <v>0</v>
      </c>
      <c r="DR55" s="108">
        <f t="shared" ca="1" si="138"/>
        <v>0</v>
      </c>
      <c r="DS55" s="108" t="str">
        <f t="shared" ca="1" si="139"/>
        <v/>
      </c>
      <c r="DT55" s="97" t="str">
        <f t="shared" ca="1" si="140"/>
        <v>Sprintdisziplinen nicht durchgeführt</v>
      </c>
      <c r="DU55" s="97" t="str">
        <f t="shared" ca="1" si="141"/>
        <v/>
      </c>
      <c r="DV55" s="97" t="str" cm="1">
        <f t="array" aca="1" ref="DV55" ca="1">IFERROR(IF(INDIRECT(INDEX(INDIRECT(DV$5),MATCH(DT55,INDIRECT(DV$4),0)))&lt;&gt;"",INDEX(INDIRECT(DV$5),MATCH(DT55,INDIRECT(DV$4),0)),INDEX(INDIRECT(DV$6),MATCH(DT55,INDIRECT(DV$4),0))),"")</f>
        <v/>
      </c>
      <c r="DW55" s="97" t="str">
        <f t="shared" ca="1" si="142"/>
        <v/>
      </c>
      <c r="DX55" s="97" t="str" cm="1">
        <f t="array" aca="1" ref="DX55" ca="1">IFERROR(INDIRECT(DV55),IF(NOT(ISERROR(FIND(Stammdaten!$CC$3,DT55,1))),$A$2,""))</f>
        <v/>
      </c>
      <c r="DY55" s="97" t="str">
        <f ca="1">IF(DX55="","",IF(AND(DU55=Stammdaten!$BX$20,DW55="0",DX55=1),SUBSTITUTE(TEXT(DX55,DW55)&amp;" "&amp;LEFT(DU55,LEN(DU55)-1),".",","),SUBSTITUTE(TEXT(DX55,DW55)&amp;" "&amp;DU55,".",",")))</f>
        <v/>
      </c>
      <c r="DZ55" s="97" t="str">
        <f t="shared" ca="1" si="55"/>
        <v/>
      </c>
      <c r="EA55" s="97" t="str" cm="1">
        <f t="array" aca="1" ref="EA55" ca="1">IFERROR(LEFT(INDIRECT(DZ55),1)&amp;"]","")</f>
        <v/>
      </c>
      <c r="EB55" s="97" t="str">
        <f t="shared" ca="1" si="56"/>
        <v/>
      </c>
      <c r="EC55" s="97" t="str">
        <f ca="1">IFERROR(LEFT(DT55,FIND(Stammdaten!$CA$4,DT55,1)-2),IFERROR(LEFT(DT55,FIND(Stammdaten!$CC$3,DT55,1)-2),DT55))</f>
        <v>Sprintdisziplinen</v>
      </c>
      <c r="ED55" s="97" t="str">
        <f ca="1">IF(NOT(ISERROR(FIND(Stammdaten!$CA$4,DT55,1))),Stammdaten!$CA$4,IF(EE55&lt;&gt;Stammdaten!$CC$3,EB55,""))</f>
        <v>nicht durchgeführt</v>
      </c>
      <c r="EE55" s="91" t="str">
        <f ca="1">IF(DX55=$A$2,Stammdaten!$CC$3,DY55)</f>
        <v/>
      </c>
      <c r="EF55" s="97" t="str" cm="1">
        <f t="array" aca="1" ref="EF55" ca="1">INDIRECT(EF$5)</f>
        <v/>
      </c>
      <c r="EG55" s="97" t="str" cm="1">
        <f t="array" aca="1" ref="EG55" ca="1">INDIRECT(EG$5)</f>
        <v/>
      </c>
      <c r="EH55" s="97" t="str" cm="1">
        <f t="array" aca="1" ref="EH55" ca="1">INDIRECT(EH$5)</f>
        <v/>
      </c>
      <c r="EI55" s="97" t="str" cm="1">
        <f t="array" aca="1" ref="EI55" ca="1">INDIRECT(EI$5)</f>
        <v/>
      </c>
      <c r="EJ55" s="97" t="str">
        <f t="shared" ca="1" si="143"/>
        <v>Ausdauerdisziplinen nicht durchgeführt</v>
      </c>
      <c r="EK55" s="97" t="str">
        <f t="shared" ca="1" si="144"/>
        <v/>
      </c>
      <c r="EL55" s="108">
        <f t="shared" ca="1" si="145"/>
        <v>0</v>
      </c>
      <c r="EM55" s="108">
        <f t="shared" ca="1" si="146"/>
        <v>0</v>
      </c>
      <c r="EN55" s="108" t="str">
        <f t="shared" ca="1" si="147"/>
        <v/>
      </c>
      <c r="EO55" s="97" t="str">
        <f t="shared" ca="1" si="148"/>
        <v>Ausdauerdisziplinen nicht durchgeführt</v>
      </c>
      <c r="EP55" s="97" t="str">
        <f t="shared" ca="1" si="149"/>
        <v/>
      </c>
      <c r="EQ55" s="97" t="str" cm="1">
        <f t="array" aca="1" ref="EQ55" ca="1">IFERROR(IF(INDIRECT(INDEX(INDIRECT(EQ$5),MATCH(EO55,INDIRECT(EQ$4),0)))&lt;&gt;"",INDEX(INDIRECT(EQ$5),MATCH(EO55,INDIRECT(EQ$4),0)),INDEX(INDIRECT(EQ$6),MATCH(EO55,INDIRECT(EQ$4),0))),"")</f>
        <v/>
      </c>
      <c r="ER55" s="97" t="str">
        <f t="shared" ca="1" si="150"/>
        <v/>
      </c>
      <c r="ES55" s="97" t="str" cm="1">
        <f t="array" aca="1" ref="ES55" ca="1">IFERROR(INDIRECT(EQ55),IF(NOT(ISERROR(FIND(Stammdaten!$CC$3,EO55,1))),$A$2,""))</f>
        <v/>
      </c>
      <c r="ET55" s="97" t="str">
        <f ca="1">IF(ES55="","",IF(AND(EP55=Stammdaten!$BX$20,ER55="0",ES55=1),SUBSTITUTE(TEXT(ES55,ER55)&amp;" "&amp;LEFT(EP55,LEN(EP55)-1),".",","),SUBSTITUTE(TEXT(ES55,ER55)&amp;" "&amp;EP55,".",",")))</f>
        <v/>
      </c>
      <c r="EU55" s="97" t="str">
        <f t="shared" ca="1" si="57"/>
        <v/>
      </c>
      <c r="EV55" s="97" t="str" cm="1">
        <f t="array" aca="1" ref="EV55" ca="1">IFERROR(LEFT(INDIRECT(EU55),1)&amp;"]","")</f>
        <v/>
      </c>
      <c r="EW55" s="97" t="str">
        <f t="shared" ca="1" si="58"/>
        <v/>
      </c>
      <c r="EX55" s="97" t="str">
        <f ca="1">IFERROR(LEFT(EO55,FIND(Stammdaten!$CA$4,EO55,1)-2),IFERROR(LEFT(EO55,FIND(Stammdaten!$CC$3,EO55,1)-2),EO55))</f>
        <v>Ausdauerdisziplinen</v>
      </c>
      <c r="EY55" s="97" t="str">
        <f ca="1">IF(NOT(ISERROR(FIND(Stammdaten!$CA$4,EO55,1))),Stammdaten!$CA$4,IF(EZ55&lt;&gt;Stammdaten!$CC$3,EW55,""))</f>
        <v>nicht durchgeführt</v>
      </c>
      <c r="EZ55" s="91" t="str">
        <f ca="1">IF(ES55=$A$2,Stammdaten!$CC$3,ET55)</f>
        <v/>
      </c>
      <c r="FA55" s="97" t="str" cm="1">
        <f t="array" aca="1" ref="FA55" ca="1">INDIRECT(FA$5)</f>
        <v/>
      </c>
      <c r="FB55" s="97" t="str" cm="1">
        <f t="array" aca="1" ref="FB55" ca="1">INDIRECT(FB$5)</f>
        <v/>
      </c>
      <c r="FC55" s="97" t="str" cm="1">
        <f t="array" aca="1" ref="FC55" ca="1">INDIRECT(FC$5)</f>
        <v/>
      </c>
      <c r="FD55" s="97" t="str" cm="1">
        <f t="array" aca="1" ref="FD55" ca="1">INDIRECT(FD$5)</f>
        <v/>
      </c>
      <c r="FE55" s="97" t="str">
        <f t="shared" ca="1" si="151"/>
        <v>Sprungdisziplinen nicht durchgeführt</v>
      </c>
      <c r="FF55" s="97" t="str">
        <f t="shared" ca="1" si="152"/>
        <v/>
      </c>
      <c r="FG55" s="108">
        <f t="shared" ca="1" si="153"/>
        <v>0</v>
      </c>
      <c r="FH55" s="108">
        <f t="shared" ca="1" si="154"/>
        <v>0</v>
      </c>
      <c r="FI55" s="108" t="str">
        <f t="shared" ca="1" si="155"/>
        <v/>
      </c>
      <c r="FJ55" s="97" t="str">
        <f t="shared" ca="1" si="156"/>
        <v>Sprungdisziplinen nicht durchgeführt</v>
      </c>
      <c r="FK55" s="97" t="str">
        <f t="shared" ca="1" si="157"/>
        <v/>
      </c>
      <c r="FL55" s="97" t="str" cm="1">
        <f t="array" aca="1" ref="FL55" ca="1">IFERROR(IF(INDIRECT(INDEX(INDIRECT(FL$5),MATCH(FJ55,INDIRECT(FL$4),0)))&lt;&gt;"",INDEX(INDIRECT(FL$5),MATCH(FJ55,INDIRECT(FL$4),0)),INDEX(INDIRECT(FL$6),MATCH(FJ55,INDIRECT(FL$4),0))),"")</f>
        <v/>
      </c>
      <c r="FM55" s="97" t="str">
        <f t="shared" ca="1" si="158"/>
        <v/>
      </c>
      <c r="FN55" s="97" t="str" cm="1">
        <f t="array" aca="1" ref="FN55" ca="1">IFERROR(INDIRECT(FL55),IF(NOT(ISERROR(FIND(Stammdaten!$CC$3,FJ55,1))),$A$2,""))</f>
        <v/>
      </c>
      <c r="FO55" s="97" t="str">
        <f ca="1">IF(FN55="","",IF(AND(FK55=Stammdaten!$BX$20,FM55="0",FN55=1),SUBSTITUTE(TEXT(FN55,FM55)&amp;" "&amp;LEFT(FK55,LEN(FK55)-1),".",","),SUBSTITUTE(TEXT(FN55,FM55)&amp;" "&amp;FK55,".",",")))</f>
        <v/>
      </c>
      <c r="FP55" s="97" t="str">
        <f t="shared" ca="1" si="59"/>
        <v/>
      </c>
      <c r="FQ55" s="97" t="str" cm="1">
        <f t="array" aca="1" ref="FQ55" ca="1">IFERROR(LEFT(INDIRECT(FP55),1)&amp;"]","")</f>
        <v/>
      </c>
      <c r="FR55" s="97" t="str">
        <f t="shared" ca="1" si="60"/>
        <v/>
      </c>
      <c r="FS55" s="97" t="str">
        <f ca="1">IFERROR(LEFT(FJ55,FIND(Stammdaten!$CA$4,FJ55,1)-2),IFERROR(LEFT(FJ55,FIND(Stammdaten!$CC$3,FJ55,1)-2),FJ55))</f>
        <v>Sprungdisziplinen</v>
      </c>
      <c r="FT55" s="97" t="str">
        <f ca="1">IF(NOT(ISERROR(FIND(Stammdaten!$CA$4,FJ55,1))),Stammdaten!$CA$4,IF(FU55&lt;&gt;Stammdaten!$CC$3,FR55,""))</f>
        <v>nicht durchgeführt</v>
      </c>
      <c r="FU55" s="91" t="str">
        <f ca="1">IF(FN55=$A$2,Stammdaten!$CC$3,FO55)</f>
        <v/>
      </c>
      <c r="FV55" s="97" t="str" cm="1">
        <f t="array" aca="1" ref="FV55" ca="1">INDIRECT(FV$5)</f>
        <v/>
      </c>
      <c r="FW55" s="97" t="str" cm="1">
        <f t="array" aca="1" ref="FW55" ca="1">INDIRECT(FW$5)</f>
        <v/>
      </c>
      <c r="FX55" s="97" t="str" cm="1">
        <f t="array" aca="1" ref="FX55" ca="1">INDIRECT(FX$5)</f>
        <v/>
      </c>
      <c r="FY55" s="97" t="str" cm="1">
        <f t="array" aca="1" ref="FY55" ca="1">INDIRECT(FY$5)</f>
        <v/>
      </c>
      <c r="FZ55" s="97" t="str" cm="1">
        <f t="array" aca="1" ref="FZ55" ca="1">INDIRECT(FZ$5)</f>
        <v/>
      </c>
      <c r="GA55" s="97" t="str" cm="1">
        <f t="array" aca="1" ref="GA55" ca="1">INDIRECT(GA$5)</f>
        <v/>
      </c>
      <c r="GB55" s="97" t="str">
        <f t="shared" ca="1" si="159"/>
        <v>Wurfdisziplinen nicht durchgeführt</v>
      </c>
      <c r="GC55" s="97" t="str">
        <f t="shared" ca="1" si="160"/>
        <v/>
      </c>
      <c r="GD55" s="108">
        <f t="shared" ca="1" si="161"/>
        <v>0</v>
      </c>
      <c r="GE55" s="108">
        <f t="shared" ca="1" si="162"/>
        <v>0</v>
      </c>
      <c r="GF55" s="108" t="str">
        <f t="shared" ca="1" si="163"/>
        <v/>
      </c>
      <c r="GG55" s="97" t="str">
        <f t="shared" ca="1" si="164"/>
        <v>Wurfdisziplinen nicht durchgeführt</v>
      </c>
      <c r="GH55" s="97" t="str">
        <f t="shared" ca="1" si="165"/>
        <v/>
      </c>
      <c r="GI55" s="97" t="str" cm="1">
        <f t="array" aca="1" ref="GI55" ca="1">IFERROR(IF(INDIRECT(INDEX(INDIRECT(GI$5),MATCH(GG55,INDIRECT(GI$4),0)))&lt;&gt;"",INDEX(INDIRECT(GI$5),MATCH(GG55,INDIRECT(GI$4),0)),INDEX(INDIRECT(GI$6),MATCH(GG55,INDIRECT(GI$4),0))),"")</f>
        <v/>
      </c>
      <c r="GJ55" s="97" t="str">
        <f t="shared" ca="1" si="166"/>
        <v/>
      </c>
      <c r="GK55" s="97" t="str" cm="1">
        <f t="array" aca="1" ref="GK55" ca="1">IFERROR(INDIRECT(GI55),IF(NOT(ISERROR(FIND(Stammdaten!$CC$3,GG55,1))),$A$2,""))</f>
        <v/>
      </c>
      <c r="GL55" s="97" t="str">
        <f ca="1">IF(GK55="","",IF(AND(GH55=Stammdaten!$BX$20,GJ55="0",GK55=1),SUBSTITUTE(TEXT(GK55,GJ55)&amp;" "&amp;LEFT(GH55,LEN(GH55)-1),".",","),SUBSTITUTE(TEXT(GK55,GJ55)&amp;" "&amp;GH55,".",",")))</f>
        <v/>
      </c>
      <c r="GM55" s="97" t="str">
        <f t="shared" ca="1" si="61"/>
        <v/>
      </c>
      <c r="GN55" s="97" t="str" cm="1">
        <f t="array" aca="1" ref="GN55" ca="1">IFERROR(LEFT(INDIRECT(GM55),1)&amp;"]","")</f>
        <v/>
      </c>
      <c r="GO55" s="97" t="str">
        <f t="shared" ca="1" si="62"/>
        <v/>
      </c>
      <c r="GP55" s="97" t="str">
        <f ca="1">IFERROR(LEFT(GG55,FIND(Stammdaten!$CA$4,GG55,1)-2),IFERROR(LEFT(GG55,FIND(Stammdaten!$CC$3,GG55,1)-2),GG55))</f>
        <v>Wurfdisziplinen</v>
      </c>
      <c r="GQ55" s="97" t="str">
        <f ca="1">IF(NOT(ISERROR(FIND(Stammdaten!$CA$4,GG55,1))),Stammdaten!$CA$4,IF(GR55&lt;&gt;Stammdaten!$CC$3,GO55,""))</f>
        <v>nicht durchgeführt</v>
      </c>
      <c r="GR55" s="91" t="str">
        <f ca="1">IF(GK55=$A$2,Stammdaten!$CC$3,GL55)</f>
        <v/>
      </c>
      <c r="GS55" s="97" t="str">
        <f t="shared" ca="1" si="63"/>
        <v/>
      </c>
      <c r="GT55" s="97" t="str">
        <f t="shared" ca="1" si="64"/>
        <v/>
      </c>
      <c r="GU55" s="97" t="str">
        <f t="shared" ca="1" si="65"/>
        <v/>
      </c>
      <c r="GV55" s="97" t="str">
        <f t="shared" ca="1" si="66"/>
        <v/>
      </c>
      <c r="GW55" s="97">
        <f t="shared" ca="1" si="167"/>
        <v>0</v>
      </c>
      <c r="GX55" s="108">
        <f t="shared" ca="1" si="168"/>
        <v>0</v>
      </c>
      <c r="GY55" s="108">
        <f t="shared" ca="1" si="169"/>
        <v>0</v>
      </c>
      <c r="GZ55" s="108" t="str">
        <f t="shared" ca="1" si="170"/>
        <v/>
      </c>
      <c r="HA55" s="97" t="str">
        <f ca="1">IF(GZ55="",Stammdaten!$BZ$1,IF(AND(GX55=0,GY55&gt;=GZ$25),$A$3,ROUND(SUM(GW55/GZ55)/HA$25,0)*HA$25))</f>
        <v>Zu wenige Werte</v>
      </c>
      <c r="HB55" s="108">
        <f t="shared" ca="1" si="171"/>
        <v>6</v>
      </c>
      <c r="HC55" s="97" t="str">
        <f t="shared" ca="1" si="172"/>
        <v/>
      </c>
      <c r="HD55" s="97" t="str">
        <f t="shared" ca="1" si="173"/>
        <v/>
      </c>
      <c r="HE55" s="97" t="str">
        <f t="shared" ca="1" si="174"/>
        <v/>
      </c>
      <c r="HF55" s="97" t="str">
        <f t="shared" ca="1" si="175"/>
        <v/>
      </c>
      <c r="HG55" s="97" t="str">
        <f t="shared" ca="1" si="176"/>
        <v/>
      </c>
      <c r="HH55" s="97" t="str">
        <f t="shared" ca="1" si="177"/>
        <v>g</v>
      </c>
      <c r="HI55" s="97" t="str">
        <f t="shared" ca="1" si="178"/>
        <v/>
      </c>
      <c r="HJ55" s="97">
        <f t="shared" ca="1" si="179"/>
        <v>1</v>
      </c>
      <c r="HK55" s="97" t="str">
        <f ca="1">IF(OR(Geschlecht[[#This Row],[Geschlecht (Skala)]]="",NOT(ISNUMBER(GZ55))),"",HJ55)</f>
        <v/>
      </c>
      <c r="HL55" s="97" t="str">
        <f t="shared" ca="1" si="180"/>
        <v/>
      </c>
      <c r="HM55" s="97"/>
      <c r="HN55" s="308" t="str">
        <f t="shared" ca="1" si="68"/>
        <v>Zu wenige Werte</v>
      </c>
      <c r="HO55" s="97"/>
      <c r="HP55" s="307"/>
      <c r="HQ55" s="96" t="str">
        <f>IFERROR(IFERROR(SUBSTITUTE(ReckResultat[[#This Row],[Eingabe]],".",",")*1,SUBSTITUTE(ReckResultat[[#This Row],[Eingabe]],",",".")*1),"")</f>
        <v/>
      </c>
      <c r="HR55" s="96" t="e">
        <f>INT(ReckResultat[[#This Row],[Resultat]])=ReckResultat[[#This Row],[Resultat]]</f>
        <v>#VALUE!</v>
      </c>
      <c r="HS55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5" s="96"/>
      <c r="HX55" s="97"/>
      <c r="HY55" s="307"/>
      <c r="HZ55" s="96" t="str">
        <f>IFERROR(IFERROR(SUBSTITUTE(BodenResultat[[#This Row],[Eingabe]],".",",")*1,SUBSTITUTE(BodenResultat[[#This Row],[Eingabe]],",",".")*1),"")</f>
        <v/>
      </c>
      <c r="IA55" s="96" t="e">
        <f>INT(BodenResultat[[#This Row],[Resultat]])=BodenResultat[[#This Row],[Resultat]]</f>
        <v>#VALUE!</v>
      </c>
      <c r="IB55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5" s="96"/>
      <c r="IG55" s="97"/>
      <c r="IH55" s="307"/>
      <c r="II55" s="96" t="str">
        <f>IFERROR(IFERROR(SUBSTITUTE(StufenbarrenResultat[[#This Row],[Eingabe]],".",",")*1,SUBSTITUTE(StufenbarrenResultat[[#This Row],[Eingabe]],",",".")*1),"")</f>
        <v/>
      </c>
      <c r="IJ55" s="96" t="e">
        <f>INT(StufenbarrenResultat[[#This Row],[Resultat]])=StufenbarrenResultat[[#This Row],[Resultat]]</f>
        <v>#VALUE!</v>
      </c>
      <c r="IK55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5" s="96"/>
      <c r="IP55" s="97"/>
      <c r="IQ55" s="307"/>
      <c r="IR55" s="96" t="str">
        <f>IFERROR(IFERROR(SUBSTITUTE(ParallelbarrenResultat[[#This Row],[Eingabe]],".",",")*1,SUBSTITUTE(ParallelbarrenResultat[[#This Row],[Eingabe]],",",".")*1),"")</f>
        <v/>
      </c>
      <c r="IS55" s="96" t="e">
        <f>INT(ParallelbarrenResultat[[#This Row],[Resultat]])=ParallelbarrenResultat[[#This Row],[Resultat]]</f>
        <v>#VALUE!</v>
      </c>
      <c r="IT55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5" s="96"/>
      <c r="IY55" s="97"/>
      <c r="IZ55" s="307"/>
      <c r="JA55" s="96" t="str">
        <f>IFERROR(IFERROR(SUBSTITUTE(SchaukelringeResultat[[#This Row],[Eingabe]],".",",")*1,SUBSTITUTE(SchaukelringeResultat[[#This Row],[Eingabe]],",",".")*1),"")</f>
        <v/>
      </c>
      <c r="JB55" s="96" t="e">
        <f>INT(SchaukelringeResultat[[#This Row],[Resultat]])=SchaukelringeResultat[[#This Row],[Resultat]]</f>
        <v>#VALUE!</v>
      </c>
      <c r="JC55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5" s="96"/>
      <c r="JH55" s="97"/>
      <c r="JI55" s="307"/>
      <c r="JJ55" s="96" t="str">
        <f>IFERROR(IFERROR(SUBSTITUTE(SprungResultat[[#This Row],[Eingabe]],".",",")*1,SUBSTITUTE(SprungResultat[[#This Row],[Eingabe]],",",".")*1),"")</f>
        <v/>
      </c>
      <c r="JK55" s="96" t="e">
        <f>INT(SprungResultat[[#This Row],[Resultat]])=SprungResultat[[#This Row],[Resultat]]</f>
        <v>#VALUE!</v>
      </c>
      <c r="JL55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5" s="96"/>
      <c r="JQ55" s="97"/>
      <c r="JR55" s="309" t="str" cm="1">
        <f t="array" aca="1" ref="JR55" ca="1">IF(AND(ISNUMBER(INDIRECT(JR$3)),INDIRECT(JR$3)&gt;0),INDIRECT(JR$3),"")</f>
        <v/>
      </c>
      <c r="JS55" s="309" t="str" cm="1">
        <f t="array" aca="1" ref="JS55" ca="1">IF(AND(ISNUMBER(INDIRECT(JS$3)),INDIRECT(JS$3)&gt;0),INDIRECT(JS$3),"")</f>
        <v/>
      </c>
      <c r="JT55" s="309" t="str" cm="1">
        <f t="array" aca="1" ref="JT55" ca="1">IF(AND(ISNUMBER(INDIRECT(JT$3)),INDIRECT(JT$3)&gt;0),INDIRECT(JT$3),"")</f>
        <v/>
      </c>
      <c r="JU55" s="309" t="str" cm="1">
        <f t="array" aca="1" ref="JU55" ca="1">IF(AND(ISNUMBER(INDIRECT(JU$3)),INDIRECT(JU$3)&gt;0),INDIRECT(JU$3),"")</f>
        <v/>
      </c>
      <c r="JV55" s="309" t="str" cm="1">
        <f t="array" aca="1" ref="JV55" ca="1">IF(AND(ISNUMBER(INDIRECT(JV$3)),INDIRECT(JV$3)&gt;0),INDIRECT(JV$3),"")</f>
        <v/>
      </c>
      <c r="JW55" s="309" t="str" cm="1">
        <f t="array" aca="1" ref="JW55" ca="1">IF(AND(ISNUMBER(INDIRECT(JW$3)),INDIRECT(JW$3)&gt;0),INDIRECT(JW$3),"")</f>
        <v/>
      </c>
      <c r="JX55" s="309" t="str">
        <f t="shared" ca="1" si="69"/>
        <v>x</v>
      </c>
      <c r="JY55" s="309" t="str">
        <f t="shared" ca="1" si="70"/>
        <v>y</v>
      </c>
      <c r="JZ55" s="309" t="str">
        <f t="shared" ca="1" si="71"/>
        <v>z</v>
      </c>
      <c r="KA55" s="309" t="str">
        <f t="shared" ca="1" si="181"/>
        <v>a</v>
      </c>
      <c r="KB55" s="309" t="str" cm="1">
        <f t="array" aca="1" ref="KB55" ca="1">IF(KA55="a","",INDEX($JR$23:$JW$23,,MATCH(KA55,$JR55:$JW55,0)))</f>
        <v/>
      </c>
      <c r="KC55" s="309" t="str" cm="1">
        <f t="array" aca="1" ref="KC55" ca="1">IF(OR(KB55="",KB55&gt;=$JW$23),"",INDEX(INDIRECT(ADDRESS(ROW($JR$23),KB55+1)):$JW$23,,MATCH(KA55,INDIRECT(ADDRESS(ROW(),KB55+1)):$JW55,0)))</f>
        <v/>
      </c>
      <c r="KD55" s="309" t="str" cm="1">
        <f t="array" aca="1" ref="KD55" ca="1">IF(OR(KC55="",KC55&gt;=$JW$23),"",INDEX(INDIRECT(ADDRESS(ROW($JR$23),KC55+1)):$JW$23,,MATCH(KA55,INDIRECT(ADDRESS(ROW(),KC55+1)):$JW55,0)))</f>
        <v/>
      </c>
      <c r="KE55" s="309" t="str">
        <f t="shared" ca="1" si="182"/>
        <v>c</v>
      </c>
      <c r="KF55" s="309" t="str" cm="1">
        <f t="array" aca="1" ref="KF55" ca="1">IF(OR(KE55="b",KE55="c"),"",INDEX($JR$23:$JW$23,,MATCH(KE55,$JR55:$JW55,0)))</f>
        <v/>
      </c>
      <c r="KG55" s="309" t="str" cm="1">
        <f t="array" aca="1" ref="KG55" ca="1">IF(OR(KF55="",KF55&gt;=$JW$23),"",INDEX(INDIRECT(ADDRESS(ROW($JR$23),KF55+1)):$JW$23,,MATCH(KE55,INDIRECT(ADDRESS(ROW(),KF55+1)):$JW55,0)))</f>
        <v/>
      </c>
      <c r="KH55" s="309" t="str">
        <f t="shared" ca="1" si="72"/>
        <v/>
      </c>
      <c r="KI55" s="309" t="str">
        <f t="shared" ca="1" si="183"/>
        <v>e</v>
      </c>
      <c r="KJ55" s="309" t="str">
        <f t="shared" ca="1" si="73"/>
        <v/>
      </c>
      <c r="KK55" s="309" t="str" cm="1">
        <f t="array" aca="1" ref="KK55" ca="1">IF(OR(KI55="d",KI55="e"),"",INDEX($JR$23:$JW$23,,MATCH(KI55,$JR55:$JW55,0)))</f>
        <v/>
      </c>
      <c r="KL55" s="309" t="str" cm="1">
        <f t="array" aca="1" ref="KL55" ca="1">IF(OR(KK55="",KK55&gt;=$JW$23),"",INDEX(INDIRECT(ADDRESS(ROW($JR$23),KK55+1)):$JW$23,,MATCH(KI55,INDIRECT(ADDRESS(ROW(),KK55+1)):$JW55,0)))</f>
        <v/>
      </c>
      <c r="KM55" s="309" t="str" cm="1">
        <f t="array" aca="1" ref="KM55" ca="1">IFERROR(IF(ISNUMBER(KB55),KB55,IF(ISNUMBER(KF55),KF55,IF(ISNUMBER(KJ55),KJ55,INDEX($JR$23:$JW$23,,MATCH(JX55,$JR55:$JW55,0))))),"x1")</f>
        <v>x1</v>
      </c>
      <c r="KN55" s="309" t="str" cm="1">
        <f t="array" aca="1" ref="KN55" ca="1">IFERROR(IF(ISNUMBER(KC55),KC55,IF(ISNUMBER(KG55),KG55,IF(ISNUMBER(KK55),KK55,INDEX($JR$23:$JW$23,,MATCH(JY55,$JR55:$JW55,0))))),IF(KM55="x1","x2","x1"))</f>
        <v>x2</v>
      </c>
      <c r="KO55" s="309" t="str" cm="1">
        <f t="array" aca="1" ref="KO55" ca="1">IFERROR(IF(ISNUMBER(KD55),KD55,IF(ISNUMBER(KH55),KH55,IF(ISNUMBER(KL55),KL55,INDEX($JR$23:$JW$23,,MATCH(JZ55,$JR55:$JW55,0))))),IF(KN55="x1","x2",IF(KN55="x2","x3","x1")))</f>
        <v>x3</v>
      </c>
      <c r="KP55" s="97" t="str" cm="1">
        <f t="array" aca="1" ref="KP55" ca="1">IF(OR(INDIRECT(KP$3)=$A$2,INDIRECT(KP$3)=$A$3),COLUMN(),"")</f>
        <v/>
      </c>
      <c r="KQ55" s="97" t="str" cm="1">
        <f t="array" aca="1" ref="KQ55" ca="1">IF(OR(INDIRECT(KQ$3)=$A$2,INDIRECT(KQ$3)=$A$3),COLUMN(),"")</f>
        <v/>
      </c>
      <c r="KR55" s="97" t="str" cm="1">
        <f t="array" aca="1" ref="KR55" ca="1">IF(OR(INDIRECT(KR$3)=$A$2,INDIRECT(KR$3)=$A$3),COLUMN(),"")</f>
        <v/>
      </c>
      <c r="KS55" s="97" t="str" cm="1">
        <f t="array" aca="1" ref="KS55" ca="1">IF(OR(INDIRECT(KS$3)=$A$2,INDIRECT(KS$3)=$A$3),COLUMN(),"")</f>
        <v/>
      </c>
      <c r="KT55" s="97" t="str" cm="1">
        <f t="array" aca="1" ref="KT55" ca="1">IF(OR(INDIRECT(KT$3)=$A$2,INDIRECT(KT$3)=$A$3),COLUMN(),"")</f>
        <v/>
      </c>
      <c r="KU55" s="97" t="str" cm="1">
        <f t="array" aca="1" ref="KU55" ca="1">IF(OR(INDIRECT(KU$3)=$A$2,INDIRECT(KU$3)=$A$3),COLUMN(),"")</f>
        <v/>
      </c>
      <c r="KV55" s="97" t="str" cm="1">
        <f t="array" aca="1" ref="KV55" ca="1">IF(AND(ISNUMBER(INDIRECT(KV$3)),INDIRECT(KV$3)=0),COLUMN(),"")</f>
        <v/>
      </c>
      <c r="KW55" s="97" t="str" cm="1">
        <f t="array" aca="1" ref="KW55" ca="1">IF(AND(ISNUMBER(INDIRECT(KW$3)),INDIRECT(KW$3)=0),COLUMN(),"")</f>
        <v/>
      </c>
      <c r="KX55" s="97" t="str" cm="1">
        <f t="array" aca="1" ref="KX55" ca="1">IF(AND(ISNUMBER(INDIRECT(KX$3)),INDIRECT(KX$3)=0),COLUMN(),"")</f>
        <v/>
      </c>
      <c r="KY55" s="97" t="str" cm="1">
        <f t="array" aca="1" ref="KY55" ca="1">IF(AND(ISNUMBER(INDIRECT(KY$3)),INDIRECT(KY$3)=0),COLUMN(),"")</f>
        <v/>
      </c>
      <c r="KZ55" s="97" t="str" cm="1">
        <f t="array" aca="1" ref="KZ55" ca="1">IF(AND(ISNUMBER(INDIRECT(KZ$3)),INDIRECT(KZ$3)=0),COLUMN(),"")</f>
        <v/>
      </c>
      <c r="LA55" s="97" t="str" cm="1">
        <f t="array" aca="1" ref="LA55" ca="1">IF(AND(ISNUMBER(INDIRECT(LA$3)),INDIRECT(LA$3)=0),COLUMN(),"")</f>
        <v/>
      </c>
      <c r="LB55" s="97" t="str">
        <f t="shared" ca="1" si="184"/>
        <v>x1</v>
      </c>
      <c r="LC55" s="97" t="str">
        <f t="shared" ca="1" si="185"/>
        <v>x2</v>
      </c>
      <c r="LD55" s="97" t="str">
        <f t="shared" ca="1" si="186"/>
        <v>x3</v>
      </c>
      <c r="LE55" s="97" t="str">
        <f ca="1">IFERROR(IF(ISNUMBER(LB55),LB55,SMALL($KV55:$LA55,VALUE(RIGHT(LB55,1)))),Stammdaten!$CA$17)</f>
        <v>Erstes Gerät nicht durchgeführt</v>
      </c>
      <c r="LF55" s="97" t="str">
        <f ca="1">IFERROR(IF(ISNUMBER(LC55),LC55,SMALL($KV55:$LA55,VALUE(RIGHT(LC55,1)))),Stammdaten!$CA$18)</f>
        <v>Zweites Gerät nicht durchgeführt</v>
      </c>
      <c r="LG55" s="97" t="str">
        <f ca="1">IFERROR(IF(ISNUMBER(LD55),LD55,SMALL($KV55:$LA55,VALUE(RIGHT(LD55,1)))),Stammdaten!$CA$19)</f>
        <v>Drittes Gerät nicht durchgeführt</v>
      </c>
      <c r="LH55" s="91" t="str" cm="1">
        <f t="array" aca="1" ref="LH55" ca="1">IFERROR(INDIRECT(ADDRESS(ROW($JR$5),LE55)),LE55)</f>
        <v>Erstes Gerät nicht durchgeführt</v>
      </c>
      <c r="LI55" s="97" t="str">
        <f t="shared" ca="1" si="187"/>
        <v/>
      </c>
      <c r="LJ55" s="97" t="str" cm="1">
        <f t="array" aca="1" ref="LJ55" ca="1">IFERROR(IF(INDIRECT(INDEX(INDIRECT(LJ$5),MATCH(LH55,INDIRECT(LJ$4),0)))&lt;&gt;"",INDEX(INDIRECT(LJ$5),MATCH(LH55,INDIRECT(LJ$4),0)),INDEX(INDIRECT(LJ$6),MATCH(LH55,INDIRECT(LJ$4),0))),"")</f>
        <v/>
      </c>
      <c r="LK55" s="97" t="str">
        <f t="shared" ca="1" si="188"/>
        <v/>
      </c>
      <c r="LL55" s="97" t="str" cm="1">
        <f t="array" aca="1" ref="LL55" ca="1">IFERROR(INDIRECT(LJ55),"")</f>
        <v/>
      </c>
      <c r="LM55" s="97" t="str">
        <f ca="1">IF(LL55="","",IF(AND(LI55=Stammdaten!$BX$20,LK55="0",LL55=1),SUBSTITUTE(TEXT(LL55,LK55)&amp;" "&amp;LEFT(LI55,LEN(LI55)-1),".",","),SUBSTITUTE(TEXT(LL55,LK55)&amp;" "&amp;LI55,".",",")))</f>
        <v/>
      </c>
      <c r="LN55" s="97" t="str">
        <f t="shared" ca="1" si="74"/>
        <v/>
      </c>
      <c r="LO55" s="97" t="str" cm="1">
        <f t="array" aca="1" ref="LO55" ca="1">IFERROR(LEFT(INDIRECT(LN55),1)&amp;"]","")</f>
        <v/>
      </c>
      <c r="LP55" s="97" t="str">
        <f t="shared" ca="1" si="75"/>
        <v/>
      </c>
      <c r="LQ55" s="97" t="str">
        <f ca="1">IFERROR(LEFT(LH55,FIND(Stammdaten!$CA$4,LH55,1)-2),IFERROR(LEFT(LH55,FIND(Stammdaten!$CC$3,LH55,1)-2),LH55))</f>
        <v>Erstes Gerät</v>
      </c>
      <c r="LR55" s="97" t="str">
        <f ca="1">IF(NOT(ISERROR(FIND(Stammdaten!$CA$4,LH55,1))),Stammdaten!$CA$4,IF(LS55&lt;&gt;Stammdaten!$CC$3,LP55,""))</f>
        <v>nicht durchgeführt</v>
      </c>
      <c r="LS55" s="91" t="str">
        <f ca="1">IF(LL55=$A$2,Stammdaten!$CC$3,LM55)</f>
        <v/>
      </c>
      <c r="LT55" s="91" t="str" cm="1">
        <f t="array" aca="1" ref="LT55" ca="1">IFERROR(INDIRECT(ADDRESS(ROW($JR$5),LF55)),LF55)</f>
        <v>Zweites Gerät nicht durchgeführt</v>
      </c>
      <c r="LU55" s="97" t="str">
        <f t="shared" ca="1" si="189"/>
        <v/>
      </c>
      <c r="LV55" s="97" t="str" cm="1">
        <f t="array" aca="1" ref="LV55" ca="1">IFERROR(IF(INDIRECT(INDEX(INDIRECT(LV$5),MATCH(LT55,INDIRECT(LV$4),0)))&lt;&gt;"",INDEX(INDIRECT(LV$5),MATCH(LT55,INDIRECT(LV$4),0)),INDEX(INDIRECT(LV$6),MATCH(LT55,INDIRECT(LV$4),0))),"")</f>
        <v/>
      </c>
      <c r="LW55" s="97" t="str">
        <f t="shared" ca="1" si="190"/>
        <v/>
      </c>
      <c r="LX55" s="97" t="str" cm="1">
        <f t="array" aca="1" ref="LX55" ca="1">IFERROR(INDIRECT(LV55),"")</f>
        <v/>
      </c>
      <c r="LY55" s="97" t="str">
        <f ca="1">IF(LX55="","",IF(AND(LU55=Stammdaten!$BX$20,LW55="0",LX55=1),SUBSTITUTE(TEXT(LX55,LW55)&amp;" "&amp;LEFT(LU55,LEN(LU55)-1),".",","),SUBSTITUTE(TEXT(LX55,LW55)&amp;" "&amp;LU55,".",",")))</f>
        <v/>
      </c>
      <c r="LZ55" s="97" t="str">
        <f t="shared" ca="1" si="76"/>
        <v/>
      </c>
      <c r="MA55" s="97" t="str" cm="1">
        <f t="array" aca="1" ref="MA55" ca="1">IFERROR(LEFT(INDIRECT(LZ55),1)&amp;"]","")</f>
        <v/>
      </c>
      <c r="MB55" s="97" t="str">
        <f t="shared" ca="1" si="77"/>
        <v/>
      </c>
      <c r="MC55" s="97" t="str">
        <f ca="1">IFERROR(LEFT(LT55,FIND(Stammdaten!$CA$4,LT55,1)-2),IFERROR(LEFT(LT55,FIND(Stammdaten!$CC$3,LT55,1)-2),LT55))</f>
        <v>Zweites Gerät</v>
      </c>
      <c r="MD55" s="97" t="str">
        <f ca="1">IF(NOT(ISERROR(FIND(Stammdaten!$CA$4,LT55,1))),Stammdaten!$CA$4,IF(ME55&lt;&gt;Stammdaten!$CC$3,MB55,""))</f>
        <v>nicht durchgeführt</v>
      </c>
      <c r="ME55" s="91" t="str">
        <f ca="1">IF(LX55=$A$2,Stammdaten!$CC$3,LY55)</f>
        <v/>
      </c>
      <c r="MF55" s="91" t="str" cm="1">
        <f t="array" aca="1" ref="MF55" ca="1">IFERROR(INDIRECT(ADDRESS(ROW($JR$5),LG55)),LG55)</f>
        <v>Drittes Gerät nicht durchgeführt</v>
      </c>
      <c r="MG55" s="97" t="str">
        <f t="shared" ca="1" si="191"/>
        <v/>
      </c>
      <c r="MH55" s="97" t="str" cm="1">
        <f t="array" aca="1" ref="MH55" ca="1">IFERROR(IF(INDIRECT(INDEX(INDIRECT(MH$5),MATCH(MF55,INDIRECT(MH$4),0)))&lt;&gt;"",INDEX(INDIRECT(MH$5),MATCH(MF55,INDIRECT(MH$4),0)),INDEX(INDIRECT(MH$6),MATCH(MF55,INDIRECT(MH$4),0))),"")</f>
        <v/>
      </c>
      <c r="MI55" s="97" t="str">
        <f t="shared" ca="1" si="192"/>
        <v/>
      </c>
      <c r="MJ55" s="97" t="str" cm="1">
        <f t="array" aca="1" ref="MJ55" ca="1">IFERROR(INDIRECT(MH55),"")</f>
        <v/>
      </c>
      <c r="MK55" s="97" t="str">
        <f ca="1">IF(MJ55="","",IF(AND(MG55=Stammdaten!$BX$20,MI55="0",MJ55=1),SUBSTITUTE(TEXT(MJ55,MI55)&amp;" "&amp;LEFT(MG55,LEN(MG55)-1),".",","),SUBSTITUTE(TEXT(MJ55,MI55)&amp;" "&amp;MG55,".",",")))</f>
        <v/>
      </c>
      <c r="ML55" s="97" t="str">
        <f t="shared" ca="1" si="78"/>
        <v/>
      </c>
      <c r="MM55" s="97" t="str" cm="1">
        <f t="array" aca="1" ref="MM55" ca="1">IFERROR(LEFT(INDIRECT(ML55),1)&amp;"]","")</f>
        <v/>
      </c>
      <c r="MN55" s="97" t="str">
        <f t="shared" ca="1" si="79"/>
        <v/>
      </c>
      <c r="MO55" s="97" t="str">
        <f ca="1">IFERROR(LEFT(MF55,FIND(Stammdaten!$CA$4,MF55,1)-2),IFERROR(LEFT(MF55,FIND(Stammdaten!$CC$3,MF55,1)-2),MF55))</f>
        <v>Drittes Gerät</v>
      </c>
      <c r="MP55" s="97" t="str">
        <f ca="1">IF(NOT(ISERROR(FIND(Stammdaten!$CA$4,MF55,1))),Stammdaten!$CA$4,IF(MQ55&lt;&gt;Stammdaten!$CC$3,MN55,""))</f>
        <v>nicht durchgeführt</v>
      </c>
      <c r="MQ55" s="91" t="str">
        <f ca="1">IF(MJ55=$A$2,Stammdaten!$CC$3,MK55)</f>
        <v/>
      </c>
      <c r="MR55" s="97">
        <f t="shared" ca="1" si="80"/>
        <v>0</v>
      </c>
      <c r="MS55" s="108">
        <f t="shared" ca="1" si="193"/>
        <v>0</v>
      </c>
      <c r="MT55" s="108">
        <f t="shared" ca="1" si="194"/>
        <v>0</v>
      </c>
      <c r="MU55" s="108">
        <f t="shared" ca="1" si="195"/>
        <v>0</v>
      </c>
      <c r="MV55" s="108" t="str">
        <f t="shared" ca="1" si="196"/>
        <v/>
      </c>
      <c r="MW55" s="97" t="str">
        <f ca="1">IF(MV55="",Stammdaten!$BZ$1,IF(AND(MS55+MT55=0,MU55&gt;=MV$25),$A$3,MR55))</f>
        <v>Zu wenige Werte</v>
      </c>
      <c r="MX55" s="97"/>
      <c r="MY55" s="91" t="str">
        <f t="shared" ca="1" si="81"/>
        <v/>
      </c>
      <c r="MZ55" s="96" t="str">
        <f>LEFT(Geschlecht[[#This Row],[Geschlecht (Skala)]],1)&amp;$MZ$27</f>
        <v>2</v>
      </c>
      <c r="NA55" s="96" t="str">
        <f t="shared" ca="1" si="82"/>
        <v>Geräteturnen_2[Resultat]</v>
      </c>
      <c r="NB55" s="97" t="str" cm="1">
        <f t="array" aca="1" ref="NB55" ca="1">IF(OR($MW55="",$MW55=Stammdaten!$BZ$1),"",IF($MW55=0,0,IF(OR($MW55=$A$2,$MW55=$A$3),$A$3,IFERROR(INDEX(INDIRECT(NA55),MATCH(INDIRECT(MY$3),INDIRECT(NA55),NA$25)),IFERROR(IF(NA$25=-1,MAX(INDIRECT(NA55)),IF(NA$25=1,MIN(INDIRECT(NA55)))),"")))))</f>
        <v/>
      </c>
      <c r="ND55" s="91" t="str">
        <f t="shared" ca="1" si="83"/>
        <v>Geräteturnen_2[Note]</v>
      </c>
      <c r="NE55" s="97" t="str" cm="1">
        <f t="array" aca="1" ref="NE55" ca="1">IFERROR(INDEX(INDIRECT(ND55),MATCH(INDIRECT(MY$5),INDIRECT(NA55),0)),IF(INDIRECT(MY$5)=0,1,""))</f>
        <v/>
      </c>
      <c r="NF55" s="97"/>
      <c r="NG55" s="307"/>
      <c r="NH55" s="96" t="str">
        <f>IFERROR(IFERROR(SUBSTITUTE(ParkourResultat[[#This Row],[Eingabe]],".",",")*1,SUBSTITUTE(ParkourResultat[[#This Row],[Eingabe]],",",".")*1),"")</f>
        <v/>
      </c>
      <c r="NI55" s="96" t="e">
        <f>INT(ParkourResultat[[#This Row],[Resultat]])=ParkourResultat[[#This Row],[Resultat]]</f>
        <v>#VALUE!</v>
      </c>
      <c r="NJ55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5" s="96"/>
      <c r="NL55" s="91" t="str" cm="1">
        <f t="array" aca="1" ref="NL55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5" s="96" t="str">
        <f ca="1">LEFT(Geschlecht[[#This Row],[Geschlecht (Skala)]],1)&amp;NR$4</f>
        <v>2</v>
      </c>
      <c r="NN55" s="96" t="str">
        <f t="shared" ca="1" si="84"/>
        <v>Parkour_2[Resultat]</v>
      </c>
      <c r="NO55" s="97" t="str" cm="1">
        <f t="array" aca="1" ref="NO55" ca="1">IF(INDIRECT(NL$1)="","",IF(INDIRECT(NL$2)=0,0,IF(OR(INDIRECT(NL$1)=$A$2,INDIRECT(NL$1)=$A$3),$A$3,IFERROR(INDEX(INDIRECT(NN55),MATCH(INDIRECT(NL$3),INDIRECT(NN55),NN$25)),IFERROR(IF(NN$25=-1,MAX(INDIRECT(NN55)),IF(NN$25=1,MIN(INDIRECT(NN55)))),"")))))</f>
        <v/>
      </c>
      <c r="NQ55" s="91" t="str">
        <f t="shared" ca="1" si="85"/>
        <v>Parkour_2[Note]</v>
      </c>
      <c r="NR55" s="97" t="str" cm="1">
        <f t="array" aca="1" ref="NR55" ca="1">IFERROR(INDEX(INDIRECT(NQ55),MATCH(INDIRECT(NL$5),INDIRECT(NN55),0)),IF(INDIRECT(NL$5)=0,1,""))</f>
        <v/>
      </c>
      <c r="NS55" s="97"/>
      <c r="NT55" s="97" t="str" cm="1">
        <f t="array" aca="1" ref="NT55" ca="1">INDIRECT(NT$5)</f>
        <v/>
      </c>
      <c r="NU55" s="97" t="str" cm="1">
        <f t="array" aca="1" ref="NU55" ca="1">INDIRECT(NU$5)</f>
        <v/>
      </c>
      <c r="NV55" s="97" t="str" cm="1">
        <f t="array" aca="1" ref="NV55" ca="1">INDIRECT(NV$5)</f>
        <v/>
      </c>
      <c r="NW55" s="97" t="str" cm="1">
        <f t="array" aca="1" ref="NW55" ca="1">INDIRECT(NW$5)</f>
        <v/>
      </c>
      <c r="NX55" s="97" t="str">
        <f t="shared" ca="1" si="86"/>
        <v>Parkour nicht durchgeführt</v>
      </c>
      <c r="NY55" s="97" t="str">
        <f t="shared" ca="1" si="197"/>
        <v/>
      </c>
      <c r="NZ55" s="97" t="str" cm="1">
        <f t="array" aca="1" ref="NZ55" ca="1">IFERROR(IF(INDIRECT(INDEX(INDIRECT(NZ$5),MATCH(NX55,INDIRECT(NZ$4),0)))&lt;&gt;"",INDEX(INDIRECT(NZ$5),MATCH(NX55,INDIRECT(NZ$4),0)),INDEX(INDIRECT(NZ$6),MATCH(NX55,INDIRECT(NZ$4),0))),"")</f>
        <v/>
      </c>
      <c r="OA55" s="97" t="str">
        <f t="shared" ca="1" si="198"/>
        <v/>
      </c>
      <c r="OB55" s="97" t="str" cm="1">
        <f t="array" aca="1" ref="OB55" ca="1">IFERROR(INDIRECT(NZ55),IF(NOT(ISERROR(FIND(Stammdaten!$CC$3,NX55,1))),$A$2,""))</f>
        <v/>
      </c>
      <c r="OC55" s="97" t="str">
        <f ca="1">IF(OB55="","",IF(AND(NY55=Stammdaten!$BX$20,OA55="0",OB55=1),SUBSTITUTE(TEXT(OB55,OA55)&amp;" "&amp;LEFT(NY55,LEN(NY55)-1),".",","),SUBSTITUTE(TEXT(OB55,OA55)&amp;" "&amp;NY55,".",",")))</f>
        <v/>
      </c>
      <c r="OD55" s="97" t="str">
        <f t="shared" ca="1" si="87"/>
        <v/>
      </c>
      <c r="OE55" s="97" t="str" cm="1">
        <f t="array" aca="1" ref="OE55" ca="1">IFERROR(LEFT(INDIRECT(OD55),1)&amp;"]","")</f>
        <v/>
      </c>
      <c r="OF55" s="97" t="str">
        <f t="shared" ca="1" si="88"/>
        <v/>
      </c>
      <c r="OG55" s="97" t="str">
        <f ca="1">IFERROR(LEFT(NX55,FIND(Stammdaten!$CA$4,NX55,1)-2),IFERROR(LEFT(NX55,FIND(Stammdaten!$CC$3,NX55,1)-2),NX55))</f>
        <v>Parkour</v>
      </c>
      <c r="OH55" s="97" t="str">
        <f ca="1">IF(NOT(ISERROR(FIND(Stammdaten!$CA$4,NX55,1))),Stammdaten!$CA$4,IF(OI55&lt;&gt;Stammdaten!$CC$3,OF55,""))</f>
        <v>nicht durchgeführt</v>
      </c>
      <c r="OI55" s="91" t="str">
        <f ca="1">IF(OB55=$A$2,Stammdaten!$CC$3,OC55)</f>
        <v/>
      </c>
      <c r="OJ55" s="97" t="str">
        <f t="shared" ca="1" si="89"/>
        <v/>
      </c>
      <c r="OK55" s="97" t="str">
        <f t="shared" ca="1" si="90"/>
        <v/>
      </c>
      <c r="OL55" s="97">
        <f t="shared" ca="1" si="199"/>
        <v>0</v>
      </c>
      <c r="OM55" s="108">
        <f t="shared" ca="1" si="91"/>
        <v>0</v>
      </c>
      <c r="ON55" s="108">
        <f t="shared" ca="1" si="92"/>
        <v>0</v>
      </c>
      <c r="OO55" s="108" t="str">
        <f t="shared" ca="1" si="200"/>
        <v/>
      </c>
      <c r="OP55" s="97" t="str">
        <f ca="1">IF(OO55="",Stammdaten!$BZ$1,IF(AND(OM55=0,ON55&gt;=OO$25),$A$3,ROUND(SUM(OL55/OO55)/OP$25,0)*OP$25))</f>
        <v>Zu wenige Werte</v>
      </c>
      <c r="OQ55" s="108">
        <f t="shared" ca="1" si="201"/>
        <v>6</v>
      </c>
      <c r="OR55" s="97" t="str">
        <f t="shared" ca="1" si="202"/>
        <v/>
      </c>
      <c r="OS55" s="97" t="str">
        <f t="shared" ca="1" si="203"/>
        <v/>
      </c>
      <c r="OT55" s="97" t="str">
        <f t="shared" ca="1" si="204"/>
        <v/>
      </c>
      <c r="OU55" s="97" t="str">
        <f t="shared" ca="1" si="205"/>
        <v>g</v>
      </c>
      <c r="OV55" s="97" t="str">
        <f t="shared" ca="1" si="206"/>
        <v/>
      </c>
      <c r="OW55" s="97">
        <f t="shared" ca="1" si="207"/>
        <v>1</v>
      </c>
      <c r="OX55" s="97" t="str">
        <f ca="1">IF(OR(Geschlecht[[#This Row],[Geschlecht (Skala)]]="",NOT(ISNUMBER(OO55))),"",OW55)</f>
        <v/>
      </c>
      <c r="OY55" s="97" t="str">
        <f t="shared" ca="1" si="208"/>
        <v/>
      </c>
      <c r="OZ55" s="97"/>
      <c r="PA55" s="308" t="str">
        <f t="shared" ca="1" si="209"/>
        <v>Zu wenige Werte</v>
      </c>
      <c r="PB55" s="97"/>
      <c r="PC55" s="307"/>
      <c r="PD55" s="96" t="str">
        <f>IFERROR(IFERROR(SUBSTITUTE(TanzenResultat[[#This Row],[Eingabe]],".",",")*1,SUBSTITUTE(TanzenResultat[[#This Row],[Eingabe]],",",".")*1),"")</f>
        <v/>
      </c>
      <c r="PE55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5" s="96"/>
      <c r="PG55" s="91" t="str" cm="1">
        <f t="array" aca="1" ref="PG55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5" s="96" t="str">
        <f ca="1">LEFT(Geschlecht[[#This Row],[Geschlecht (Skala)]],1)&amp;PM$4</f>
        <v>2</v>
      </c>
      <c r="PI55" s="96" t="str">
        <f t="shared" ca="1" si="93"/>
        <v>Tanzen_2[Resultat]</v>
      </c>
      <c r="PJ55" s="97" t="str" cm="1">
        <f t="array" aca="1" ref="PJ55" ca="1">IF(INDIRECT(PG$1)="","",IF(INDIRECT(PG$2)=0,0,IF(OR(INDIRECT(PG$1)=$A$2,INDIRECT(PG$1)=$A$3),$A$3,IFERROR(INDEX(INDIRECT(PI55),MATCH(INDIRECT(PG$3),INDIRECT(PI55),PI$25)),IFERROR(IF(PI$25=-1,MAX(INDIRECT(PI55)),IF(PI$25=1,MIN(INDIRECT(PI55)))),"")))))</f>
        <v/>
      </c>
      <c r="PL55" s="91" t="str">
        <f t="shared" ca="1" si="94"/>
        <v>Tanzen_2[Note]</v>
      </c>
      <c r="PM55" s="97" t="str" cm="1">
        <f t="array" aca="1" ref="PM55" ca="1">IFERROR(INDEX(INDIRECT(PL55),MATCH(INDIRECT(PG$5),INDIRECT(PI55),0)),IF(INDIRECT(PG$5)=0,1,""))</f>
        <v/>
      </c>
      <c r="PN55" s="97"/>
      <c r="PO55" s="307"/>
      <c r="PP55" s="96" t="str">
        <f>IFERROR(IFERROR(SUBSTITUTE(RopeSkippingResultat[[#This Row],[Eingabe]],".",",")*1,SUBSTITUTE(RopeSkippingResultat[[#This Row],[Eingabe]],",",".")*1),"")</f>
        <v/>
      </c>
      <c r="PQ55" s="96" t="e">
        <f>INT(RopeSkippingResultat[[#This Row],[Resultat]])=RopeSkippingResultat[[#This Row],[Resultat]]</f>
        <v>#VALUE!</v>
      </c>
      <c r="PR55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5" s="96"/>
      <c r="PT55" s="91" t="str" cm="1">
        <f t="array" aca="1" ref="PT55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5" s="96" t="str">
        <f ca="1">LEFT(Geschlecht[[#This Row],[Geschlecht (Skala)]],1)&amp;PZ$4</f>
        <v>2</v>
      </c>
      <c r="PV55" s="96" t="str">
        <f t="shared" ca="1" si="95"/>
        <v>RopeSkipping_2[Resultat]</v>
      </c>
      <c r="PW55" s="97" t="str" cm="1">
        <f t="array" aca="1" ref="PW55" ca="1">IF(INDIRECT(PT$1)="","",IF(INDIRECT(PT$2)=0,0,IF(OR(INDIRECT(PT$1)=$A$2,INDIRECT(PT$1)=$A$3),$A$3,IFERROR(INDEX(INDIRECT(PV55),MATCH(INDIRECT(PT$3),INDIRECT(PV55),PV$25)),IFERROR(IF(PV$25=-1,MAX(INDIRECT(PV55)),IF(PV$25=1,MIN(INDIRECT(PV55)))),"")))))</f>
        <v/>
      </c>
      <c r="PY55" s="91" t="str">
        <f t="shared" ca="1" si="96"/>
        <v>RopeSkipping_2[Note]</v>
      </c>
      <c r="PZ55" s="97" t="str" cm="1">
        <f t="array" aca="1" ref="PZ55" ca="1">IFERROR(INDEX(INDIRECT(PY55),MATCH(INDIRECT(PT$5),INDIRECT(PV55),0)),IF(INDIRECT(PT$5)=0,1,""))</f>
        <v/>
      </c>
      <c r="QA55" s="97"/>
      <c r="QB55" s="307"/>
      <c r="QC55" s="96" t="str">
        <f>IFERROR(IFERROR(SUBSTITUTE(AerobicResultat[[#This Row],[Eingabe]],".",",")*1,SUBSTITUTE(AerobicResultat[[#This Row],[Eingabe]],",",".")*1),"")</f>
        <v/>
      </c>
      <c r="QD55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5" s="96"/>
      <c r="QF55" s="91" t="str" cm="1">
        <f t="array" aca="1" ref="QF55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5" s="96" t="str">
        <f ca="1">LEFT(Geschlecht[[#This Row],[Geschlecht (Skala)]],1)&amp;QL$4</f>
        <v>2</v>
      </c>
      <c r="QH55" s="96" t="str">
        <f t="shared" ca="1" si="97"/>
        <v>Aerobic_2[Resultat]</v>
      </c>
      <c r="QI55" s="97" t="str" cm="1">
        <f t="array" aca="1" ref="QI55" ca="1">IF(INDIRECT(QF$1)="","",IF(INDIRECT(QF$2)=0,0,IF(OR(INDIRECT(QF$1)=$A$2,INDIRECT(QF$1)=$A$3),$A$3,IFERROR(INDEX(INDIRECT(QH55),MATCH(INDIRECT(QF$3),INDIRECT(QH55),QH$25)),IFERROR(IF(QH$25=-1,MAX(INDIRECT(QH55)),IF(QH$25=1,MIN(INDIRECT(QH55)))),"")))))</f>
        <v/>
      </c>
      <c r="QK55" s="91" t="str">
        <f t="shared" ca="1" si="98"/>
        <v>Aerobic_2[Note]</v>
      </c>
      <c r="QL55" s="97" t="str" cm="1">
        <f t="array" aca="1" ref="QL55" ca="1">IFERROR(INDEX(INDIRECT(QK55),MATCH(INDIRECT(QF$5),INDIRECT(QH55),0)),IF(INDIRECT(QF$5)=0,1,""))</f>
        <v/>
      </c>
      <c r="QM55" s="97"/>
      <c r="QN55" s="97" t="str" cm="1">
        <f t="array" aca="1" ref="QN55" ca="1">INDIRECT(QN$5)</f>
        <v/>
      </c>
      <c r="QO55" s="97" t="str" cm="1">
        <f t="array" aca="1" ref="QO55" ca="1">INDIRECT(QO$5)</f>
        <v/>
      </c>
      <c r="QP55" s="97" t="str" cm="1">
        <f t="array" aca="1" ref="QP55" ca="1">INDIRECT(QP$5)</f>
        <v/>
      </c>
      <c r="QQ55" s="97" t="str" cm="1">
        <f t="array" aca="1" ref="QQ55" ca="1">INDIRECT(QQ$5)</f>
        <v/>
      </c>
      <c r="QR55" s="97" t="str" cm="1">
        <f t="array" aca="1" ref="QR55" ca="1">INDIRECT(QR$5)</f>
        <v/>
      </c>
      <c r="QS55" s="97" t="str" cm="1">
        <f t="array" aca="1" ref="QS55" ca="1">INDIRECT(QS$5)</f>
        <v/>
      </c>
      <c r="QT55" s="97" t="str">
        <f t="shared" ca="1" si="99"/>
        <v>Darstellen und Tanzen nicht durchgeführt</v>
      </c>
      <c r="QU55" s="108">
        <f t="shared" ca="1" si="100"/>
        <v>0</v>
      </c>
      <c r="QV55" s="108">
        <f t="shared" ca="1" si="101"/>
        <v>0</v>
      </c>
      <c r="QW55" s="108" t="str">
        <f t="shared" ca="1" si="210"/>
        <v/>
      </c>
      <c r="QX55" s="97" t="str">
        <f t="shared" ca="1" si="211"/>
        <v>Darstellen und Tanzen nicht durchgeführt</v>
      </c>
      <c r="QY55" s="97" t="str">
        <f t="shared" ca="1" si="212"/>
        <v/>
      </c>
      <c r="QZ55" s="97" t="str" cm="1">
        <f t="array" aca="1" ref="QZ55" ca="1">IFERROR(IF(INDIRECT(INDEX(INDIRECT(QZ$5),MATCH(QX55,INDIRECT(QZ$4),0)))&lt;&gt;"",INDEX(INDIRECT(QZ$5),MATCH(QX55,INDIRECT(QZ$4),0)),INDEX(INDIRECT(QZ$6),MATCH(QX55,INDIRECT(QZ$4),0))),"")</f>
        <v/>
      </c>
      <c r="RA55" s="97" t="str">
        <f t="shared" ca="1" si="213"/>
        <v/>
      </c>
      <c r="RB55" s="97" t="str" cm="1">
        <f t="array" aca="1" ref="RB55" ca="1">IFERROR(INDIRECT(QZ55),IF(NOT(ISERROR(FIND(Stammdaten!$CC$3,QX55,1))),$A$2,""))</f>
        <v/>
      </c>
      <c r="RC55" s="97" t="str">
        <f ca="1">IF(RB55="","",IF(AND(QY55=Stammdaten!$BX$20,RA55="0",RB55=1),SUBSTITUTE(TEXT(RB55,RA55)&amp;" "&amp;LEFT(QY55,LEN(QY55)-1),".",","),SUBSTITUTE(TEXT(RB55,RA55)&amp;" "&amp;QY55,".",",")))</f>
        <v/>
      </c>
      <c r="RD55" s="97" t="str">
        <f t="shared" ca="1" si="102"/>
        <v/>
      </c>
      <c r="RE55" s="97" t="str" cm="1">
        <f t="array" aca="1" ref="RE55" ca="1">IFERROR(LEFT(INDIRECT(RD55),1)&amp;"]","")</f>
        <v/>
      </c>
      <c r="RF55" s="97" t="str">
        <f t="shared" ca="1" si="103"/>
        <v/>
      </c>
      <c r="RG55" s="97" t="str">
        <f ca="1">IFERROR(LEFT(QX55,FIND(Stammdaten!$CA$4,QX55,1)-2),IFERROR(LEFT(QX55,FIND(Stammdaten!$CC$3,QX55,1)-2),QX55))</f>
        <v>Darstellen und Tanzen</v>
      </c>
      <c r="RH55" s="97" t="str">
        <f ca="1">IF(NOT(ISERROR(FIND(Stammdaten!$CA$4,QX55,1))),Stammdaten!$CA$4,IF(RI55&lt;&gt;Stammdaten!$CC$3,RF55,""))</f>
        <v>nicht durchgeführt</v>
      </c>
      <c r="RI55" s="91" t="str">
        <f ca="1">IF(RB55=$A$2,Stammdaten!$CC$3,RC55)</f>
        <v/>
      </c>
      <c r="RJ55" s="108">
        <f t="shared" ca="1" si="214"/>
        <v>6</v>
      </c>
      <c r="RK55" s="97"/>
      <c r="RL55" s="308" t="str">
        <f ca="1">IF(QT55=$QT$4,Stammdaten!$BZ$1,IF(QT55=$QT$5,$A$3,QT55))</f>
        <v>Zu wenige Werte</v>
      </c>
      <c r="RM55" s="97"/>
      <c r="RN55" s="307"/>
      <c r="RO55" s="96" t="str">
        <f>IFERROR(IFERROR(SUBSTITUTE(BasketballResultat[[#This Row],[Eingabe]],".",",")*1,SUBSTITUTE(BasketballResultat[[#This Row],[Eingabe]],",",".")*1),"")</f>
        <v/>
      </c>
      <c r="RP55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5" s="96"/>
      <c r="RR55" s="91" t="str" cm="1">
        <f t="array" aca="1" ref="RR55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5" s="96" t="str">
        <f ca="1">LEFT(Geschlecht[[#This Row],[Geschlecht (Skala)]],1)&amp;RX$4</f>
        <v>2</v>
      </c>
      <c r="RT55" s="96" t="str">
        <f t="shared" ca="1" si="104"/>
        <v>Basketball_2[Resultat]</v>
      </c>
      <c r="RU55" s="97" t="str" cm="1">
        <f t="array" aca="1" ref="RU55" ca="1">IF(INDIRECT(RR$1)="","",IF(INDIRECT(RR$2)=0,0,IF(OR(INDIRECT(RR$1)=$A$2,INDIRECT(RR$1)=$A$3),$A$3,IFERROR(INDEX(INDIRECT(RT55),MATCH(INDIRECT(RR$3),INDIRECT(RT55),RT$25)),IFERROR(IF(RT$25=-1,MAX(INDIRECT(RT55)),IF(RT$25=1,MIN(INDIRECT(RT55)))),"")))))</f>
        <v/>
      </c>
      <c r="RW55" s="91" t="str">
        <f t="shared" ca="1" si="105"/>
        <v>Basketball_2[Note]</v>
      </c>
      <c r="RX55" s="97" t="str" cm="1">
        <f t="array" aca="1" ref="RX55" ca="1">IFERROR(INDEX(INDIRECT(RW55),MATCH(INDIRECT(RR$5),INDIRECT(RT55),0)),IF(INDIRECT(RR$5)=0,1,""))</f>
        <v/>
      </c>
      <c r="RY55" s="97"/>
      <c r="RZ55" s="307"/>
      <c r="SA55" s="96" t="str">
        <f>IFERROR(IFERROR(SUBSTITUTE(FussballResultat[[#This Row],[Eingabe]],".",",")*1,SUBSTITUTE(FussballResultat[[#This Row],[Eingabe]],",",".")*1),"")</f>
        <v/>
      </c>
      <c r="SB55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5" s="96"/>
      <c r="SD55" s="316" t="str" cm="1">
        <f t="array" aca="1" ref="SD55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5" s="96" t="str">
        <f ca="1">LEFT(Geschlecht[[#This Row],[Geschlecht (Skala)]],1)&amp;SJ$4</f>
        <v>2</v>
      </c>
      <c r="SF55" s="96" t="str">
        <f t="shared" ca="1" si="106"/>
        <v>Fussball_2[Resultat]</v>
      </c>
      <c r="SG55" s="97" t="str" cm="1">
        <f t="array" aca="1" ref="SG55" ca="1">IF(INDIRECT(SD$1)="","",IF(INDIRECT(SD$2)=0,0,IF(OR(INDIRECT(SD$1)=$A$2,INDIRECT(SD$1)=$A$3),$A$3,IFERROR(INDEX(INDIRECT(SF55),MATCH(INDIRECT(SD$3),INDIRECT(SF55),SF$25)),IFERROR(IF(SF$25=-1,MAX(INDIRECT(SF55)),IF(SF$25=1,MIN(INDIRECT(SF55)))),"")))))</f>
        <v/>
      </c>
      <c r="SI55" s="91" t="str">
        <f t="shared" ca="1" si="107"/>
        <v>Fussball_2[Note]</v>
      </c>
      <c r="SJ55" s="97" t="str" cm="1">
        <f t="array" aca="1" ref="SJ55" ca="1">IFERROR(INDEX(INDIRECT(SI55),MATCH(INDIRECT(SD$5),INDIRECT(SF55),0)),IF(INDIRECT(SD$5)=0,1,""))</f>
        <v/>
      </c>
      <c r="SK55" s="97"/>
      <c r="SL55" s="307"/>
      <c r="SM55" s="96" t="str">
        <f>IFERROR(IFERROR(SUBSTITUTE(HandballResultat[[#This Row],[Eingabe]],".",",")*1,SUBSTITUTE(HandballResultat[[#This Row],[Eingabe]],",",".")*1),"")</f>
        <v/>
      </c>
      <c r="SN55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5" s="96"/>
      <c r="SP55" s="91" t="str" cm="1">
        <f t="array" aca="1" ref="SP55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5" s="96" t="str">
        <f ca="1">LEFT(Geschlecht[[#This Row],[Geschlecht (Skala)]],1)&amp;SV$4</f>
        <v>2</v>
      </c>
      <c r="SR55" s="96" t="str">
        <f t="shared" ca="1" si="108"/>
        <v>Handball_2[Resultat]</v>
      </c>
      <c r="SS55" s="97" t="str" cm="1">
        <f t="array" aca="1" ref="SS55" ca="1">IF(INDIRECT(SP$1)="","",IF(INDIRECT(SP$2)=0,0,IF(OR(INDIRECT(SP$1)=$A$2,INDIRECT(SP$1)=$A$3),$A$3,IFERROR(INDEX(INDIRECT(SR55),MATCH(INDIRECT(SP$3),INDIRECT(SR55),SR$25)),IFERROR(IF(SR$25=-1,MAX(INDIRECT(SR55)),IF(SR$25=1,MIN(INDIRECT(SR55)))),"")))))</f>
        <v/>
      </c>
      <c r="SU55" s="91" t="str">
        <f t="shared" ca="1" si="109"/>
        <v>Handball_2[Note]</v>
      </c>
      <c r="SV55" s="97" t="str" cm="1">
        <f t="array" aca="1" ref="SV55" ca="1">IFERROR(INDEX(INDIRECT(SU55),MATCH(INDIRECT(SP$5),INDIRECT(SR55),0)),IF(INDIRECT(SP$5)=0,1,""))</f>
        <v/>
      </c>
      <c r="SW55" s="97"/>
      <c r="SX55" s="307"/>
      <c r="SY55" s="96" t="str">
        <f>IFERROR(IFERROR(SUBSTITUTE(UnihockeyResultat[[#This Row],[Eingabe]],".",",")*1,SUBSTITUTE(UnihockeyResultat[[#This Row],[Eingabe]],",",".")*1),"")</f>
        <v/>
      </c>
      <c r="SZ55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5" s="96"/>
      <c r="TB55" s="91" t="str" cm="1">
        <f t="array" aca="1" ref="TB55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5" s="96" t="str">
        <f ca="1">LEFT(Geschlecht[[#This Row],[Geschlecht (Skala)]],1)&amp;TH$4</f>
        <v>2</v>
      </c>
      <c r="TD55" s="96" t="str">
        <f t="shared" ca="1" si="110"/>
        <v>Unihockey_2[Resultat]</v>
      </c>
      <c r="TE55" s="97" t="str" cm="1">
        <f t="array" aca="1" ref="TE55" ca="1">IF(INDIRECT(TB$1)="","",IF(INDIRECT(TB$2)=0,0,IF(OR(INDIRECT(TB$1)=$A$2,INDIRECT(TB$1)=$A$3),$A$3,IFERROR(INDEX(INDIRECT(TD55),MATCH(INDIRECT(TB$3),INDIRECT(TD55),TD$25)),IFERROR(IF(TD$25=-1,MAX(INDIRECT(TD55)),IF(TD$25=1,MIN(INDIRECT(TD55)))),"")))))</f>
        <v/>
      </c>
      <c r="TG55" s="91" t="str">
        <f t="shared" ca="1" si="111"/>
        <v>Unihockey_2[Note]</v>
      </c>
      <c r="TH55" s="97" t="str" cm="1">
        <f t="array" aca="1" ref="TH55" ca="1">IFERROR(INDEX(INDIRECT(TG55),MATCH(INDIRECT(TB$5),INDIRECT(TD55),0)),IF(INDIRECT(TB$5)=0,1,""))</f>
        <v/>
      </c>
      <c r="TI55" s="97"/>
      <c r="TJ55" s="307"/>
      <c r="TK55" s="96" t="str">
        <f>IFERROR(IFERROR(SUBSTITUTE(VolleyballResultat[[#This Row],[Eingabe]],".",",")*1,SUBSTITUTE(VolleyballResultat[[#This Row],[Eingabe]],",",".")*1),"")</f>
        <v/>
      </c>
      <c r="TL55" s="96" t="e">
        <f>INT(VolleyballResultat[[#This Row],[Resultat]])=VolleyballResultat[[#This Row],[Resultat]]</f>
        <v>#VALUE!</v>
      </c>
      <c r="TM55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5" s="96"/>
      <c r="TO55" s="91" t="str" cm="1">
        <f t="array" aca="1" ref="TO55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5" s="96" t="str">
        <f ca="1">LEFT(Geschlecht[[#This Row],[Geschlecht (Skala)]],1)&amp;TU$4</f>
        <v>2</v>
      </c>
      <c r="TQ55" s="96" t="str">
        <f t="shared" ca="1" si="112"/>
        <v>Volleyball_2[Resultat]</v>
      </c>
      <c r="TR55" s="97" t="str" cm="1">
        <f t="array" aca="1" ref="TR55" ca="1">IF(INDIRECT(TO$1)="","",IF(INDIRECT(TO$2)=0,0,IF(OR(INDIRECT(TO$1)=$A$2,INDIRECT(TO$1)=$A$3),$A$3,IFERROR(INDEX(INDIRECT(TQ55),MATCH(INDIRECT(TO$3),INDIRECT(TQ55),TQ$25)),IFERROR(IF(TQ$25=-1,MAX(INDIRECT(TQ55)),IF(TQ$25=1,MIN(INDIRECT(TQ55)))),"")))))</f>
        <v/>
      </c>
      <c r="TT55" s="91" t="str">
        <f t="shared" ca="1" si="113"/>
        <v>Volleyball_2[Note]</v>
      </c>
      <c r="TU55" s="97" t="str" cm="1">
        <f t="array" aca="1" ref="TU55" ca="1">IFERROR(INDEX(INDIRECT(TT55),MATCH(INDIRECT(TO$5),INDIRECT(TQ55),0)),IF(INDIRECT(TO$5)=0,1,""))</f>
        <v/>
      </c>
      <c r="TV55" s="97"/>
      <c r="TW55" s="309" t="str" cm="1">
        <f t="array" aca="1" ref="TW55" ca="1">IF(AND(ISNUMBER(INDIRECT(TW$3)),INDIRECT(TW$3)&gt;1),INDIRECT(TW$3),"")</f>
        <v/>
      </c>
      <c r="TX55" s="309" t="str" cm="1">
        <f t="array" aca="1" ref="TX55" ca="1">IF(AND(ISNUMBER(INDIRECT(TX$3)),INDIRECT(TX$3)&gt;1),INDIRECT(TX$3),"")</f>
        <v/>
      </c>
      <c r="TY55" s="309" t="str" cm="1">
        <f t="array" aca="1" ref="TY55" ca="1">IF(AND(ISNUMBER(INDIRECT(TY$3)),INDIRECT(TY$3)&gt;1),INDIRECT(TY$3),"")</f>
        <v/>
      </c>
      <c r="TZ55" s="309" t="str" cm="1">
        <f t="array" aca="1" ref="TZ55" ca="1">IF(AND(ISNUMBER(INDIRECT(TZ$3)),INDIRECT(TZ$3)&gt;1),INDIRECT(TZ$3),"")</f>
        <v/>
      </c>
      <c r="UA55" s="309" t="str" cm="1">
        <f t="array" aca="1" ref="UA55" ca="1">IF(AND(ISNUMBER(INDIRECT(UA$3)),INDIRECT(UA$3)&gt;1),INDIRECT(UA$3),"")</f>
        <v/>
      </c>
      <c r="UB55" s="309" t="str">
        <f t="shared" ca="1" si="114"/>
        <v>x</v>
      </c>
      <c r="UC55" s="309" t="str">
        <f t="shared" ca="1" si="115"/>
        <v>y</v>
      </c>
      <c r="UD55" s="309" t="str">
        <f t="shared" ca="1" si="116"/>
        <v>z</v>
      </c>
      <c r="UE55" s="309" t="str">
        <f t="shared" ca="1" si="215"/>
        <v>a</v>
      </c>
      <c r="UF55" s="309" t="str" cm="1">
        <f t="array" aca="1" ref="UF55" ca="1">IF(UE55="a","",INDEX($TW$23:$UA$23,,MATCH(UE55,$TW55:$UA55,0)))</f>
        <v/>
      </c>
      <c r="UG55" s="309" t="str" cm="1">
        <f t="array" aca="1" ref="UG55" ca="1">IF(OR(UF55="",UF55&gt;=$UA$23),"",INDEX(INDIRECT(ADDRESS(ROW($TW$23),UF55+1)):$UA$23,,MATCH(UE55,INDIRECT(ADDRESS(ROW(),UF55+1)):$UA55,0)))</f>
        <v/>
      </c>
      <c r="UH55" s="309" t="str" cm="1">
        <f t="array" aca="1" ref="UH55" ca="1">IF(OR(UG55="",UG55&gt;=$UA$23),"",INDEX(INDIRECT(ADDRESS(ROW($TW$23),UG55+1)):$UA$23,,MATCH(UE55,INDIRECT(ADDRESS(ROW(),UG55+1)):$UA55,0)))</f>
        <v/>
      </c>
      <c r="UI55" s="309" t="str">
        <f t="shared" ca="1" si="216"/>
        <v>c</v>
      </c>
      <c r="UJ55" s="309" t="str" cm="1">
        <f t="array" aca="1" ref="UJ55" ca="1">IF(OR(UI55="b",UI55="c"),"",INDEX($TW$23:$UA$23,,MATCH(UI55,$TW55:$UA55,0)))</f>
        <v/>
      </c>
      <c r="UK55" s="309" t="str" cm="1">
        <f t="array" aca="1" ref="UK55" ca="1">IF(OR(UJ55="",UJ55&gt;=$UA$23),"",INDEX(INDIRECT(ADDRESS(ROW($TW$23),UJ55+1)):$UA$23,,MATCH(UI55,INDIRECT(ADDRESS(ROW(),UJ55+1)):$UA55,0)))</f>
        <v/>
      </c>
      <c r="UL55" s="309" t="str">
        <f t="shared" ca="1" si="117"/>
        <v/>
      </c>
      <c r="UM55" s="309" t="str">
        <f t="shared" ca="1" si="217"/>
        <v>e</v>
      </c>
      <c r="UN55" s="309" t="str">
        <f t="shared" ca="1" si="118"/>
        <v/>
      </c>
      <c r="UO55" s="309" t="str" cm="1">
        <f t="array" aca="1" ref="UO55" ca="1">IF(OR(UM55="d",UM55="e"),"",INDEX($TW$23:$UA$23,,MATCH(UM55,$TW55:$UA55,0)))</f>
        <v/>
      </c>
      <c r="UP55" s="309" t="str" cm="1">
        <f t="array" aca="1" ref="UP55" ca="1">IF(OR(UO55="",UO55&gt;=$UA$23),"",INDEX(INDIRECT(ADDRESS(ROW($TW$23),UO55+1)):$UA$23,,MATCH(UM55,INDIRECT(ADDRESS(ROW(),UO55+1)):$UA55,0)))</f>
        <v/>
      </c>
      <c r="UQ55" s="309" t="str" cm="1">
        <f t="array" aca="1" ref="UQ55" ca="1">IFERROR(IF(ISNUMBER(UF55),UF55,IF(ISNUMBER(UJ55),UJ55,IF(ISNUMBER(UN55),UN55,INDEX($TW$23:$UA$23,,MATCH(UB55,$TW55:$UA55,0))))),"x1")</f>
        <v>x1</v>
      </c>
      <c r="UR55" s="309" t="str" cm="1">
        <f t="array" aca="1" ref="UR55" ca="1">IFERROR(IF(ISNUMBER(UG55),UG55,IF(ISNUMBER(UK55),UK55,IF(ISNUMBER(UO55),UO55,INDEX($TW$23:$UA$23,,MATCH(UC55,$TW55:$UA55,0))))),IF(UQ55="x1","x2","x1"))</f>
        <v>x2</v>
      </c>
      <c r="US55" s="309" t="str" cm="1">
        <f t="array" aca="1" ref="US55" ca="1">IFERROR(IF(ISNUMBER(UH55),UH55,IF(ISNUMBER(UL55),UL55,IF(ISNUMBER(UP55),UP55,INDEX($TW$23:$UA$23,,MATCH(UD55,$TW55:$UA55,0))))),IF(UR55="x1","x2",IF(UR55="x2","x3","x1")))</f>
        <v>x3</v>
      </c>
      <c r="UT55" s="97" t="str" cm="1">
        <f t="array" aca="1" ref="UT55" ca="1">IF(OR(INDIRECT(UT$3)=$A$2,INDIRECT(UT$3)=$A$3),COLUMN(),"")</f>
        <v/>
      </c>
      <c r="UU55" s="97" t="str" cm="1">
        <f t="array" aca="1" ref="UU55" ca="1">IF(OR(INDIRECT(UU$3)=$A$2,INDIRECT(UU$3)=$A$3),COLUMN(),"")</f>
        <v/>
      </c>
      <c r="UV55" s="97" t="str" cm="1">
        <f t="array" aca="1" ref="UV55" ca="1">IF(OR(INDIRECT(UV$3)=$A$2,INDIRECT(UV$3)=$A$3),COLUMN(),"")</f>
        <v/>
      </c>
      <c r="UW55" s="97" t="str" cm="1">
        <f t="array" aca="1" ref="UW55" ca="1">IF(OR(INDIRECT(UW$3)=$A$2,INDIRECT(UW$3)=$A$3),COLUMN(),"")</f>
        <v/>
      </c>
      <c r="UX55" s="97" t="str" cm="1">
        <f t="array" aca="1" ref="UX55" ca="1">IF(OR(INDIRECT(UX$3)=$A$2,INDIRECT(UX$3)=$A$3),COLUMN(),"")</f>
        <v/>
      </c>
      <c r="UY55" s="97" t="str" cm="1">
        <f t="array" aca="1" ref="UY55" ca="1">IF(AND(ISNUMBER(INDIRECT(UY$3)),INDIRECT(UY$3)=0),COLUMN(),"")</f>
        <v/>
      </c>
      <c r="UZ55" s="97" t="str" cm="1">
        <f t="array" aca="1" ref="UZ55" ca="1">IF(AND(ISNUMBER(INDIRECT(UZ$3)),INDIRECT(UZ$3)=0),COLUMN(),"")</f>
        <v/>
      </c>
      <c r="VA55" s="97" t="str" cm="1">
        <f t="array" aca="1" ref="VA55" ca="1">IF(AND(ISNUMBER(INDIRECT(VA$3)),INDIRECT(VA$3)=0),COLUMN(),"")</f>
        <v/>
      </c>
      <c r="VB55" s="97" t="str" cm="1">
        <f t="array" aca="1" ref="VB55" ca="1">IF(AND(ISNUMBER(INDIRECT(VB$3)),INDIRECT(VB$3)=0),COLUMN(),"")</f>
        <v/>
      </c>
      <c r="VC55" s="97" t="str" cm="1">
        <f t="array" aca="1" ref="VC55" ca="1">IF(AND(ISNUMBER(INDIRECT(VC$3)),INDIRECT(VC$3)=0),COLUMN(),"")</f>
        <v/>
      </c>
      <c r="VD55" s="97" t="str">
        <f t="shared" ca="1" si="218"/>
        <v>x1</v>
      </c>
      <c r="VE55" s="97" t="str">
        <f t="shared" ca="1" si="219"/>
        <v>x2</v>
      </c>
      <c r="VF55" s="97" t="str">
        <f t="shared" ca="1" si="220"/>
        <v>x3</v>
      </c>
      <c r="VG55" s="97" t="str">
        <f ca="1">IFERROR(IF(ISNUMBER(VD55),VD55,SMALL($UY55:$VC55,VALUE(RIGHT(VD55,1)))),Stammdaten!$CB$17)</f>
        <v>Erste Spielsportart nicht durchgeführt</v>
      </c>
      <c r="VH55" s="97" t="str">
        <f ca="1">IFERROR(IF(ISNUMBER(VE55),VE55,SMALL($UY55:$VC55,VALUE(RIGHT(VE55,1)))),Stammdaten!$CB$18)</f>
        <v>Zweite Spielsportart nicht durchgeführt</v>
      </c>
      <c r="VI55" s="97" t="str">
        <f ca="1">IFERROR(IF(ISNUMBER(VF55),VF55,SMALL($UY55:$VC55,VALUE(RIGHT(VF55,1)))),Stammdaten!$CB$19)</f>
        <v>Dritte Spielsportart nicht durchgeführt</v>
      </c>
      <c r="VJ55" s="91" t="str" cm="1">
        <f t="array" aca="1" ref="VJ55" ca="1">IFERROR(INDIRECT(ADDRESS(ROW($TW$5),VG55)),VG55)</f>
        <v>Erste Spielsportart nicht durchgeführt</v>
      </c>
      <c r="VK55" s="97" t="str">
        <f t="shared" ca="1" si="221"/>
        <v/>
      </c>
      <c r="VL55" s="97" t="str" cm="1">
        <f t="array" aca="1" ref="VL55" ca="1">IFERROR(IF(INDIRECT(INDEX(INDIRECT(VL$5),MATCH(VJ55,INDIRECT(VL$4),0)))&lt;&gt;"",INDEX(INDIRECT(VL$5),MATCH(VJ55,INDIRECT(VL$4),0)),INDEX(INDIRECT(VL$6),MATCH(VJ55,INDIRECT(VL$4),0))),"")</f>
        <v/>
      </c>
      <c r="VM55" s="97" t="str">
        <f t="shared" ca="1" si="222"/>
        <v/>
      </c>
      <c r="VN55" s="97" t="str" cm="1">
        <f t="array" aca="1" ref="VN55" ca="1">IFERROR(INDIRECT(VL55),"")</f>
        <v/>
      </c>
      <c r="VO55" s="97" t="str">
        <f ca="1">IF(VN55="","",IF(AND(VK55=Stammdaten!$BX$20,VM55="0",VN55=1),SUBSTITUTE(TEXT(VN55,VM55)&amp;" "&amp;LEFT(VK55,LEN(VK55)-1),".",","),SUBSTITUTE(TEXT(VN55,VM55)&amp;" "&amp;VK55,".",",")))</f>
        <v/>
      </c>
      <c r="VP55" s="97" t="str">
        <f t="shared" ca="1" si="119"/>
        <v/>
      </c>
      <c r="VQ55" s="97" t="str" cm="1">
        <f t="array" aca="1" ref="VQ55" ca="1">IFERROR(LEFT(INDIRECT(VP55),1)&amp;"]","")</f>
        <v/>
      </c>
      <c r="VR55" s="97" t="str">
        <f t="shared" ca="1" si="120"/>
        <v/>
      </c>
      <c r="VS55" s="97" t="str">
        <f ca="1">IFERROR(LEFT(VJ55,FIND(Stammdaten!$CA$4,VJ55,1)-2),IFERROR(LEFT(VJ55,FIND(Stammdaten!$CC$3,VJ55,1)-2),VJ55))</f>
        <v>Erste Spielsportart</v>
      </c>
      <c r="VT55" s="97" t="str">
        <f ca="1">IF(NOT(ISERROR(FIND(Stammdaten!$CA$4,VJ55,1))),Stammdaten!$CA$4,IF(VU55&lt;&gt;Stammdaten!$CC$3,VR55,""))</f>
        <v>nicht durchgeführt</v>
      </c>
      <c r="VU55" s="91" t="str">
        <f ca="1">IF(VN55=$A$2,Stammdaten!$CC$3,VO55)</f>
        <v/>
      </c>
      <c r="VV55" s="91" t="str" cm="1">
        <f t="array" aca="1" ref="VV55" ca="1">IFERROR(INDIRECT(ADDRESS(ROW($TW$5),VH55)),VH55)</f>
        <v>Zweite Spielsportart nicht durchgeführt</v>
      </c>
      <c r="VW55" s="97" t="str">
        <f t="shared" ca="1" si="223"/>
        <v/>
      </c>
      <c r="VX55" s="97" t="str" cm="1">
        <f t="array" aca="1" ref="VX55" ca="1">IFERROR(IF(INDIRECT(INDEX(INDIRECT(VX$5),MATCH(VV55,INDIRECT(VX$4),0)))&lt;&gt;"",INDEX(INDIRECT(VX$5),MATCH(VV55,INDIRECT(VX$4),0)),INDEX(INDIRECT(VX$6),MATCH(VV55,INDIRECT(VX$4),0))),"")</f>
        <v/>
      </c>
      <c r="VY55" s="97" t="str">
        <f t="shared" ca="1" si="224"/>
        <v/>
      </c>
      <c r="VZ55" s="97" t="str" cm="1">
        <f t="array" aca="1" ref="VZ55" ca="1">IFERROR(INDIRECT(VX55),"")</f>
        <v/>
      </c>
      <c r="WA55" s="97" t="str">
        <f ca="1">IF(VZ55="","",IF(AND(VW55=Stammdaten!$BX$20,VY55="0",VZ55=1),SUBSTITUTE(TEXT(VZ55,VY55)&amp;" "&amp;LEFT(VW55,LEN(VW55)-1),".",","),SUBSTITUTE(TEXT(VZ55,VY55)&amp;" "&amp;VW55,".",",")))</f>
        <v/>
      </c>
      <c r="WB55" s="97" t="str">
        <f t="shared" ca="1" si="121"/>
        <v/>
      </c>
      <c r="WC55" s="97" t="str" cm="1">
        <f t="array" aca="1" ref="WC55" ca="1">IFERROR(LEFT(INDIRECT(WB55),1)&amp;"]","")</f>
        <v/>
      </c>
      <c r="WD55" s="97" t="str">
        <f t="shared" ca="1" si="122"/>
        <v/>
      </c>
      <c r="WE55" s="97" t="str">
        <f ca="1">IFERROR(LEFT(VV55,FIND(Stammdaten!$CA$4,VV55,1)-2),IFERROR(LEFT(VV55,FIND(Stammdaten!$CC$3,VV55,1)-2),VV55))</f>
        <v>Zweite Spielsportart</v>
      </c>
      <c r="WF55" s="97" t="str">
        <f ca="1">IF(NOT(ISERROR(FIND(Stammdaten!$CA$4,VV55,1))),Stammdaten!$CA$4,IF(WG55&lt;&gt;Stammdaten!$CC$3,WD55,""))</f>
        <v>nicht durchgeführt</v>
      </c>
      <c r="WG55" s="91" t="str">
        <f ca="1">IF(VZ55=$A$2,Stammdaten!$CC$3,WA55)</f>
        <v/>
      </c>
      <c r="WH55" s="91" t="str" cm="1">
        <f t="array" aca="1" ref="WH55" ca="1">IFERROR(INDIRECT(ADDRESS(ROW($TW$5),VI55)),VI55)</f>
        <v>Dritte Spielsportart nicht durchgeführt</v>
      </c>
      <c r="WI55" s="97" t="str">
        <f t="shared" ca="1" si="225"/>
        <v/>
      </c>
      <c r="WJ55" s="97" t="str" cm="1">
        <f t="array" aca="1" ref="WJ55" ca="1">IFERROR(IF(INDIRECT(INDEX(INDIRECT(WJ$5),MATCH(WH55,INDIRECT(WJ$4),0)))&lt;&gt;"",INDEX(INDIRECT(WJ$5),MATCH(WH55,INDIRECT(WJ$4),0)),INDEX(INDIRECT(WJ$6),MATCH(WH55,INDIRECT(WJ$4),0))),"")</f>
        <v/>
      </c>
      <c r="WK55" s="97" t="str">
        <f t="shared" ca="1" si="226"/>
        <v/>
      </c>
      <c r="WL55" s="97" t="str" cm="1">
        <f t="array" aca="1" ref="WL55" ca="1">IFERROR(INDIRECT(WJ55),"")</f>
        <v/>
      </c>
      <c r="WM55" s="97" t="str">
        <f ca="1">IF(WL55="","",IF(AND(WI55=Stammdaten!$BX$20,WK55="0",WL55=1),SUBSTITUTE(TEXT(WL55,WK55)&amp;" "&amp;LEFT(WI55,LEN(WI55)-1),".",","),SUBSTITUTE(TEXT(WL55,WK55)&amp;" "&amp;WI55,".",",")))</f>
        <v/>
      </c>
      <c r="WN55" s="97" t="str">
        <f t="shared" ca="1" si="123"/>
        <v/>
      </c>
      <c r="WO55" s="97" t="str" cm="1">
        <f t="array" aca="1" ref="WO55" ca="1">IFERROR(LEFT(INDIRECT(WN55),1)&amp;"]","")</f>
        <v/>
      </c>
      <c r="WP55" s="97" t="str">
        <f t="shared" ca="1" si="124"/>
        <v/>
      </c>
      <c r="WQ55" s="97" t="str">
        <f ca="1">IFERROR(LEFT(WH55,FIND(Stammdaten!$CA$4,WH55,1)-2),IFERROR(LEFT(WH55,FIND(Stammdaten!$CC$3,WH55,1)-2),WH55))</f>
        <v>Dritte Spielsportart</v>
      </c>
      <c r="WR55" s="97" t="str">
        <f ca="1">IF(NOT(ISERROR(FIND(Stammdaten!$CA$4,WH55,1))),Stammdaten!$CA$4,IF(WS55&lt;&gt;Stammdaten!$CC$3,WP55,""))</f>
        <v>nicht durchgeführt</v>
      </c>
      <c r="WS55" s="91" t="str">
        <f ca="1">IF(WL55=$A$2,Stammdaten!$CC$3,WM55)</f>
        <v/>
      </c>
      <c r="WT55" s="97" t="str" cm="1">
        <f t="array" aca="1" ref="WT55" ca="1">INDIRECT(WT$5)</f>
        <v/>
      </c>
      <c r="WU55" s="97" t="str" cm="1">
        <f t="array" aca="1" ref="WU55" ca="1">INDIRECT(WU$5)</f>
        <v/>
      </c>
      <c r="WV55" s="97" t="str" cm="1">
        <f t="array" aca="1" ref="WV55" ca="1">INDIRECT(WV$5)</f>
        <v/>
      </c>
      <c r="WW55" s="97" t="str" cm="1">
        <f t="array" aca="1" ref="WW55" ca="1">INDIRECT(WW$5)</f>
        <v/>
      </c>
      <c r="WX55" s="97" t="str" cm="1">
        <f t="array" aca="1" ref="WX55" ca="1">INDIRECT(WX$5)</f>
        <v/>
      </c>
      <c r="WY55" s="97" cm="1">
        <f t="array" aca="1" ref="WY55" ca="1">IF(INDIRECT(WY$5)&lt;&gt;"",INDIRECT(WY$5),0)</f>
        <v>0</v>
      </c>
      <c r="WZ55" s="97" cm="1">
        <f t="array" aca="1" ref="WZ55" ca="1">IF(INDIRECT(WZ$5)&lt;&gt;"",INDIRECT(WZ$5),0)</f>
        <v>0</v>
      </c>
      <c r="XA55" s="97" cm="1">
        <f t="array" aca="1" ref="XA55" ca="1">IF(INDIRECT(XA$5)&lt;&gt;"",INDIRECT(XA$5),0)</f>
        <v>0</v>
      </c>
      <c r="XB55" s="97" cm="1">
        <f t="array" aca="1" ref="XB55" ca="1">IF(INDIRECT(XB$5)&lt;&gt;"",INDIRECT(XB$5),0)</f>
        <v>0</v>
      </c>
      <c r="XC55" s="97" cm="1">
        <f t="array" aca="1" ref="XC55" ca="1">IF(INDIRECT(XC$5)&lt;&gt;"",INDIRECT(XC$5),0)</f>
        <v>0</v>
      </c>
      <c r="XD55" s="97">
        <f t="shared" ca="1" si="125"/>
        <v>0</v>
      </c>
      <c r="XE55" s="97">
        <f t="shared" ca="1" si="125"/>
        <v>0</v>
      </c>
      <c r="XF55" s="97">
        <f t="shared" ca="1" si="125"/>
        <v>0</v>
      </c>
      <c r="XG55" s="97">
        <f t="shared" ca="1" si="227"/>
        <v>0</v>
      </c>
      <c r="XH55" s="108">
        <f t="shared" ca="1" si="228"/>
        <v>0</v>
      </c>
      <c r="XI55" s="108">
        <f t="shared" ca="1" si="126"/>
        <v>0</v>
      </c>
      <c r="XJ55" s="108" t="str">
        <f t="shared" ca="1" si="229"/>
        <v/>
      </c>
      <c r="XK55" s="97" t="str">
        <f ca="1">IF(XJ55="",Stammdaten!$BZ$1,IF(AND(XH55=0,XI55&gt;=XJ$25),$A$3,ROUND(SUM(XG55/XJ55)/XK$25,0)*XK$25))</f>
        <v>Zu wenige Werte</v>
      </c>
      <c r="XL55" s="108">
        <f t="shared" ca="1" si="230"/>
        <v>6</v>
      </c>
      <c r="XM55" s="97" t="str">
        <f t="shared" ca="1" si="231"/>
        <v/>
      </c>
      <c r="XN55" s="97" t="str">
        <f t="shared" ca="1" si="232"/>
        <v/>
      </c>
      <c r="XO55" s="97" t="str">
        <f t="shared" ca="1" si="233"/>
        <v/>
      </c>
      <c r="XP55" s="97" t="str">
        <f t="shared" ca="1" si="234"/>
        <v/>
      </c>
      <c r="XQ55" s="97" t="str">
        <f t="shared" ca="1" si="235"/>
        <v>g</v>
      </c>
      <c r="XR55" s="97" t="str">
        <f t="shared" ca="1" si="236"/>
        <v/>
      </c>
      <c r="XS55" s="97">
        <f t="shared" ca="1" si="237"/>
        <v>1</v>
      </c>
      <c r="XT55" s="97" t="str">
        <f ca="1">IF(OR(Geschlecht[[#This Row],[Geschlecht (Skala)]]="",NOT(ISNUMBER(XJ55))),"",XS55)</f>
        <v/>
      </c>
      <c r="XU55" s="97" t="str">
        <f t="shared" ca="1" si="238"/>
        <v/>
      </c>
      <c r="XV55" s="97"/>
      <c r="XW55" s="308" t="str">
        <f t="shared" ca="1" si="127"/>
        <v>Zu wenige Werte</v>
      </c>
      <c r="XX55" s="97"/>
      <c r="XY55" s="97" t="str">
        <f t="shared" ca="1" si="128"/>
        <v>Zu wenige Werte</v>
      </c>
      <c r="XZ55" s="97" t="str">
        <f t="shared" ca="1" si="129"/>
        <v>Zu wenige Werte</v>
      </c>
      <c r="YA55" s="97" t="str">
        <f t="shared" ca="1" si="130"/>
        <v>Zu wenige Werte</v>
      </c>
      <c r="YB55" s="97" t="str">
        <f t="shared" ca="1" si="131"/>
        <v>Zu wenige Werte</v>
      </c>
      <c r="YC55" s="97">
        <f t="shared" ca="1" si="239"/>
        <v>0</v>
      </c>
      <c r="YD55" s="108">
        <f t="shared" ca="1" si="240"/>
        <v>0</v>
      </c>
      <c r="YE55" s="108">
        <f t="shared" ca="1" si="241"/>
        <v>0</v>
      </c>
      <c r="YF55" s="108" t="str">
        <f t="shared" ca="1" si="242"/>
        <v/>
      </c>
      <c r="YG55" s="97" t="str">
        <f ca="1">IF(YF55="",Stammdaten!$BZ$1,IF(YE55=YF$25,$A$3,ROUND(SUM(YC55/YF55)/YG$25,0)*YG$25))</f>
        <v>Zu wenige Werte</v>
      </c>
      <c r="YH55" s="97" t="str">
        <f ca="1">IF(NOT(ISNUMBER(XY55)),"",IF(YH$11&lt;&gt;"2+",TEXT(XY55,YH$11)&amp;" / ",IF(RIGHT(XY55*100,2)="00",TEXT(XY55,"0"&amp;Stammdaten!$AZ$3&amp;"0")&amp;" / ",XY55&amp;" / ")))</f>
        <v/>
      </c>
      <c r="YI55" s="97" t="str">
        <f ca="1">IF(NOT(ISNUMBER(XZ55)),"",IF(YI$11&lt;&gt;"2+",TEXT(XZ55,YI$11)&amp;" / ",IF(RIGHT(XZ55*100,2)="00",TEXT(XZ55,"0"&amp;Stammdaten!$AZ$3&amp;"0")&amp;" / ",XZ55&amp;" / ")))</f>
        <v/>
      </c>
      <c r="YJ55" s="97" t="str">
        <f ca="1">IF(NOT(ISNUMBER(YA55)),"",IF(YJ$11&lt;&gt;"2+",TEXT(YA55,YJ$11)&amp;" / ",IF(RIGHT(YA55*100,2)="00",TEXT(YA55,"0"&amp;Stammdaten!$AZ$3&amp;"0")&amp;" / ",YA55&amp;" / ")))</f>
        <v/>
      </c>
      <c r="YK55" s="97" t="str">
        <f ca="1">IF(NOT(ISNUMBER(YB55)),"",IF(YK$11&lt;&gt;"2+",TEXT(YB55,YK$11)&amp;" / ",IF(RIGHT(YB55*100,2)="00",TEXT(YB55,"0"&amp;Stammdaten!$AZ$3&amp;"0")&amp;" / ",YB55&amp;" / ")))</f>
        <v/>
      </c>
      <c r="YL55" s="97" t="str">
        <f t="shared" ca="1" si="243"/>
        <v/>
      </c>
      <c r="YM55" s="97" t="str">
        <f>IF(Geschlecht[[#This Row],[Geschlecht (Skala)]]="","",IF(ISNUMBER(XY55),1,IF(XY55=$A$3,$A$2,"R")))</f>
        <v/>
      </c>
      <c r="YN55" s="97" t="str">
        <f>IF(Geschlecht[[#This Row],[Geschlecht (Skala)]]="","",IF(ISNUMBER(XZ55),1,IF(XZ55=$A$3,$A$2,"R")))</f>
        <v/>
      </c>
      <c r="YO55" s="97" t="str">
        <f>IF(Geschlecht[[#This Row],[Geschlecht (Skala)]]="","",IF(ISNUMBER(YA55),1,IF(YA55=$A$3,$A$2,"R")))</f>
        <v/>
      </c>
      <c r="YP55" s="97" t="str">
        <f>IF(Geschlecht[[#This Row],[Geschlecht (Skala)]]="","",IF(ISNUMBER(YB55),1,IF(YB55=$A$3,$A$2,"R")))</f>
        <v/>
      </c>
      <c r="YQ55" s="97" t="str">
        <f t="shared" si="244"/>
        <v>g</v>
      </c>
      <c r="YR55" s="97" t="str">
        <f t="shared" ca="1" si="245"/>
        <v/>
      </c>
      <c r="YS55" s="97">
        <f t="shared" ca="1" si="246"/>
        <v>1</v>
      </c>
      <c r="YT55" s="97" t="str">
        <f ca="1">IF(OR(Geschlecht[[#This Row],[Geschlecht (Skala)]]="",NOT(ISNUMBER(YG55))),"",YS55)</f>
        <v/>
      </c>
      <c r="YU55" s="97"/>
      <c r="YV55" s="311" t="str">
        <f t="shared" si="247"/>
        <v>D</v>
      </c>
      <c r="YW55" s="302"/>
      <c r="YX55" s="311" t="str">
        <f t="shared" si="248"/>
        <v>D</v>
      </c>
      <c r="YY55" s="302"/>
      <c r="YZ55" s="311" t="str">
        <f t="shared" si="249"/>
        <v>D</v>
      </c>
      <c r="ZA55" s="302"/>
      <c r="ZB55" s="311" t="str">
        <f t="shared" si="250"/>
        <v>D</v>
      </c>
      <c r="ZC55" s="97"/>
      <c r="ZD55" s="97" t="str">
        <f t="shared" ca="1" si="132"/>
        <v/>
      </c>
      <c r="ZE55" s="97"/>
      <c r="ZF55" s="308" t="str">
        <f t="shared" ca="1" si="251"/>
        <v>Zu wenige Werte</v>
      </c>
      <c r="ZH55" s="317" t="s">
        <v>134</v>
      </c>
      <c r="ZJ55" s="91" t="str" cm="1">
        <f t="array" ref="ZJ55">IF(OR(Geschlecht[[#This Row],[Geschlecht (Skala)]]="",ZH55="",ZH55=Stammdaten!$BZ$5),"",REPLACE(INDEX(StdDisziplinen[TabÜberschriftNote],ZH$3),FIND("X",INDEX(StdDisziplinen[TabÜberschriftNote],ZH$3),1),1,Geschlecht[[#This Row],[Geschlecht (Skala)]]))</f>
        <v/>
      </c>
      <c r="ZK55" s="314"/>
      <c r="ZM55" s="315"/>
      <c r="ZN55" s="97" t="str">
        <f>IFERROR(IFERROR(SUBSTITUTE(SchwimmenResultatMin[[#This Row],[Min]],".",",")*1,SUBSTITUTE(SchwimmenResultatMin[[#This Row],[Min]],",",".")*1),"")</f>
        <v/>
      </c>
      <c r="ZO55" s="91" t="e">
        <f>INT(SchwimmenResultatMin[[#This Row],[Resultat]])=SchwimmenResultatMin[[#This Row],[Resultat]]</f>
        <v>#VALUE!</v>
      </c>
      <c r="ZP55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5" s="315"/>
      <c r="ZS55" s="97" t="str">
        <f>IFERROR(IFERROR(SUBSTITUTE(SchwimmenResultatSek[[#This Row],[Sek]],".",",")*1,SUBSTITUTE(SchwimmenResultatSek[[#This Row],[Sek]],",",".")*1),"")</f>
        <v/>
      </c>
      <c r="ZT55" s="108" t="e">
        <f>INT(SchwimmenResultatSek[[#This Row],[Resultat]])=SchwimmenResultatSek[[#This Row],[Resultat]]</f>
        <v>#VALUE!</v>
      </c>
      <c r="ZU55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5" s="97" t="str" cm="1">
        <f t="array" aca="1" ref="ZW55" ca="1">IF(AND(INDIRECT(ZW$2)="",INDIRECT(ZX$2)=""),"",IFERROR((INDIRECT(ZW$2)*$ZW$25)+INDIRECT(ZX$2),""))</f>
        <v/>
      </c>
      <c r="ZX55" s="91" t="str">
        <f ca="1">REPLACE(ZW$4,ZX$6,1,Geschlecht[[#This Row],[Geschlecht (Skala)]])</f>
        <v>Schwimmen_[Resultat]</v>
      </c>
      <c r="ZY55" s="91" t="str">
        <f ca="1">IFERROR(REPLACE($ZX55,FIND(Stammdaten!$V$2,$ZX55,1),LEN(Stammdaten!$V$2),Stammdaten!$BZ$9),"")</f>
        <v>Schwimmen_[Anzeige]</v>
      </c>
      <c r="ZZ55" s="97" t="str" cm="1">
        <f t="array" aca="1" ref="ZZ55" ca="1">IF(INDIRECT(ZW$3)="","",IF(INDIRECT(ZW$3)=0,0,IF(OR(INDIRECT(ZW$1)=$A$2,INDIRECT(ZW$1)=$A$3),$A$3,IFERROR(INDEX(INDIRECT(ZX55),MATCH(INDIRECT(ZW$3),INDIRECT(ZX55),ZY$25)),IFERROR(IF(ZY$25=-1,MAX(INDIRECT(ZX55)),IF(ZY$25=1,MIN(INDIRECT(ZX55)))),"")))))</f>
        <v/>
      </c>
      <c r="AAA55" s="97" t="str" cm="1">
        <f t="array" aca="1" ref="AAA55" ca="1">IF(INDIRECT(ZX$5)=0,0,IF(OR(INDIRECT(ZW$1)=$A$2,INDIRECT(ZW$1)=$A$3),$A$3,IFERROR(INDEX(INDIRECT($ZY55),MATCH(INDIRECT(ZX$5),INDIRECT($ZX55),0)),"")))</f>
        <v/>
      </c>
      <c r="AAC55" s="91" t="str">
        <f ca="1">REPLACE(ZW$6,ZX$6,1,Geschlecht[[#This Row],[Geschlecht (Skala)]])</f>
        <v>Schwimmen_[Note]</v>
      </c>
      <c r="AAD55" s="97" t="str" cm="1">
        <f t="array" aca="1" ref="AAD55" ca="1">IFERROR(INDEX(INDIRECT(AAC55),MATCH(INDIRECT(ZX$5),INDIRECT(ZX55),0)),IF(INDIRECT(ZX$5)=0,1,""))</f>
        <v/>
      </c>
      <c r="AAE55" s="97"/>
      <c r="AAF55" s="96" t="str">
        <f>ZwölfMinLaufHalleResultat[[#This Row],[Resultat]]</f>
        <v/>
      </c>
      <c r="AAG55" s="96"/>
      <c r="AAH55" s="97" t="str">
        <f ca="1">ZwölfMinLaufHalleSkalawert[[#This Row],[Skala-Wert]]</f>
        <v/>
      </c>
      <c r="AAJ55" s="97" t="str">
        <f ca="1">ZwölfMinLaufHalleNote[[#This Row],[Note]]</f>
        <v/>
      </c>
      <c r="AAK55" s="97"/>
      <c r="AAL55" s="96" t="str">
        <f>ZwölfMinLaufimFreienResultat[[#This Row],[Resultat]]</f>
        <v/>
      </c>
      <c r="AAM55" s="96"/>
      <c r="AAN55" s="97" t="str">
        <f ca="1">ZwölfMinLaufimFreienSkalawert[[#This Row],[Skala-Wert]]</f>
        <v/>
      </c>
      <c r="AAP55" s="97" t="str">
        <f ca="1">ZwölfMinLaufimFreienNote[[#This Row],[Note]]</f>
        <v/>
      </c>
      <c r="AAQ55" s="97"/>
      <c r="AAR55" s="307"/>
      <c r="AAS55" s="96" t="str">
        <f>IFERROR(IFERROR(SUBSTITUTE(BeweglichkeitResultat[[#This Row],[Eingabe]],".",",")*1,SUBSTITUTE(BeweglichkeitResultat[[#This Row],[Eingabe]],",",".")*1),"")</f>
        <v/>
      </c>
      <c r="AAT55" s="96" t="e">
        <f>INT(BeweglichkeitResultat[[#This Row],[Resultat]])=BeweglichkeitResultat[[#This Row],[Resultat]]</f>
        <v>#VALUE!</v>
      </c>
      <c r="AAU55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5" s="96"/>
      <c r="AAW55" s="91" t="str" cm="1">
        <f t="array" aca="1" ref="AAW55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5" s="96" t="str">
        <f ca="1">REPLACE(AAW$4,AAX$6,1,Geschlecht[[#This Row],[Geschlecht (Skala)]])</f>
        <v>Beweglichkeit_[Resultat]</v>
      </c>
      <c r="AAY55" s="96" t="str" cm="1">
        <f t="array" aca="1" ref="AAY55" ca="1">IF(OR(INDIRECT(AAW$1)=$A$2,INDIRECT(AAW$1)=$A$3),$A$3,IF(OR(INDIRECT(AAW$2)="",AND(Geschlecht[[#This Row],[Geschlecht (Skala)]]=Stammdaten!$D$7,INDIRECT(AAW$2)&lt;0)),"",IFERROR(INDEX(INDIRECT(AAX55),MATCH(INDIRECT(AAW$3),INDIRECT(AAX55),AAX$25)),IFERROR(IF(AAX$25=-1,MAX(INDIRECT(AAX55)),IF(AAX$25=1,MIN(INDIRECT(AAX55)))),""))))</f>
        <v/>
      </c>
      <c r="AAZ55" s="97" t="str" cm="1">
        <f t="array" aca="1" ref="AAZ55" ca="1">IF(INDIRECT(AAW$1)="","",IF(INDIRECT(AAW$1)=0,0,IF(OR(INDIRECT(AAW$1)=$A$2,INDIRECT(AAW$1)=$A$3),$A$3,IFERROR(INDEX(INDIRECT(AAY55),MATCH(INDIRECT(AAW$3),INDIRECT(AAY55),AAY$27)),IFERROR(IF(AAY$27=-1,MAX(INDIRECT(AAY55)),IF(AAY$27=1,MIN(INDIRECT(AAY55)))),"")))))</f>
        <v/>
      </c>
      <c r="ABA55" s="96" t="str">
        <f ca="1">REPLACE(AAW$6,AAX$6,1,Geschlecht[[#This Row],[Geschlecht (Skala)]])</f>
        <v>Beweglichkeit_[Note]</v>
      </c>
      <c r="ABB55" s="91" t="str" cm="1">
        <f t="array" aca="1" ref="ABB55" ca="1">IFERROR(INDEX(INDIRECT(ABA55),MATCH(INDIRECT(AAW$5),INDIRECT(AAX55),0)),"")</f>
        <v/>
      </c>
      <c r="ABC55" s="97" t="str" cm="1">
        <f t="array" aca="1" ref="ABC55" ca="1">IFERROR(INDEX(INDIRECT(ABB55),MATCH(INDIRECT(AAW$5),INDIRECT(AAY55),0)),"")</f>
        <v/>
      </c>
      <c r="ABD55" s="307"/>
      <c r="ABE55" s="96" t="str">
        <f>IFERROR(IFERROR(SUBSTITUTE(RumpfkraftResultat[[#This Row],[Eingabe]],".",",")*1,SUBSTITUTE(RumpfkraftResultat[[#This Row],[Eingabe]],",",".")*1),"")</f>
        <v/>
      </c>
      <c r="ABF55" s="96" t="e">
        <f>INT(RumpfkraftResultat[[#This Row],[Resultat]])=RumpfkraftResultat[[#This Row],[Resultat]]</f>
        <v>#VALUE!</v>
      </c>
      <c r="ABG55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5" s="96"/>
      <c r="ABI55" s="91" t="str" cm="1">
        <f t="array" aca="1" ref="ABI55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5" s="96" t="str">
        <f ca="1">REPLACE(ABI$4,ABJ$6,1,Geschlecht[[#This Row],[Geschlecht (Skala)]])</f>
        <v>Rumpfkraft_[Resultat]</v>
      </c>
      <c r="ABK55" s="97" t="str" cm="1">
        <f t="array" aca="1" ref="ABK55" ca="1">IF(INDIRECT(ABI$1)="","",IF(OR(INDIRECT(ABI$1)=$A$2,INDIRECT(ABI$1)=$A$3),$A$3,IFERROR(INDEX(INDIRECT(ABJ55),MATCH(INDIRECT(ABI$3),INDIRECT(ABJ55),ABJ$25)),IFERROR(IF(ABJ$25=-1,MAX(INDIRECT(ABJ55)),IF(ABJ$25=1,MIN(INDIRECT(ABJ55)))),""))))</f>
        <v/>
      </c>
      <c r="ABM55" s="91" t="str">
        <f ca="1">REPLACE(ABI$6,ABJ$6,1,Geschlecht[[#This Row],[Geschlecht (Skala)]])</f>
        <v>Rumpfkraft_[Note]</v>
      </c>
      <c r="ABN55" s="97" t="str" cm="1">
        <f t="array" aca="1" ref="ABN55" ca="1">IFERROR(INDEX(INDIRECT(ABM55),MATCH(INDIRECT(ABI$5),INDIRECT(ABJ55),0)),"")</f>
        <v/>
      </c>
      <c r="ABO55" s="97"/>
      <c r="ABP55" s="96" t="str">
        <f>SechzigmLaufResultat[[#This Row],[Resultat]]</f>
        <v/>
      </c>
      <c r="ABQ55" s="96"/>
      <c r="ABR55" s="97" t="str">
        <f ca="1">SechzigmLaufSkalawert[[#This Row],[Skala-Wert]]</f>
        <v/>
      </c>
      <c r="ABT55" s="97" t="str">
        <f ca="1">SechzigmLaufNote[[#This Row],[Note]]</f>
        <v/>
      </c>
      <c r="ABU55" s="97"/>
      <c r="ABV55" s="96" t="str">
        <f>AchtzigmLaufResultat[[#This Row],[Resultat]]</f>
        <v/>
      </c>
      <c r="ABW55" s="96"/>
      <c r="ABX55" s="97" t="str">
        <f ca="1">AchtzigmLaufSkalawert[[#This Row],[Skala-Wert]]</f>
        <v/>
      </c>
      <c r="ABZ55" s="97" t="str">
        <f ca="1">AchtzigmLaufNote[[#This Row],[Note]]</f>
        <v/>
      </c>
      <c r="ACA55" s="97"/>
      <c r="ACB55" s="307"/>
      <c r="ACC55" s="96" t="str">
        <f>IFERROR(IFERROR(SUBSTITUTE(KonditionsparcoursResultat[[#This Row],[Eingabe]],".",",")*1,SUBSTITUTE(KonditionsparcoursResultat[[#This Row],[Eingabe]],",",".")*1),"")</f>
        <v/>
      </c>
      <c r="ACD55" s="96" t="e">
        <f>INT(KonditionsparcoursResultat[[#This Row],[Resultat]])=KonditionsparcoursResultat[[#This Row],[Resultat]]</f>
        <v>#VALUE!</v>
      </c>
      <c r="ACE55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5" s="96"/>
      <c r="ACG55" s="91" t="str" cm="1">
        <f t="array" aca="1" ref="ACG55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5" s="96" t="str">
        <f ca="1">LEFT(Geschlecht[[#This Row],[Geschlecht (Skala)]],1)&amp;ACM$4</f>
        <v>2</v>
      </c>
      <c r="ACI55" s="96" t="str">
        <f t="shared" ca="1" si="133"/>
        <v>Konditionsparcours_2[Resultat]</v>
      </c>
      <c r="ACJ55" s="97" t="str" cm="1">
        <f t="array" aca="1" ref="ACJ55" ca="1">IF(INDIRECT(ACG$1)="","",IF(OR(INDIRECT(ACG$1)=$A$2,INDIRECT(ACG$1)=$A$3),$A$3,IFERROR(INDEX(INDIRECT(ACI55),MATCH(INDIRECT(ACG$3),INDIRECT(ACI55),ACI$25)),IFERROR(IF(ACI$25=-1,MAX(INDIRECT(ACI55)),IF(ACI$25=1,MIN(INDIRECT(ACI55)))),""))))</f>
        <v/>
      </c>
      <c r="ACL55" s="91" t="str">
        <f t="shared" ca="1" si="134"/>
        <v>Konditionsparcours_2[Note]</v>
      </c>
      <c r="ACM55" s="97" t="str" cm="1">
        <f t="array" aca="1" ref="ACM55" ca="1">IFERROR(INDEX(INDIRECT(ACL55),MATCH(INDIRECT(ACG$5),INDIRECT(ACI55),0)),"")</f>
        <v/>
      </c>
      <c r="ACN55" s="102"/>
    </row>
    <row r="56" spans="1:768">
      <c r="A56" s="305">
        <v>29</v>
      </c>
      <c r="B56" s="133"/>
      <c r="C56" s="133"/>
      <c r="E56" s="306"/>
      <c r="G56" s="307"/>
      <c r="H56" s="96" t="str">
        <f>IFERROR(IFERROR(SUBSTITUTE(SechzigmLaufResultat[[#This Row],[Eingabe]],".",",")*1,SUBSTITUTE(SechzigmLaufResultat[[#This Row],[Eingabe]],",",".")*1),"")</f>
        <v/>
      </c>
      <c r="I56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6" s="96"/>
      <c r="K56" s="91" t="str" cm="1">
        <f t="array" aca="1" ref="K56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6" s="96" t="str">
        <f ca="1">LEFT(Geschlecht[[#This Row],[Geschlecht (Skala)]],1)&amp;Q$4</f>
        <v>2</v>
      </c>
      <c r="M56" s="96" t="str">
        <f t="shared" ca="1" si="37"/>
        <v>SechzigmLauf_2[Resultat]</v>
      </c>
      <c r="N56" s="97" t="str" cm="1">
        <f t="array" aca="1" ref="N56" ca="1">IF(INDIRECT(K$1)="","",IF(INDIRECT(K$2)=0,0,IF(OR(INDIRECT(K$1)=$A$2,INDIRECT(K$1)=$A$3),$A$3,IFERROR(INDEX(INDIRECT(M56),MATCH(INDIRECT(K$3),INDIRECT(M56),M$25)),IFERROR(IF(M$25=-1,MAX(INDIRECT(M56)),IF(M$25=1,MIN(INDIRECT(M56)))),"")))))</f>
        <v/>
      </c>
      <c r="P56" s="91" t="str">
        <f t="shared" ca="1" si="38"/>
        <v>SechzigmLauf_2[Note]</v>
      </c>
      <c r="Q56" s="97" t="str" cm="1">
        <f t="array" aca="1" ref="Q56" ca="1">IFERROR(INDEX(INDIRECT(P56),MATCH(INDIRECT(K$5),INDIRECT(M56),0)),IF(INDIRECT(K$5)=0,1,""))</f>
        <v/>
      </c>
      <c r="R56" s="97"/>
      <c r="S56" s="307"/>
      <c r="T56" s="96" t="str">
        <f>IFERROR(IFERROR(SUBSTITUTE(AchtzigmLaufResultat[[#This Row],[Eingabe]],".",",")*1,SUBSTITUTE(AchtzigmLaufResultat[[#This Row],[Eingabe]],",",".")*1),"")</f>
        <v/>
      </c>
      <c r="U56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6" s="96"/>
      <c r="W56" s="91" t="str" cm="1">
        <f t="array" aca="1" ref="W56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6" s="96" t="str">
        <f ca="1">LEFT(Geschlecht[[#This Row],[Geschlecht (Skala)]],1)&amp;AC$4</f>
        <v>2</v>
      </c>
      <c r="Y56" s="96" t="str">
        <f t="shared" ca="1" si="39"/>
        <v>AchtzigmLauf_2[Resultat]</v>
      </c>
      <c r="Z56" s="97" t="str" cm="1">
        <f t="array" aca="1" ref="Z56" ca="1">IF(INDIRECT(W$1)="","",IF(INDIRECT(W$2)=0,0,IF(OR(INDIRECT(W$1)=$A$2,INDIRECT(W$1)=$A$3),$A$3,IFERROR(INDEX(INDIRECT(Y56),MATCH(INDIRECT(W$3),INDIRECT(Y56),Y$25)),IFERROR(IF(Y$25=-1,MAX(INDIRECT(Y56)),IF(Y$25=1,MIN(INDIRECT(Y56)))),"")))))</f>
        <v/>
      </c>
      <c r="AB56" s="91" t="str">
        <f t="shared" ca="1" si="40"/>
        <v>AchtzigmLauf_2[Note]</v>
      </c>
      <c r="AC56" s="97" t="str" cm="1">
        <f t="array" aca="1" ref="AC56" ca="1">IFERROR(INDEX(INDIRECT(AB56),MATCH(INDIRECT(W$5),INDIRECT(Y56),0)),IF(INDIRECT(W$5)=0,1,""))</f>
        <v/>
      </c>
      <c r="AD56" s="97"/>
      <c r="AE56" s="307"/>
      <c r="AF56" s="96" t="str">
        <f>IFERROR(IFERROR(SUBSTITUTE(ZwölfMinLaufHalleResultat[[#This Row],[Eingabe]],".",",")*1,SUBSTITUTE(ZwölfMinLaufHalleResultat[[#This Row],[Eingabe]],",",".")*1),"")</f>
        <v/>
      </c>
      <c r="AG56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6" s="96"/>
      <c r="AI56" s="91" t="str" cm="1">
        <f t="array" aca="1" ref="AI56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6" s="96" t="str">
        <f ca="1">LEFT(Geschlecht[[#This Row],[Geschlecht (Skala)]],1)&amp;AO$4</f>
        <v>2</v>
      </c>
      <c r="AK56" s="96" t="str">
        <f t="shared" ca="1" si="41"/>
        <v>ZwölfMinLaufHalle_2[Resultat]</v>
      </c>
      <c r="AL56" s="97" t="str" cm="1">
        <f t="array" aca="1" ref="AL56" ca="1">IF(INDIRECT(AI$1)="","",IF(INDIRECT(AI$2)=0,0,IF(OR(INDIRECT(AI$1)=$A$2,INDIRECT(AI$1)=$A$3),$A$3,IFERROR(INDEX(INDIRECT(AK56),MATCH(INDIRECT(AI$3),INDIRECT(AK56),AK$25)),IFERROR(IF(AK$25=-1,MAX(INDIRECT(AK56)),IF(AK$25=1,MIN(INDIRECT(AK56)))),"")))))</f>
        <v/>
      </c>
      <c r="AN56" s="91" t="str">
        <f t="shared" ca="1" si="42"/>
        <v>ZwölfMinLaufHalle_2[Note]</v>
      </c>
      <c r="AO56" s="97" t="str" cm="1">
        <f t="array" aca="1" ref="AO56" ca="1">IFERROR(INDEX(INDIRECT(AN56),MATCH(INDIRECT(AI$5),INDIRECT(AK56),0)),IF(INDIRECT(AI$5)=0,1,""))</f>
        <v/>
      </c>
      <c r="AP56" s="97"/>
      <c r="AQ56" s="307"/>
      <c r="AR56" s="96" t="str">
        <f>IFERROR(IFERROR(SUBSTITUTE(ZwölfMinLaufimFreienResultat[[#This Row],[Eingabe]],".",",")*1,SUBSTITUTE(ZwölfMinLaufimFreienResultat[[#This Row],[Eingabe]],",",".")*1),"")</f>
        <v/>
      </c>
      <c r="AS56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6" s="96"/>
      <c r="AU56" s="91" t="str" cm="1">
        <f t="array" aca="1" ref="AU56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6" s="96" t="str">
        <f ca="1">LEFT(Geschlecht[[#This Row],[Geschlecht (Skala)]],1)&amp;BA$4</f>
        <v>2</v>
      </c>
      <c r="AW56" s="96" t="str">
        <f t="shared" ca="1" si="43"/>
        <v>ZwölfMinLaufimFreien_2[Resultat]</v>
      </c>
      <c r="AX56" s="97" t="str" cm="1">
        <f t="array" aca="1" ref="AX56" ca="1">IF(INDIRECT(AU$1)="","",IF(INDIRECT(AU$2)=0,0,IF(OR(INDIRECT(AU$1)=$A$2,INDIRECT(AU$1)=$A$3),$A$3,IFERROR(INDEX(INDIRECT(AW56),MATCH(INDIRECT(AU$3),INDIRECT(AW56),AW$25)),IFERROR(IF(AW$25=-1,MAX(INDIRECT(AW56)),IF(AW$25=1,MIN(INDIRECT(AW56)))),"")))))</f>
        <v/>
      </c>
      <c r="AZ56" s="91" t="str">
        <f t="shared" ca="1" si="44"/>
        <v>ZwölfMinLaufimFreien_2[Note]</v>
      </c>
      <c r="BA56" s="97" t="str" cm="1">
        <f t="array" aca="1" ref="BA56" ca="1">IFERROR(INDEX(INDIRECT(AZ56),MATCH(INDIRECT(AU$5),INDIRECT(AW56),0)),IF(INDIRECT(AU$5)=0,1,""))</f>
        <v/>
      </c>
      <c r="BB56" s="97"/>
      <c r="BC56" s="307"/>
      <c r="BD56" s="96" t="str">
        <f>IFERROR(IFERROR(SUBSTITUTE(HochsprungResultat[[#This Row],[Eingabe]],".",",")*1,SUBSTITUTE(HochsprungResultat[[#This Row],[Eingabe]],",",".")*1),"")</f>
        <v/>
      </c>
      <c r="BE56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6" s="96"/>
      <c r="BG56" s="91" t="str" cm="1">
        <f t="array" aca="1" ref="BG56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6" s="96" t="str">
        <f ca="1">LEFT(Geschlecht[[#This Row],[Geschlecht (Skala)]],1)&amp;BM$4</f>
        <v>2</v>
      </c>
      <c r="BI56" s="96" t="str">
        <f t="shared" ca="1" si="45"/>
        <v>Hochsprung_2[Resultat]</v>
      </c>
      <c r="BJ56" s="97" t="str" cm="1">
        <f t="array" aca="1" ref="BJ56" ca="1">IF(INDIRECT(BG$1)="","",IF(INDIRECT(BG$2)=0,0,IF(OR(INDIRECT(BG$1)=$A$2,INDIRECT(BG$1)=$A$3),$A$3,IFERROR(INDEX(INDIRECT(BI56),MATCH(INDIRECT(BG$3),INDIRECT(BI56),BI$25)),IFERROR(IF(BI$25=-1,MAX(INDIRECT(BI56)),IF(BI$25=1,MIN(INDIRECT(BI56)))),"")))))</f>
        <v/>
      </c>
      <c r="BL56" s="91" t="str">
        <f t="shared" ca="1" si="46"/>
        <v>Hochsprung_2[Note]</v>
      </c>
      <c r="BM56" s="97" t="str" cm="1">
        <f t="array" aca="1" ref="BM56" ca="1">IFERROR(INDEX(INDIRECT(BL56),MATCH(INDIRECT(BG$5),INDIRECT(BI56),0)),IF(INDIRECT(BG$5)=0,1,""))</f>
        <v/>
      </c>
      <c r="BN56" s="97"/>
      <c r="BO56" s="307"/>
      <c r="BP56" s="96" t="str">
        <f>IFERROR(IFERROR(SUBSTITUTE(WeitsprungResultat[[#This Row],[Eingabe]],".",",")*1,SUBSTITUTE(WeitsprungResultat[[#This Row],[Eingabe]],",",".")*1),"")</f>
        <v/>
      </c>
      <c r="BQ56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6" s="96"/>
      <c r="BS56" s="91" t="str" cm="1">
        <f t="array" aca="1" ref="BS56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6" s="96" t="str">
        <f ca="1">LEFT(Geschlecht[[#This Row],[Geschlecht (Skala)]],1)&amp;BY$4</f>
        <v>2</v>
      </c>
      <c r="BU56" s="96" t="str">
        <f t="shared" ca="1" si="47"/>
        <v>Weitsprung_2[Resultat]</v>
      </c>
      <c r="BV56" s="97" t="str" cm="1">
        <f t="array" aca="1" ref="BV56" ca="1">IF(INDIRECT(BS$1)="","",IF(INDIRECT(BS$2)=0,0,IF(OR(INDIRECT(BS$1)=$A$2,INDIRECT(BS$1)=$A$3),$A$3,IFERROR(INDEX(INDIRECT(BU56),MATCH(INDIRECT(BS$3),INDIRECT(BU56),BU$25)),IFERROR(IF(BU$25=-1,MAX(INDIRECT(BU56)),IF(BU$25=1,MIN(INDIRECT(BU56)))),"")))))</f>
        <v/>
      </c>
      <c r="BX56" s="91" t="str">
        <f t="shared" ca="1" si="48"/>
        <v>Weitsprung_2[Note]</v>
      </c>
      <c r="BY56" s="97" t="str" cm="1">
        <f t="array" aca="1" ref="BY56" ca="1">IFERROR(INDEX(INDIRECT(BX56),MATCH(INDIRECT(BS$5),INDIRECT(BU56),0)),IF(INDIRECT(BS$5)=0,1,""))</f>
        <v/>
      </c>
      <c r="BZ56" s="97"/>
      <c r="CA56" s="307"/>
      <c r="CB56" s="96" t="str">
        <f>IFERROR(IFERROR(SUBSTITUTE(BallwurfResultat[[#This Row],[Eingabe]],".",",")*1,SUBSTITUTE(BallwurfResultat[[#This Row],[Eingabe]],",",".")*1),"")</f>
        <v/>
      </c>
      <c r="CC56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6" s="96"/>
      <c r="CE56" s="91" t="str" cm="1">
        <f t="array" aca="1" ref="CE56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6" s="96" t="str">
        <f ca="1">LEFT(Geschlecht[[#This Row],[Geschlecht (Skala)]],1)&amp;CK$4</f>
        <v>2</v>
      </c>
      <c r="CG56" s="96" t="str">
        <f t="shared" ca="1" si="49"/>
        <v>Ballwurf_2[Resultat]</v>
      </c>
      <c r="CH56" s="97" t="str" cm="1">
        <f t="array" aca="1" ref="CH56" ca="1">IF(INDIRECT(CE$1)="","",IF(INDIRECT(CE$2)=0,0,IF(OR(INDIRECT(CE$1)=$A$2,INDIRECT(CE$1)=$A$3),$A$3,IFERROR(INDEX(INDIRECT(CG56),MATCH(INDIRECT(CE$3),INDIRECT(CG56),CG$25)),IFERROR(IF(CG$25=-1,MAX(INDIRECT(CG56)),IF(CG$25=1,MIN(INDIRECT(CG56)))),"")))))</f>
        <v/>
      </c>
      <c r="CJ56" s="91" t="str">
        <f t="shared" ca="1" si="50"/>
        <v>Ballwurf_2[Note]</v>
      </c>
      <c r="CK56" s="97" t="str" cm="1">
        <f t="array" aca="1" ref="CK56" ca="1">IFERROR(INDEX(INDIRECT(CJ56),MATCH(INDIRECT(CE$5),INDIRECT(CG56),0)),IF(INDIRECT(CE$5)=0,1,""))</f>
        <v/>
      </c>
      <c r="CL56" s="97"/>
      <c r="CM56" s="307"/>
      <c r="CN56" s="96" t="str">
        <f>IFERROR(IFERROR(SUBSTITUTE(KugelstossenResultat[[#This Row],[Eingabe]],".",",")*1,SUBSTITUTE(KugelstossenResultat[[#This Row],[Eingabe]],",",".")*1),"")</f>
        <v/>
      </c>
      <c r="CO56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6" s="96"/>
      <c r="CQ56" s="91" t="str" cm="1">
        <f t="array" aca="1" ref="CQ56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6" s="96" t="str">
        <f ca="1">LEFT(Geschlecht[[#This Row],[Geschlecht (Skala)]],1)&amp;CW$4</f>
        <v>2</v>
      </c>
      <c r="CS56" s="96" t="str">
        <f t="shared" ca="1" si="51"/>
        <v>Kugelstossen_2[Resultat]</v>
      </c>
      <c r="CT56" s="97" t="str" cm="1">
        <f t="array" aca="1" ref="CT56" ca="1">IF(INDIRECT(CQ$1)="","",IF(INDIRECT(CQ$2)=0,0,IF(OR(INDIRECT(CQ$1)=$A$2,INDIRECT(CQ$1)=$A$3),$A$3,IFERROR(INDEX(INDIRECT(CS56),MATCH(INDIRECT(CQ$3),INDIRECT(CS56),CS$25)),IFERROR(IF(CS$25=-1,MAX(INDIRECT(CS56)),IF(CS$25=1,MIN(INDIRECT(CS56)))),"")))))</f>
        <v/>
      </c>
      <c r="CV56" s="91" t="str">
        <f t="shared" ca="1" si="52"/>
        <v>Kugelstossen_2[Note]</v>
      </c>
      <c r="CW56" s="97" t="str" cm="1">
        <f t="array" aca="1" ref="CW56" ca="1">IFERROR(INDEX(INDIRECT(CV56),MATCH(INDIRECT(CQ$5),INDIRECT(CS56),0)),IF(INDIRECT(CQ$5)=0,1,""))</f>
        <v/>
      </c>
      <c r="CX56" s="97"/>
      <c r="CY56" s="307"/>
      <c r="CZ56" s="96" t="str">
        <f>IFERROR(IFERROR(SUBSTITUTE(SpeerwurfResultat[[#This Row],[Eingabe]],".",",")*1,SUBSTITUTE(SpeerwurfResultat[[#This Row],[Eingabe]],",",".")*1),"")</f>
        <v/>
      </c>
      <c r="DA56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6" s="96"/>
      <c r="DC56" s="91" t="str" cm="1">
        <f t="array" aca="1" ref="DC56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6" s="96" t="str">
        <f ca="1">LEFT(Geschlecht[[#This Row],[Geschlecht (Skala)]],1)&amp;DI$4</f>
        <v>2</v>
      </c>
      <c r="DE56" s="96" t="str">
        <f t="shared" ca="1" si="53"/>
        <v>Speerwurf_2[Resultat]</v>
      </c>
      <c r="DF56" s="97" t="str" cm="1">
        <f t="array" aca="1" ref="DF56" ca="1">IF(INDIRECT(DC$1)="","",IF(INDIRECT(DC$2)=0,0,IF(OR(INDIRECT(DC$1)=$A$2,INDIRECT(DC$1)=$A$3),$A$3,IFERROR(INDEX(INDIRECT(DE56),MATCH(INDIRECT(DC$3),INDIRECT(DE56),DE$25)),IFERROR(IF(DE$25=-1,MAX(INDIRECT(DE56)),IF(DE$25=1,MIN(INDIRECT(DE56)))),"")))))</f>
        <v/>
      </c>
      <c r="DH56" s="91" t="str">
        <f t="shared" ca="1" si="54"/>
        <v>Speerwurf_2[Note]</v>
      </c>
      <c r="DI56" s="97" t="str" cm="1">
        <f t="array" aca="1" ref="DI56" ca="1">IFERROR(INDEX(INDIRECT(DH56),MATCH(INDIRECT(DC$5),INDIRECT(DE56),0)),IF(INDIRECT(DC$5)=0,1,""))</f>
        <v/>
      </c>
      <c r="DJ56" s="97"/>
      <c r="DK56" s="97" t="str" cm="1">
        <f t="array" aca="1" ref="DK56" ca="1">INDIRECT(DK$5)</f>
        <v/>
      </c>
      <c r="DL56" s="97" t="str" cm="1">
        <f t="array" aca="1" ref="DL56" ca="1">INDIRECT(DL$5)</f>
        <v/>
      </c>
      <c r="DM56" s="97" t="str" cm="1">
        <f t="array" aca="1" ref="DM56" ca="1">INDIRECT(DM$5)</f>
        <v/>
      </c>
      <c r="DN56" s="97" t="str" cm="1">
        <f t="array" aca="1" ref="DN56" ca="1">INDIRECT(DN$5)</f>
        <v/>
      </c>
      <c r="DO56" s="97" t="str">
        <f t="shared" ca="1" si="135"/>
        <v>Sprintdisziplinen nicht durchgeführt</v>
      </c>
      <c r="DP56" s="97" t="str">
        <f t="shared" ca="1" si="136"/>
        <v/>
      </c>
      <c r="DQ56" s="108">
        <f t="shared" ca="1" si="137"/>
        <v>0</v>
      </c>
      <c r="DR56" s="108">
        <f t="shared" ca="1" si="138"/>
        <v>0</v>
      </c>
      <c r="DS56" s="108" t="str">
        <f t="shared" ca="1" si="139"/>
        <v/>
      </c>
      <c r="DT56" s="97" t="str">
        <f t="shared" ca="1" si="140"/>
        <v>Sprintdisziplinen nicht durchgeführt</v>
      </c>
      <c r="DU56" s="97" t="str">
        <f t="shared" ca="1" si="141"/>
        <v/>
      </c>
      <c r="DV56" s="97" t="str" cm="1">
        <f t="array" aca="1" ref="DV56" ca="1">IFERROR(IF(INDIRECT(INDEX(INDIRECT(DV$5),MATCH(DT56,INDIRECT(DV$4),0)))&lt;&gt;"",INDEX(INDIRECT(DV$5),MATCH(DT56,INDIRECT(DV$4),0)),INDEX(INDIRECT(DV$6),MATCH(DT56,INDIRECT(DV$4),0))),"")</f>
        <v/>
      </c>
      <c r="DW56" s="97" t="str">
        <f t="shared" ca="1" si="142"/>
        <v/>
      </c>
      <c r="DX56" s="97" t="str" cm="1">
        <f t="array" aca="1" ref="DX56" ca="1">IFERROR(INDIRECT(DV56),IF(NOT(ISERROR(FIND(Stammdaten!$CC$3,DT56,1))),$A$2,""))</f>
        <v/>
      </c>
      <c r="DY56" s="97" t="str">
        <f ca="1">IF(DX56="","",IF(AND(DU56=Stammdaten!$BX$20,DW56="0",DX56=1),SUBSTITUTE(TEXT(DX56,DW56)&amp;" "&amp;LEFT(DU56,LEN(DU56)-1),".",","),SUBSTITUTE(TEXT(DX56,DW56)&amp;" "&amp;DU56,".",",")))</f>
        <v/>
      </c>
      <c r="DZ56" s="97" t="str">
        <f t="shared" ca="1" si="55"/>
        <v/>
      </c>
      <c r="EA56" s="97" t="str" cm="1">
        <f t="array" aca="1" ref="EA56" ca="1">IFERROR(LEFT(INDIRECT(DZ56),1)&amp;"]","")</f>
        <v/>
      </c>
      <c r="EB56" s="97" t="str">
        <f t="shared" ca="1" si="56"/>
        <v/>
      </c>
      <c r="EC56" s="97" t="str">
        <f ca="1">IFERROR(LEFT(DT56,FIND(Stammdaten!$CA$4,DT56,1)-2),IFERROR(LEFT(DT56,FIND(Stammdaten!$CC$3,DT56,1)-2),DT56))</f>
        <v>Sprintdisziplinen</v>
      </c>
      <c r="ED56" s="97" t="str">
        <f ca="1">IF(NOT(ISERROR(FIND(Stammdaten!$CA$4,DT56,1))),Stammdaten!$CA$4,IF(EE56&lt;&gt;Stammdaten!$CC$3,EB56,""))</f>
        <v>nicht durchgeführt</v>
      </c>
      <c r="EE56" s="91" t="str">
        <f ca="1">IF(DX56=$A$2,Stammdaten!$CC$3,DY56)</f>
        <v/>
      </c>
      <c r="EF56" s="97" t="str" cm="1">
        <f t="array" aca="1" ref="EF56" ca="1">INDIRECT(EF$5)</f>
        <v/>
      </c>
      <c r="EG56" s="97" t="str" cm="1">
        <f t="array" aca="1" ref="EG56" ca="1">INDIRECT(EG$5)</f>
        <v/>
      </c>
      <c r="EH56" s="97" t="str" cm="1">
        <f t="array" aca="1" ref="EH56" ca="1">INDIRECT(EH$5)</f>
        <v/>
      </c>
      <c r="EI56" s="97" t="str" cm="1">
        <f t="array" aca="1" ref="EI56" ca="1">INDIRECT(EI$5)</f>
        <v/>
      </c>
      <c r="EJ56" s="97" t="str">
        <f t="shared" ca="1" si="143"/>
        <v>Ausdauerdisziplinen nicht durchgeführt</v>
      </c>
      <c r="EK56" s="97" t="str">
        <f t="shared" ca="1" si="144"/>
        <v/>
      </c>
      <c r="EL56" s="108">
        <f t="shared" ca="1" si="145"/>
        <v>0</v>
      </c>
      <c r="EM56" s="108">
        <f t="shared" ca="1" si="146"/>
        <v>0</v>
      </c>
      <c r="EN56" s="108" t="str">
        <f t="shared" ca="1" si="147"/>
        <v/>
      </c>
      <c r="EO56" s="97" t="str">
        <f t="shared" ca="1" si="148"/>
        <v>Ausdauerdisziplinen nicht durchgeführt</v>
      </c>
      <c r="EP56" s="97" t="str">
        <f t="shared" ca="1" si="149"/>
        <v/>
      </c>
      <c r="EQ56" s="97" t="str" cm="1">
        <f t="array" aca="1" ref="EQ56" ca="1">IFERROR(IF(INDIRECT(INDEX(INDIRECT(EQ$5),MATCH(EO56,INDIRECT(EQ$4),0)))&lt;&gt;"",INDEX(INDIRECT(EQ$5),MATCH(EO56,INDIRECT(EQ$4),0)),INDEX(INDIRECT(EQ$6),MATCH(EO56,INDIRECT(EQ$4),0))),"")</f>
        <v/>
      </c>
      <c r="ER56" s="97" t="str">
        <f t="shared" ca="1" si="150"/>
        <v/>
      </c>
      <c r="ES56" s="97" t="str" cm="1">
        <f t="array" aca="1" ref="ES56" ca="1">IFERROR(INDIRECT(EQ56),IF(NOT(ISERROR(FIND(Stammdaten!$CC$3,EO56,1))),$A$2,""))</f>
        <v/>
      </c>
      <c r="ET56" s="97" t="str">
        <f ca="1">IF(ES56="","",IF(AND(EP56=Stammdaten!$BX$20,ER56="0",ES56=1),SUBSTITUTE(TEXT(ES56,ER56)&amp;" "&amp;LEFT(EP56,LEN(EP56)-1),".",","),SUBSTITUTE(TEXT(ES56,ER56)&amp;" "&amp;EP56,".",",")))</f>
        <v/>
      </c>
      <c r="EU56" s="97" t="str">
        <f t="shared" ca="1" si="57"/>
        <v/>
      </c>
      <c r="EV56" s="97" t="str" cm="1">
        <f t="array" aca="1" ref="EV56" ca="1">IFERROR(LEFT(INDIRECT(EU56),1)&amp;"]","")</f>
        <v/>
      </c>
      <c r="EW56" s="97" t="str">
        <f t="shared" ca="1" si="58"/>
        <v/>
      </c>
      <c r="EX56" s="97" t="str">
        <f ca="1">IFERROR(LEFT(EO56,FIND(Stammdaten!$CA$4,EO56,1)-2),IFERROR(LEFT(EO56,FIND(Stammdaten!$CC$3,EO56,1)-2),EO56))</f>
        <v>Ausdauerdisziplinen</v>
      </c>
      <c r="EY56" s="97" t="str">
        <f ca="1">IF(NOT(ISERROR(FIND(Stammdaten!$CA$4,EO56,1))),Stammdaten!$CA$4,IF(EZ56&lt;&gt;Stammdaten!$CC$3,EW56,""))</f>
        <v>nicht durchgeführt</v>
      </c>
      <c r="EZ56" s="91" t="str">
        <f ca="1">IF(ES56=$A$2,Stammdaten!$CC$3,ET56)</f>
        <v/>
      </c>
      <c r="FA56" s="97" t="str" cm="1">
        <f t="array" aca="1" ref="FA56" ca="1">INDIRECT(FA$5)</f>
        <v/>
      </c>
      <c r="FB56" s="97" t="str" cm="1">
        <f t="array" aca="1" ref="FB56" ca="1">INDIRECT(FB$5)</f>
        <v/>
      </c>
      <c r="FC56" s="97" t="str" cm="1">
        <f t="array" aca="1" ref="FC56" ca="1">INDIRECT(FC$5)</f>
        <v/>
      </c>
      <c r="FD56" s="97" t="str" cm="1">
        <f t="array" aca="1" ref="FD56" ca="1">INDIRECT(FD$5)</f>
        <v/>
      </c>
      <c r="FE56" s="97" t="str">
        <f t="shared" ca="1" si="151"/>
        <v>Sprungdisziplinen nicht durchgeführt</v>
      </c>
      <c r="FF56" s="97" t="str">
        <f t="shared" ca="1" si="152"/>
        <v/>
      </c>
      <c r="FG56" s="108">
        <f t="shared" ca="1" si="153"/>
        <v>0</v>
      </c>
      <c r="FH56" s="108">
        <f t="shared" ca="1" si="154"/>
        <v>0</v>
      </c>
      <c r="FI56" s="108" t="str">
        <f t="shared" ca="1" si="155"/>
        <v/>
      </c>
      <c r="FJ56" s="97" t="str">
        <f t="shared" ca="1" si="156"/>
        <v>Sprungdisziplinen nicht durchgeführt</v>
      </c>
      <c r="FK56" s="97" t="str">
        <f t="shared" ca="1" si="157"/>
        <v/>
      </c>
      <c r="FL56" s="97" t="str" cm="1">
        <f t="array" aca="1" ref="FL56" ca="1">IFERROR(IF(INDIRECT(INDEX(INDIRECT(FL$5),MATCH(FJ56,INDIRECT(FL$4),0)))&lt;&gt;"",INDEX(INDIRECT(FL$5),MATCH(FJ56,INDIRECT(FL$4),0)),INDEX(INDIRECT(FL$6),MATCH(FJ56,INDIRECT(FL$4),0))),"")</f>
        <v/>
      </c>
      <c r="FM56" s="97" t="str">
        <f t="shared" ca="1" si="158"/>
        <v/>
      </c>
      <c r="FN56" s="97" t="str" cm="1">
        <f t="array" aca="1" ref="FN56" ca="1">IFERROR(INDIRECT(FL56),IF(NOT(ISERROR(FIND(Stammdaten!$CC$3,FJ56,1))),$A$2,""))</f>
        <v/>
      </c>
      <c r="FO56" s="97" t="str">
        <f ca="1">IF(FN56="","",IF(AND(FK56=Stammdaten!$BX$20,FM56="0",FN56=1),SUBSTITUTE(TEXT(FN56,FM56)&amp;" "&amp;LEFT(FK56,LEN(FK56)-1),".",","),SUBSTITUTE(TEXT(FN56,FM56)&amp;" "&amp;FK56,".",",")))</f>
        <v/>
      </c>
      <c r="FP56" s="97" t="str">
        <f t="shared" ca="1" si="59"/>
        <v/>
      </c>
      <c r="FQ56" s="97" t="str" cm="1">
        <f t="array" aca="1" ref="FQ56" ca="1">IFERROR(LEFT(INDIRECT(FP56),1)&amp;"]","")</f>
        <v/>
      </c>
      <c r="FR56" s="97" t="str">
        <f t="shared" ca="1" si="60"/>
        <v/>
      </c>
      <c r="FS56" s="97" t="str">
        <f ca="1">IFERROR(LEFT(FJ56,FIND(Stammdaten!$CA$4,FJ56,1)-2),IFERROR(LEFT(FJ56,FIND(Stammdaten!$CC$3,FJ56,1)-2),FJ56))</f>
        <v>Sprungdisziplinen</v>
      </c>
      <c r="FT56" s="97" t="str">
        <f ca="1">IF(NOT(ISERROR(FIND(Stammdaten!$CA$4,FJ56,1))),Stammdaten!$CA$4,IF(FU56&lt;&gt;Stammdaten!$CC$3,FR56,""))</f>
        <v>nicht durchgeführt</v>
      </c>
      <c r="FU56" s="91" t="str">
        <f ca="1">IF(FN56=$A$2,Stammdaten!$CC$3,FO56)</f>
        <v/>
      </c>
      <c r="FV56" s="97" t="str" cm="1">
        <f t="array" aca="1" ref="FV56" ca="1">INDIRECT(FV$5)</f>
        <v/>
      </c>
      <c r="FW56" s="97" t="str" cm="1">
        <f t="array" aca="1" ref="FW56" ca="1">INDIRECT(FW$5)</f>
        <v/>
      </c>
      <c r="FX56" s="97" t="str" cm="1">
        <f t="array" aca="1" ref="FX56" ca="1">INDIRECT(FX$5)</f>
        <v/>
      </c>
      <c r="FY56" s="97" t="str" cm="1">
        <f t="array" aca="1" ref="FY56" ca="1">INDIRECT(FY$5)</f>
        <v/>
      </c>
      <c r="FZ56" s="97" t="str" cm="1">
        <f t="array" aca="1" ref="FZ56" ca="1">INDIRECT(FZ$5)</f>
        <v/>
      </c>
      <c r="GA56" s="97" t="str" cm="1">
        <f t="array" aca="1" ref="GA56" ca="1">INDIRECT(GA$5)</f>
        <v/>
      </c>
      <c r="GB56" s="97" t="str">
        <f t="shared" ca="1" si="159"/>
        <v>Wurfdisziplinen nicht durchgeführt</v>
      </c>
      <c r="GC56" s="97" t="str">
        <f t="shared" ca="1" si="160"/>
        <v/>
      </c>
      <c r="GD56" s="108">
        <f t="shared" ca="1" si="161"/>
        <v>0</v>
      </c>
      <c r="GE56" s="108">
        <f t="shared" ca="1" si="162"/>
        <v>0</v>
      </c>
      <c r="GF56" s="108" t="str">
        <f t="shared" ca="1" si="163"/>
        <v/>
      </c>
      <c r="GG56" s="97" t="str">
        <f t="shared" ca="1" si="164"/>
        <v>Wurfdisziplinen nicht durchgeführt</v>
      </c>
      <c r="GH56" s="97" t="str">
        <f t="shared" ca="1" si="165"/>
        <v/>
      </c>
      <c r="GI56" s="97" t="str" cm="1">
        <f t="array" aca="1" ref="GI56" ca="1">IFERROR(IF(INDIRECT(INDEX(INDIRECT(GI$5),MATCH(GG56,INDIRECT(GI$4),0)))&lt;&gt;"",INDEX(INDIRECT(GI$5),MATCH(GG56,INDIRECT(GI$4),0)),INDEX(INDIRECT(GI$6),MATCH(GG56,INDIRECT(GI$4),0))),"")</f>
        <v/>
      </c>
      <c r="GJ56" s="97" t="str">
        <f t="shared" ca="1" si="166"/>
        <v/>
      </c>
      <c r="GK56" s="97" t="str" cm="1">
        <f t="array" aca="1" ref="GK56" ca="1">IFERROR(INDIRECT(GI56),IF(NOT(ISERROR(FIND(Stammdaten!$CC$3,GG56,1))),$A$2,""))</f>
        <v/>
      </c>
      <c r="GL56" s="97" t="str">
        <f ca="1">IF(GK56="","",IF(AND(GH56=Stammdaten!$BX$20,GJ56="0",GK56=1),SUBSTITUTE(TEXT(GK56,GJ56)&amp;" "&amp;LEFT(GH56,LEN(GH56)-1),".",","),SUBSTITUTE(TEXT(GK56,GJ56)&amp;" "&amp;GH56,".",",")))</f>
        <v/>
      </c>
      <c r="GM56" s="97" t="str">
        <f t="shared" ca="1" si="61"/>
        <v/>
      </c>
      <c r="GN56" s="97" t="str" cm="1">
        <f t="array" aca="1" ref="GN56" ca="1">IFERROR(LEFT(INDIRECT(GM56),1)&amp;"]","")</f>
        <v/>
      </c>
      <c r="GO56" s="97" t="str">
        <f t="shared" ca="1" si="62"/>
        <v/>
      </c>
      <c r="GP56" s="97" t="str">
        <f ca="1">IFERROR(LEFT(GG56,FIND(Stammdaten!$CA$4,GG56,1)-2),IFERROR(LEFT(GG56,FIND(Stammdaten!$CC$3,GG56,1)-2),GG56))</f>
        <v>Wurfdisziplinen</v>
      </c>
      <c r="GQ56" s="97" t="str">
        <f ca="1">IF(NOT(ISERROR(FIND(Stammdaten!$CA$4,GG56,1))),Stammdaten!$CA$4,IF(GR56&lt;&gt;Stammdaten!$CC$3,GO56,""))</f>
        <v>nicht durchgeführt</v>
      </c>
      <c r="GR56" s="91" t="str">
        <f ca="1">IF(GK56=$A$2,Stammdaten!$CC$3,GL56)</f>
        <v/>
      </c>
      <c r="GS56" s="97" t="str">
        <f t="shared" ca="1" si="63"/>
        <v/>
      </c>
      <c r="GT56" s="97" t="str">
        <f t="shared" ca="1" si="64"/>
        <v/>
      </c>
      <c r="GU56" s="97" t="str">
        <f t="shared" ca="1" si="65"/>
        <v/>
      </c>
      <c r="GV56" s="97" t="str">
        <f t="shared" ca="1" si="66"/>
        <v/>
      </c>
      <c r="GW56" s="97">
        <f t="shared" ca="1" si="167"/>
        <v>0</v>
      </c>
      <c r="GX56" s="108">
        <f t="shared" ca="1" si="168"/>
        <v>0</v>
      </c>
      <c r="GY56" s="108">
        <f t="shared" ca="1" si="169"/>
        <v>0</v>
      </c>
      <c r="GZ56" s="108" t="str">
        <f t="shared" ca="1" si="170"/>
        <v/>
      </c>
      <c r="HA56" s="97" t="str">
        <f ca="1">IF(GZ56="",Stammdaten!$BZ$1,IF(AND(GX56=0,GY56&gt;=GZ$25),$A$3,ROUND(SUM(GW56/GZ56)/HA$25,0)*HA$25))</f>
        <v>Zu wenige Werte</v>
      </c>
      <c r="HB56" s="108">
        <f t="shared" ca="1" si="171"/>
        <v>6</v>
      </c>
      <c r="HC56" s="97" t="str">
        <f t="shared" ca="1" si="172"/>
        <v/>
      </c>
      <c r="HD56" s="97" t="str">
        <f t="shared" ca="1" si="173"/>
        <v/>
      </c>
      <c r="HE56" s="97" t="str">
        <f t="shared" ca="1" si="174"/>
        <v/>
      </c>
      <c r="HF56" s="97" t="str">
        <f t="shared" ca="1" si="175"/>
        <v/>
      </c>
      <c r="HG56" s="97" t="str">
        <f t="shared" ca="1" si="176"/>
        <v/>
      </c>
      <c r="HH56" s="97" t="str">
        <f t="shared" ca="1" si="177"/>
        <v>g</v>
      </c>
      <c r="HI56" s="97" t="str">
        <f t="shared" ca="1" si="178"/>
        <v/>
      </c>
      <c r="HJ56" s="97">
        <f t="shared" ca="1" si="179"/>
        <v>1</v>
      </c>
      <c r="HK56" s="97" t="str">
        <f ca="1">IF(OR(Geschlecht[[#This Row],[Geschlecht (Skala)]]="",NOT(ISNUMBER(GZ56))),"",HJ56)</f>
        <v/>
      </c>
      <c r="HL56" s="97" t="str">
        <f t="shared" ca="1" si="180"/>
        <v/>
      </c>
      <c r="HM56" s="97"/>
      <c r="HN56" s="308" t="str">
        <f t="shared" ca="1" si="68"/>
        <v>Zu wenige Werte</v>
      </c>
      <c r="HO56" s="97"/>
      <c r="HP56" s="307"/>
      <c r="HQ56" s="96" t="str">
        <f>IFERROR(IFERROR(SUBSTITUTE(ReckResultat[[#This Row],[Eingabe]],".",",")*1,SUBSTITUTE(ReckResultat[[#This Row],[Eingabe]],",",".")*1),"")</f>
        <v/>
      </c>
      <c r="HR56" s="96" t="e">
        <f>INT(ReckResultat[[#This Row],[Resultat]])=ReckResultat[[#This Row],[Resultat]]</f>
        <v>#VALUE!</v>
      </c>
      <c r="HS56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6" s="96"/>
      <c r="HX56" s="97"/>
      <c r="HY56" s="307"/>
      <c r="HZ56" s="96" t="str">
        <f>IFERROR(IFERROR(SUBSTITUTE(BodenResultat[[#This Row],[Eingabe]],".",",")*1,SUBSTITUTE(BodenResultat[[#This Row],[Eingabe]],",",".")*1),"")</f>
        <v/>
      </c>
      <c r="IA56" s="96" t="e">
        <f>INT(BodenResultat[[#This Row],[Resultat]])=BodenResultat[[#This Row],[Resultat]]</f>
        <v>#VALUE!</v>
      </c>
      <c r="IB56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6" s="96"/>
      <c r="IG56" s="97"/>
      <c r="IH56" s="307"/>
      <c r="II56" s="96" t="str">
        <f>IFERROR(IFERROR(SUBSTITUTE(StufenbarrenResultat[[#This Row],[Eingabe]],".",",")*1,SUBSTITUTE(StufenbarrenResultat[[#This Row],[Eingabe]],",",".")*1),"")</f>
        <v/>
      </c>
      <c r="IJ56" s="96" t="e">
        <f>INT(StufenbarrenResultat[[#This Row],[Resultat]])=StufenbarrenResultat[[#This Row],[Resultat]]</f>
        <v>#VALUE!</v>
      </c>
      <c r="IK56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6" s="96"/>
      <c r="IP56" s="97"/>
      <c r="IQ56" s="307"/>
      <c r="IR56" s="96" t="str">
        <f>IFERROR(IFERROR(SUBSTITUTE(ParallelbarrenResultat[[#This Row],[Eingabe]],".",",")*1,SUBSTITUTE(ParallelbarrenResultat[[#This Row],[Eingabe]],",",".")*1),"")</f>
        <v/>
      </c>
      <c r="IS56" s="96" t="e">
        <f>INT(ParallelbarrenResultat[[#This Row],[Resultat]])=ParallelbarrenResultat[[#This Row],[Resultat]]</f>
        <v>#VALUE!</v>
      </c>
      <c r="IT56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6" s="96"/>
      <c r="IY56" s="97"/>
      <c r="IZ56" s="307"/>
      <c r="JA56" s="96" t="str">
        <f>IFERROR(IFERROR(SUBSTITUTE(SchaukelringeResultat[[#This Row],[Eingabe]],".",",")*1,SUBSTITUTE(SchaukelringeResultat[[#This Row],[Eingabe]],",",".")*1),"")</f>
        <v/>
      </c>
      <c r="JB56" s="96" t="e">
        <f>INT(SchaukelringeResultat[[#This Row],[Resultat]])=SchaukelringeResultat[[#This Row],[Resultat]]</f>
        <v>#VALUE!</v>
      </c>
      <c r="JC56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6" s="96"/>
      <c r="JH56" s="97"/>
      <c r="JI56" s="307"/>
      <c r="JJ56" s="96" t="str">
        <f>IFERROR(IFERROR(SUBSTITUTE(SprungResultat[[#This Row],[Eingabe]],".",",")*1,SUBSTITUTE(SprungResultat[[#This Row],[Eingabe]],",",".")*1),"")</f>
        <v/>
      </c>
      <c r="JK56" s="96" t="e">
        <f>INT(SprungResultat[[#This Row],[Resultat]])=SprungResultat[[#This Row],[Resultat]]</f>
        <v>#VALUE!</v>
      </c>
      <c r="JL56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6" s="96"/>
      <c r="JQ56" s="97"/>
      <c r="JR56" s="309" t="str" cm="1">
        <f t="array" aca="1" ref="JR56" ca="1">IF(AND(ISNUMBER(INDIRECT(JR$3)),INDIRECT(JR$3)&gt;0),INDIRECT(JR$3),"")</f>
        <v/>
      </c>
      <c r="JS56" s="309" t="str" cm="1">
        <f t="array" aca="1" ref="JS56" ca="1">IF(AND(ISNUMBER(INDIRECT(JS$3)),INDIRECT(JS$3)&gt;0),INDIRECT(JS$3),"")</f>
        <v/>
      </c>
      <c r="JT56" s="309" t="str" cm="1">
        <f t="array" aca="1" ref="JT56" ca="1">IF(AND(ISNUMBER(INDIRECT(JT$3)),INDIRECT(JT$3)&gt;0),INDIRECT(JT$3),"")</f>
        <v/>
      </c>
      <c r="JU56" s="309" t="str" cm="1">
        <f t="array" aca="1" ref="JU56" ca="1">IF(AND(ISNUMBER(INDIRECT(JU$3)),INDIRECT(JU$3)&gt;0),INDIRECT(JU$3),"")</f>
        <v/>
      </c>
      <c r="JV56" s="309" t="str" cm="1">
        <f t="array" aca="1" ref="JV56" ca="1">IF(AND(ISNUMBER(INDIRECT(JV$3)),INDIRECT(JV$3)&gt;0),INDIRECT(JV$3),"")</f>
        <v/>
      </c>
      <c r="JW56" s="309" t="str" cm="1">
        <f t="array" aca="1" ref="JW56" ca="1">IF(AND(ISNUMBER(INDIRECT(JW$3)),INDIRECT(JW$3)&gt;0),INDIRECT(JW$3),"")</f>
        <v/>
      </c>
      <c r="JX56" s="309" t="str">
        <f t="shared" ca="1" si="69"/>
        <v>x</v>
      </c>
      <c r="JY56" s="309" t="str">
        <f t="shared" ca="1" si="70"/>
        <v>y</v>
      </c>
      <c r="JZ56" s="309" t="str">
        <f t="shared" ca="1" si="71"/>
        <v>z</v>
      </c>
      <c r="KA56" s="309" t="str">
        <f t="shared" ca="1" si="181"/>
        <v>a</v>
      </c>
      <c r="KB56" s="309" t="str" cm="1">
        <f t="array" aca="1" ref="KB56" ca="1">IF(KA56="a","",INDEX($JR$23:$JW$23,,MATCH(KA56,$JR56:$JW56,0)))</f>
        <v/>
      </c>
      <c r="KC56" s="309" t="str" cm="1">
        <f t="array" aca="1" ref="KC56" ca="1">IF(OR(KB56="",KB56&gt;=$JW$23),"",INDEX(INDIRECT(ADDRESS(ROW($JR$23),KB56+1)):$JW$23,,MATCH(KA56,INDIRECT(ADDRESS(ROW(),KB56+1)):$JW56,0)))</f>
        <v/>
      </c>
      <c r="KD56" s="309" t="str" cm="1">
        <f t="array" aca="1" ref="KD56" ca="1">IF(OR(KC56="",KC56&gt;=$JW$23),"",INDEX(INDIRECT(ADDRESS(ROW($JR$23),KC56+1)):$JW$23,,MATCH(KA56,INDIRECT(ADDRESS(ROW(),KC56+1)):$JW56,0)))</f>
        <v/>
      </c>
      <c r="KE56" s="309" t="str">
        <f t="shared" ca="1" si="182"/>
        <v>c</v>
      </c>
      <c r="KF56" s="309" t="str" cm="1">
        <f t="array" aca="1" ref="KF56" ca="1">IF(OR(KE56="b",KE56="c"),"",INDEX($JR$23:$JW$23,,MATCH(KE56,$JR56:$JW56,0)))</f>
        <v/>
      </c>
      <c r="KG56" s="309" t="str" cm="1">
        <f t="array" aca="1" ref="KG56" ca="1">IF(OR(KF56="",KF56&gt;=$JW$23),"",INDEX(INDIRECT(ADDRESS(ROW($JR$23),KF56+1)):$JW$23,,MATCH(KE56,INDIRECT(ADDRESS(ROW(),KF56+1)):$JW56,0)))</f>
        <v/>
      </c>
      <c r="KH56" s="309" t="str">
        <f t="shared" ca="1" si="72"/>
        <v/>
      </c>
      <c r="KI56" s="309" t="str">
        <f t="shared" ca="1" si="183"/>
        <v>e</v>
      </c>
      <c r="KJ56" s="309" t="str">
        <f t="shared" ca="1" si="73"/>
        <v/>
      </c>
      <c r="KK56" s="309" t="str" cm="1">
        <f t="array" aca="1" ref="KK56" ca="1">IF(OR(KI56="d",KI56="e"),"",INDEX($JR$23:$JW$23,,MATCH(KI56,$JR56:$JW56,0)))</f>
        <v/>
      </c>
      <c r="KL56" s="309" t="str" cm="1">
        <f t="array" aca="1" ref="KL56" ca="1">IF(OR(KK56="",KK56&gt;=$JW$23),"",INDEX(INDIRECT(ADDRESS(ROW($JR$23),KK56+1)):$JW$23,,MATCH(KI56,INDIRECT(ADDRESS(ROW(),KK56+1)):$JW56,0)))</f>
        <v/>
      </c>
      <c r="KM56" s="309" t="str" cm="1">
        <f t="array" aca="1" ref="KM56" ca="1">IFERROR(IF(ISNUMBER(KB56),KB56,IF(ISNUMBER(KF56),KF56,IF(ISNUMBER(KJ56),KJ56,INDEX($JR$23:$JW$23,,MATCH(JX56,$JR56:$JW56,0))))),"x1")</f>
        <v>x1</v>
      </c>
      <c r="KN56" s="309" t="str" cm="1">
        <f t="array" aca="1" ref="KN56" ca="1">IFERROR(IF(ISNUMBER(KC56),KC56,IF(ISNUMBER(KG56),KG56,IF(ISNUMBER(KK56),KK56,INDEX($JR$23:$JW$23,,MATCH(JY56,$JR56:$JW56,0))))),IF(KM56="x1","x2","x1"))</f>
        <v>x2</v>
      </c>
      <c r="KO56" s="309" t="str" cm="1">
        <f t="array" aca="1" ref="KO56" ca="1">IFERROR(IF(ISNUMBER(KD56),KD56,IF(ISNUMBER(KH56),KH56,IF(ISNUMBER(KL56),KL56,INDEX($JR$23:$JW$23,,MATCH(JZ56,$JR56:$JW56,0))))),IF(KN56="x1","x2",IF(KN56="x2","x3","x1")))</f>
        <v>x3</v>
      </c>
      <c r="KP56" s="97" t="str" cm="1">
        <f t="array" aca="1" ref="KP56" ca="1">IF(OR(INDIRECT(KP$3)=$A$2,INDIRECT(KP$3)=$A$3),COLUMN(),"")</f>
        <v/>
      </c>
      <c r="KQ56" s="97" t="str" cm="1">
        <f t="array" aca="1" ref="KQ56" ca="1">IF(OR(INDIRECT(KQ$3)=$A$2,INDIRECT(KQ$3)=$A$3),COLUMN(),"")</f>
        <v/>
      </c>
      <c r="KR56" s="97" t="str" cm="1">
        <f t="array" aca="1" ref="KR56" ca="1">IF(OR(INDIRECT(KR$3)=$A$2,INDIRECT(KR$3)=$A$3),COLUMN(),"")</f>
        <v/>
      </c>
      <c r="KS56" s="97" t="str" cm="1">
        <f t="array" aca="1" ref="KS56" ca="1">IF(OR(INDIRECT(KS$3)=$A$2,INDIRECT(KS$3)=$A$3),COLUMN(),"")</f>
        <v/>
      </c>
      <c r="KT56" s="97" t="str" cm="1">
        <f t="array" aca="1" ref="KT56" ca="1">IF(OR(INDIRECT(KT$3)=$A$2,INDIRECT(KT$3)=$A$3),COLUMN(),"")</f>
        <v/>
      </c>
      <c r="KU56" s="97" t="str" cm="1">
        <f t="array" aca="1" ref="KU56" ca="1">IF(OR(INDIRECT(KU$3)=$A$2,INDIRECT(KU$3)=$A$3),COLUMN(),"")</f>
        <v/>
      </c>
      <c r="KV56" s="97" t="str" cm="1">
        <f t="array" aca="1" ref="KV56" ca="1">IF(AND(ISNUMBER(INDIRECT(KV$3)),INDIRECT(KV$3)=0),COLUMN(),"")</f>
        <v/>
      </c>
      <c r="KW56" s="97" t="str" cm="1">
        <f t="array" aca="1" ref="KW56" ca="1">IF(AND(ISNUMBER(INDIRECT(KW$3)),INDIRECT(KW$3)=0),COLUMN(),"")</f>
        <v/>
      </c>
      <c r="KX56" s="97" t="str" cm="1">
        <f t="array" aca="1" ref="KX56" ca="1">IF(AND(ISNUMBER(INDIRECT(KX$3)),INDIRECT(KX$3)=0),COLUMN(),"")</f>
        <v/>
      </c>
      <c r="KY56" s="97" t="str" cm="1">
        <f t="array" aca="1" ref="KY56" ca="1">IF(AND(ISNUMBER(INDIRECT(KY$3)),INDIRECT(KY$3)=0),COLUMN(),"")</f>
        <v/>
      </c>
      <c r="KZ56" s="97" t="str" cm="1">
        <f t="array" aca="1" ref="KZ56" ca="1">IF(AND(ISNUMBER(INDIRECT(KZ$3)),INDIRECT(KZ$3)=0),COLUMN(),"")</f>
        <v/>
      </c>
      <c r="LA56" s="97" t="str" cm="1">
        <f t="array" aca="1" ref="LA56" ca="1">IF(AND(ISNUMBER(INDIRECT(LA$3)),INDIRECT(LA$3)=0),COLUMN(),"")</f>
        <v/>
      </c>
      <c r="LB56" s="97" t="str">
        <f t="shared" ca="1" si="184"/>
        <v>x1</v>
      </c>
      <c r="LC56" s="97" t="str">
        <f t="shared" ca="1" si="185"/>
        <v>x2</v>
      </c>
      <c r="LD56" s="97" t="str">
        <f t="shared" ca="1" si="186"/>
        <v>x3</v>
      </c>
      <c r="LE56" s="97" t="str">
        <f ca="1">IFERROR(IF(ISNUMBER(LB56),LB56,SMALL($KV56:$LA56,VALUE(RIGHT(LB56,1)))),Stammdaten!$CA$17)</f>
        <v>Erstes Gerät nicht durchgeführt</v>
      </c>
      <c r="LF56" s="97" t="str">
        <f ca="1">IFERROR(IF(ISNUMBER(LC56),LC56,SMALL($KV56:$LA56,VALUE(RIGHT(LC56,1)))),Stammdaten!$CA$18)</f>
        <v>Zweites Gerät nicht durchgeführt</v>
      </c>
      <c r="LG56" s="97" t="str">
        <f ca="1">IFERROR(IF(ISNUMBER(LD56),LD56,SMALL($KV56:$LA56,VALUE(RIGHT(LD56,1)))),Stammdaten!$CA$19)</f>
        <v>Drittes Gerät nicht durchgeführt</v>
      </c>
      <c r="LH56" s="91" t="str" cm="1">
        <f t="array" aca="1" ref="LH56" ca="1">IFERROR(INDIRECT(ADDRESS(ROW($JR$5),LE56)),LE56)</f>
        <v>Erstes Gerät nicht durchgeführt</v>
      </c>
      <c r="LI56" s="97" t="str">
        <f t="shared" ca="1" si="187"/>
        <v/>
      </c>
      <c r="LJ56" s="97" t="str" cm="1">
        <f t="array" aca="1" ref="LJ56" ca="1">IFERROR(IF(INDIRECT(INDEX(INDIRECT(LJ$5),MATCH(LH56,INDIRECT(LJ$4),0)))&lt;&gt;"",INDEX(INDIRECT(LJ$5),MATCH(LH56,INDIRECT(LJ$4),0)),INDEX(INDIRECT(LJ$6),MATCH(LH56,INDIRECT(LJ$4),0))),"")</f>
        <v/>
      </c>
      <c r="LK56" s="97" t="str">
        <f t="shared" ca="1" si="188"/>
        <v/>
      </c>
      <c r="LL56" s="97" t="str" cm="1">
        <f t="array" aca="1" ref="LL56" ca="1">IFERROR(INDIRECT(LJ56),"")</f>
        <v/>
      </c>
      <c r="LM56" s="97" t="str">
        <f ca="1">IF(LL56="","",IF(AND(LI56=Stammdaten!$BX$20,LK56="0",LL56=1),SUBSTITUTE(TEXT(LL56,LK56)&amp;" "&amp;LEFT(LI56,LEN(LI56)-1),".",","),SUBSTITUTE(TEXT(LL56,LK56)&amp;" "&amp;LI56,".",",")))</f>
        <v/>
      </c>
      <c r="LN56" s="97" t="str">
        <f t="shared" ca="1" si="74"/>
        <v/>
      </c>
      <c r="LO56" s="97" t="str" cm="1">
        <f t="array" aca="1" ref="LO56" ca="1">IFERROR(LEFT(INDIRECT(LN56),1)&amp;"]","")</f>
        <v/>
      </c>
      <c r="LP56" s="97" t="str">
        <f t="shared" ca="1" si="75"/>
        <v/>
      </c>
      <c r="LQ56" s="97" t="str">
        <f ca="1">IFERROR(LEFT(LH56,FIND(Stammdaten!$CA$4,LH56,1)-2),IFERROR(LEFT(LH56,FIND(Stammdaten!$CC$3,LH56,1)-2),LH56))</f>
        <v>Erstes Gerät</v>
      </c>
      <c r="LR56" s="97" t="str">
        <f ca="1">IF(NOT(ISERROR(FIND(Stammdaten!$CA$4,LH56,1))),Stammdaten!$CA$4,IF(LS56&lt;&gt;Stammdaten!$CC$3,LP56,""))</f>
        <v>nicht durchgeführt</v>
      </c>
      <c r="LS56" s="91" t="str">
        <f ca="1">IF(LL56=$A$2,Stammdaten!$CC$3,LM56)</f>
        <v/>
      </c>
      <c r="LT56" s="91" t="str" cm="1">
        <f t="array" aca="1" ref="LT56" ca="1">IFERROR(INDIRECT(ADDRESS(ROW($JR$5),LF56)),LF56)</f>
        <v>Zweites Gerät nicht durchgeführt</v>
      </c>
      <c r="LU56" s="97" t="str">
        <f t="shared" ca="1" si="189"/>
        <v/>
      </c>
      <c r="LV56" s="97" t="str" cm="1">
        <f t="array" aca="1" ref="LV56" ca="1">IFERROR(IF(INDIRECT(INDEX(INDIRECT(LV$5),MATCH(LT56,INDIRECT(LV$4),0)))&lt;&gt;"",INDEX(INDIRECT(LV$5),MATCH(LT56,INDIRECT(LV$4),0)),INDEX(INDIRECT(LV$6),MATCH(LT56,INDIRECT(LV$4),0))),"")</f>
        <v/>
      </c>
      <c r="LW56" s="97" t="str">
        <f t="shared" ca="1" si="190"/>
        <v/>
      </c>
      <c r="LX56" s="97" t="str" cm="1">
        <f t="array" aca="1" ref="LX56" ca="1">IFERROR(INDIRECT(LV56),"")</f>
        <v/>
      </c>
      <c r="LY56" s="97" t="str">
        <f ca="1">IF(LX56="","",IF(AND(LU56=Stammdaten!$BX$20,LW56="0",LX56=1),SUBSTITUTE(TEXT(LX56,LW56)&amp;" "&amp;LEFT(LU56,LEN(LU56)-1),".",","),SUBSTITUTE(TEXT(LX56,LW56)&amp;" "&amp;LU56,".",",")))</f>
        <v/>
      </c>
      <c r="LZ56" s="97" t="str">
        <f t="shared" ca="1" si="76"/>
        <v/>
      </c>
      <c r="MA56" s="97" t="str" cm="1">
        <f t="array" aca="1" ref="MA56" ca="1">IFERROR(LEFT(INDIRECT(LZ56),1)&amp;"]","")</f>
        <v/>
      </c>
      <c r="MB56" s="97" t="str">
        <f t="shared" ca="1" si="77"/>
        <v/>
      </c>
      <c r="MC56" s="97" t="str">
        <f ca="1">IFERROR(LEFT(LT56,FIND(Stammdaten!$CA$4,LT56,1)-2),IFERROR(LEFT(LT56,FIND(Stammdaten!$CC$3,LT56,1)-2),LT56))</f>
        <v>Zweites Gerät</v>
      </c>
      <c r="MD56" s="97" t="str">
        <f ca="1">IF(NOT(ISERROR(FIND(Stammdaten!$CA$4,LT56,1))),Stammdaten!$CA$4,IF(ME56&lt;&gt;Stammdaten!$CC$3,MB56,""))</f>
        <v>nicht durchgeführt</v>
      </c>
      <c r="ME56" s="91" t="str">
        <f ca="1">IF(LX56=$A$2,Stammdaten!$CC$3,LY56)</f>
        <v/>
      </c>
      <c r="MF56" s="91" t="str" cm="1">
        <f t="array" aca="1" ref="MF56" ca="1">IFERROR(INDIRECT(ADDRESS(ROW($JR$5),LG56)),LG56)</f>
        <v>Drittes Gerät nicht durchgeführt</v>
      </c>
      <c r="MG56" s="97" t="str">
        <f t="shared" ca="1" si="191"/>
        <v/>
      </c>
      <c r="MH56" s="97" t="str" cm="1">
        <f t="array" aca="1" ref="MH56" ca="1">IFERROR(IF(INDIRECT(INDEX(INDIRECT(MH$5),MATCH(MF56,INDIRECT(MH$4),0)))&lt;&gt;"",INDEX(INDIRECT(MH$5),MATCH(MF56,INDIRECT(MH$4),0)),INDEX(INDIRECT(MH$6),MATCH(MF56,INDIRECT(MH$4),0))),"")</f>
        <v/>
      </c>
      <c r="MI56" s="97" t="str">
        <f t="shared" ca="1" si="192"/>
        <v/>
      </c>
      <c r="MJ56" s="97" t="str" cm="1">
        <f t="array" aca="1" ref="MJ56" ca="1">IFERROR(INDIRECT(MH56),"")</f>
        <v/>
      </c>
      <c r="MK56" s="97" t="str">
        <f ca="1">IF(MJ56="","",IF(AND(MG56=Stammdaten!$BX$20,MI56="0",MJ56=1),SUBSTITUTE(TEXT(MJ56,MI56)&amp;" "&amp;LEFT(MG56,LEN(MG56)-1),".",","),SUBSTITUTE(TEXT(MJ56,MI56)&amp;" "&amp;MG56,".",",")))</f>
        <v/>
      </c>
      <c r="ML56" s="97" t="str">
        <f t="shared" ca="1" si="78"/>
        <v/>
      </c>
      <c r="MM56" s="97" t="str" cm="1">
        <f t="array" aca="1" ref="MM56" ca="1">IFERROR(LEFT(INDIRECT(ML56),1)&amp;"]","")</f>
        <v/>
      </c>
      <c r="MN56" s="97" t="str">
        <f t="shared" ca="1" si="79"/>
        <v/>
      </c>
      <c r="MO56" s="97" t="str">
        <f ca="1">IFERROR(LEFT(MF56,FIND(Stammdaten!$CA$4,MF56,1)-2),IFERROR(LEFT(MF56,FIND(Stammdaten!$CC$3,MF56,1)-2),MF56))</f>
        <v>Drittes Gerät</v>
      </c>
      <c r="MP56" s="97" t="str">
        <f ca="1">IF(NOT(ISERROR(FIND(Stammdaten!$CA$4,MF56,1))),Stammdaten!$CA$4,IF(MQ56&lt;&gt;Stammdaten!$CC$3,MN56,""))</f>
        <v>nicht durchgeführt</v>
      </c>
      <c r="MQ56" s="91" t="str">
        <f ca="1">IF(MJ56=$A$2,Stammdaten!$CC$3,MK56)</f>
        <v/>
      </c>
      <c r="MR56" s="97">
        <f t="shared" ca="1" si="80"/>
        <v>0</v>
      </c>
      <c r="MS56" s="108">
        <f t="shared" ca="1" si="193"/>
        <v>0</v>
      </c>
      <c r="MT56" s="108">
        <f t="shared" ca="1" si="194"/>
        <v>0</v>
      </c>
      <c r="MU56" s="108">
        <f t="shared" ca="1" si="195"/>
        <v>0</v>
      </c>
      <c r="MV56" s="108" t="str">
        <f t="shared" ca="1" si="196"/>
        <v/>
      </c>
      <c r="MW56" s="97" t="str">
        <f ca="1">IF(MV56="",Stammdaten!$BZ$1,IF(AND(MS56+MT56=0,MU56&gt;=MV$25),$A$3,MR56))</f>
        <v>Zu wenige Werte</v>
      </c>
      <c r="MX56" s="97"/>
      <c r="MY56" s="91" t="str">
        <f t="shared" ca="1" si="81"/>
        <v/>
      </c>
      <c r="MZ56" s="96" t="str">
        <f>LEFT(Geschlecht[[#This Row],[Geschlecht (Skala)]],1)&amp;$MZ$27</f>
        <v>2</v>
      </c>
      <c r="NA56" s="96" t="str">
        <f t="shared" ca="1" si="82"/>
        <v>Geräteturnen_2[Resultat]</v>
      </c>
      <c r="NB56" s="97" t="str" cm="1">
        <f t="array" aca="1" ref="NB56" ca="1">IF(OR($MW56="",$MW56=Stammdaten!$BZ$1),"",IF($MW56=0,0,IF(OR($MW56=$A$2,$MW56=$A$3),$A$3,IFERROR(INDEX(INDIRECT(NA56),MATCH(INDIRECT(MY$3),INDIRECT(NA56),NA$25)),IFERROR(IF(NA$25=-1,MAX(INDIRECT(NA56)),IF(NA$25=1,MIN(INDIRECT(NA56)))),"")))))</f>
        <v/>
      </c>
      <c r="ND56" s="91" t="str">
        <f t="shared" ca="1" si="83"/>
        <v>Geräteturnen_2[Note]</v>
      </c>
      <c r="NE56" s="97" t="str" cm="1">
        <f t="array" aca="1" ref="NE56" ca="1">IFERROR(INDEX(INDIRECT(ND56),MATCH(INDIRECT(MY$5),INDIRECT(NA56),0)),IF(INDIRECT(MY$5)=0,1,""))</f>
        <v/>
      </c>
      <c r="NF56" s="97"/>
      <c r="NG56" s="307"/>
      <c r="NH56" s="96" t="str">
        <f>IFERROR(IFERROR(SUBSTITUTE(ParkourResultat[[#This Row],[Eingabe]],".",",")*1,SUBSTITUTE(ParkourResultat[[#This Row],[Eingabe]],",",".")*1),"")</f>
        <v/>
      </c>
      <c r="NI56" s="96" t="e">
        <f>INT(ParkourResultat[[#This Row],[Resultat]])=ParkourResultat[[#This Row],[Resultat]]</f>
        <v>#VALUE!</v>
      </c>
      <c r="NJ56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6" s="96"/>
      <c r="NL56" s="91" t="str" cm="1">
        <f t="array" aca="1" ref="NL56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6" s="96" t="str">
        <f ca="1">LEFT(Geschlecht[[#This Row],[Geschlecht (Skala)]],1)&amp;NR$4</f>
        <v>2</v>
      </c>
      <c r="NN56" s="96" t="str">
        <f t="shared" ca="1" si="84"/>
        <v>Parkour_2[Resultat]</v>
      </c>
      <c r="NO56" s="97" t="str" cm="1">
        <f t="array" aca="1" ref="NO56" ca="1">IF(INDIRECT(NL$1)="","",IF(INDIRECT(NL$2)=0,0,IF(OR(INDIRECT(NL$1)=$A$2,INDIRECT(NL$1)=$A$3),$A$3,IFERROR(INDEX(INDIRECT(NN56),MATCH(INDIRECT(NL$3),INDIRECT(NN56),NN$25)),IFERROR(IF(NN$25=-1,MAX(INDIRECT(NN56)),IF(NN$25=1,MIN(INDIRECT(NN56)))),"")))))</f>
        <v/>
      </c>
      <c r="NQ56" s="91" t="str">
        <f t="shared" ca="1" si="85"/>
        <v>Parkour_2[Note]</v>
      </c>
      <c r="NR56" s="97" t="str" cm="1">
        <f t="array" aca="1" ref="NR56" ca="1">IFERROR(INDEX(INDIRECT(NQ56),MATCH(INDIRECT(NL$5),INDIRECT(NN56),0)),IF(INDIRECT(NL$5)=0,1,""))</f>
        <v/>
      </c>
      <c r="NS56" s="97"/>
      <c r="NT56" s="97" t="str" cm="1">
        <f t="array" aca="1" ref="NT56" ca="1">INDIRECT(NT$5)</f>
        <v/>
      </c>
      <c r="NU56" s="97" t="str" cm="1">
        <f t="array" aca="1" ref="NU56" ca="1">INDIRECT(NU$5)</f>
        <v/>
      </c>
      <c r="NV56" s="97" t="str" cm="1">
        <f t="array" aca="1" ref="NV56" ca="1">INDIRECT(NV$5)</f>
        <v/>
      </c>
      <c r="NW56" s="97" t="str" cm="1">
        <f t="array" aca="1" ref="NW56" ca="1">INDIRECT(NW$5)</f>
        <v/>
      </c>
      <c r="NX56" s="97" t="str">
        <f t="shared" ca="1" si="86"/>
        <v>Parkour nicht durchgeführt</v>
      </c>
      <c r="NY56" s="97" t="str">
        <f t="shared" ca="1" si="197"/>
        <v/>
      </c>
      <c r="NZ56" s="97" t="str" cm="1">
        <f t="array" aca="1" ref="NZ56" ca="1">IFERROR(IF(INDIRECT(INDEX(INDIRECT(NZ$5),MATCH(NX56,INDIRECT(NZ$4),0)))&lt;&gt;"",INDEX(INDIRECT(NZ$5),MATCH(NX56,INDIRECT(NZ$4),0)),INDEX(INDIRECT(NZ$6),MATCH(NX56,INDIRECT(NZ$4),0))),"")</f>
        <v/>
      </c>
      <c r="OA56" s="97" t="str">
        <f t="shared" ca="1" si="198"/>
        <v/>
      </c>
      <c r="OB56" s="97" t="str" cm="1">
        <f t="array" aca="1" ref="OB56" ca="1">IFERROR(INDIRECT(NZ56),IF(NOT(ISERROR(FIND(Stammdaten!$CC$3,NX56,1))),$A$2,""))</f>
        <v/>
      </c>
      <c r="OC56" s="97" t="str">
        <f ca="1">IF(OB56="","",IF(AND(NY56=Stammdaten!$BX$20,OA56="0",OB56=1),SUBSTITUTE(TEXT(OB56,OA56)&amp;" "&amp;LEFT(NY56,LEN(NY56)-1),".",","),SUBSTITUTE(TEXT(OB56,OA56)&amp;" "&amp;NY56,".",",")))</f>
        <v/>
      </c>
      <c r="OD56" s="97" t="str">
        <f t="shared" ca="1" si="87"/>
        <v/>
      </c>
      <c r="OE56" s="97" t="str" cm="1">
        <f t="array" aca="1" ref="OE56" ca="1">IFERROR(LEFT(INDIRECT(OD56),1)&amp;"]","")</f>
        <v/>
      </c>
      <c r="OF56" s="97" t="str">
        <f t="shared" ca="1" si="88"/>
        <v/>
      </c>
      <c r="OG56" s="97" t="str">
        <f ca="1">IFERROR(LEFT(NX56,FIND(Stammdaten!$CA$4,NX56,1)-2),IFERROR(LEFT(NX56,FIND(Stammdaten!$CC$3,NX56,1)-2),NX56))</f>
        <v>Parkour</v>
      </c>
      <c r="OH56" s="97" t="str">
        <f ca="1">IF(NOT(ISERROR(FIND(Stammdaten!$CA$4,NX56,1))),Stammdaten!$CA$4,IF(OI56&lt;&gt;Stammdaten!$CC$3,OF56,""))</f>
        <v>nicht durchgeführt</v>
      </c>
      <c r="OI56" s="91" t="str">
        <f ca="1">IF(OB56=$A$2,Stammdaten!$CC$3,OC56)</f>
        <v/>
      </c>
      <c r="OJ56" s="97" t="str">
        <f t="shared" ca="1" si="89"/>
        <v/>
      </c>
      <c r="OK56" s="97" t="str">
        <f t="shared" ca="1" si="90"/>
        <v/>
      </c>
      <c r="OL56" s="97">
        <f t="shared" ca="1" si="199"/>
        <v>0</v>
      </c>
      <c r="OM56" s="108">
        <f t="shared" ca="1" si="91"/>
        <v>0</v>
      </c>
      <c r="ON56" s="108">
        <f t="shared" ca="1" si="92"/>
        <v>0</v>
      </c>
      <c r="OO56" s="108" t="str">
        <f t="shared" ca="1" si="200"/>
        <v/>
      </c>
      <c r="OP56" s="97" t="str">
        <f ca="1">IF(OO56="",Stammdaten!$BZ$1,IF(AND(OM56=0,ON56&gt;=OO$25),$A$3,ROUND(SUM(OL56/OO56)/OP$25,0)*OP$25))</f>
        <v>Zu wenige Werte</v>
      </c>
      <c r="OQ56" s="108">
        <f t="shared" ca="1" si="201"/>
        <v>6</v>
      </c>
      <c r="OR56" s="97" t="str">
        <f t="shared" ca="1" si="202"/>
        <v/>
      </c>
      <c r="OS56" s="97" t="str">
        <f t="shared" ca="1" si="203"/>
        <v/>
      </c>
      <c r="OT56" s="97" t="str">
        <f t="shared" ca="1" si="204"/>
        <v/>
      </c>
      <c r="OU56" s="97" t="str">
        <f t="shared" ca="1" si="205"/>
        <v>g</v>
      </c>
      <c r="OV56" s="97" t="str">
        <f t="shared" ca="1" si="206"/>
        <v/>
      </c>
      <c r="OW56" s="97">
        <f t="shared" ca="1" si="207"/>
        <v>1</v>
      </c>
      <c r="OX56" s="97" t="str">
        <f ca="1">IF(OR(Geschlecht[[#This Row],[Geschlecht (Skala)]]="",NOT(ISNUMBER(OO56))),"",OW56)</f>
        <v/>
      </c>
      <c r="OY56" s="97" t="str">
        <f t="shared" ca="1" si="208"/>
        <v/>
      </c>
      <c r="OZ56" s="97"/>
      <c r="PA56" s="308" t="str">
        <f t="shared" ca="1" si="209"/>
        <v>Zu wenige Werte</v>
      </c>
      <c r="PB56" s="97"/>
      <c r="PC56" s="307"/>
      <c r="PD56" s="96" t="str">
        <f>IFERROR(IFERROR(SUBSTITUTE(TanzenResultat[[#This Row],[Eingabe]],".",",")*1,SUBSTITUTE(TanzenResultat[[#This Row],[Eingabe]],",",".")*1),"")</f>
        <v/>
      </c>
      <c r="PE56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6" s="96"/>
      <c r="PG56" s="91" t="str" cm="1">
        <f t="array" aca="1" ref="PG56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6" s="96" t="str">
        <f ca="1">LEFT(Geschlecht[[#This Row],[Geschlecht (Skala)]],1)&amp;PM$4</f>
        <v>2</v>
      </c>
      <c r="PI56" s="96" t="str">
        <f t="shared" ca="1" si="93"/>
        <v>Tanzen_2[Resultat]</v>
      </c>
      <c r="PJ56" s="97" t="str" cm="1">
        <f t="array" aca="1" ref="PJ56" ca="1">IF(INDIRECT(PG$1)="","",IF(INDIRECT(PG$2)=0,0,IF(OR(INDIRECT(PG$1)=$A$2,INDIRECT(PG$1)=$A$3),$A$3,IFERROR(INDEX(INDIRECT(PI56),MATCH(INDIRECT(PG$3),INDIRECT(PI56),PI$25)),IFERROR(IF(PI$25=-1,MAX(INDIRECT(PI56)),IF(PI$25=1,MIN(INDIRECT(PI56)))),"")))))</f>
        <v/>
      </c>
      <c r="PL56" s="91" t="str">
        <f t="shared" ca="1" si="94"/>
        <v>Tanzen_2[Note]</v>
      </c>
      <c r="PM56" s="97" t="str" cm="1">
        <f t="array" aca="1" ref="PM56" ca="1">IFERROR(INDEX(INDIRECT(PL56),MATCH(INDIRECT(PG$5),INDIRECT(PI56),0)),IF(INDIRECT(PG$5)=0,1,""))</f>
        <v/>
      </c>
      <c r="PN56" s="97"/>
      <c r="PO56" s="307"/>
      <c r="PP56" s="96" t="str">
        <f>IFERROR(IFERROR(SUBSTITUTE(RopeSkippingResultat[[#This Row],[Eingabe]],".",",")*1,SUBSTITUTE(RopeSkippingResultat[[#This Row],[Eingabe]],",",".")*1),"")</f>
        <v/>
      </c>
      <c r="PQ56" s="96" t="e">
        <f>INT(RopeSkippingResultat[[#This Row],[Resultat]])=RopeSkippingResultat[[#This Row],[Resultat]]</f>
        <v>#VALUE!</v>
      </c>
      <c r="PR56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6" s="96"/>
      <c r="PT56" s="91" t="str" cm="1">
        <f t="array" aca="1" ref="PT56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6" s="96" t="str">
        <f ca="1">LEFT(Geschlecht[[#This Row],[Geschlecht (Skala)]],1)&amp;PZ$4</f>
        <v>2</v>
      </c>
      <c r="PV56" s="96" t="str">
        <f t="shared" ca="1" si="95"/>
        <v>RopeSkipping_2[Resultat]</v>
      </c>
      <c r="PW56" s="97" t="str" cm="1">
        <f t="array" aca="1" ref="PW56" ca="1">IF(INDIRECT(PT$1)="","",IF(INDIRECT(PT$2)=0,0,IF(OR(INDIRECT(PT$1)=$A$2,INDIRECT(PT$1)=$A$3),$A$3,IFERROR(INDEX(INDIRECT(PV56),MATCH(INDIRECT(PT$3),INDIRECT(PV56),PV$25)),IFERROR(IF(PV$25=-1,MAX(INDIRECT(PV56)),IF(PV$25=1,MIN(INDIRECT(PV56)))),"")))))</f>
        <v/>
      </c>
      <c r="PY56" s="91" t="str">
        <f t="shared" ca="1" si="96"/>
        <v>RopeSkipping_2[Note]</v>
      </c>
      <c r="PZ56" s="97" t="str" cm="1">
        <f t="array" aca="1" ref="PZ56" ca="1">IFERROR(INDEX(INDIRECT(PY56),MATCH(INDIRECT(PT$5),INDIRECT(PV56),0)),IF(INDIRECT(PT$5)=0,1,""))</f>
        <v/>
      </c>
      <c r="QA56" s="97"/>
      <c r="QB56" s="307"/>
      <c r="QC56" s="96" t="str">
        <f>IFERROR(IFERROR(SUBSTITUTE(AerobicResultat[[#This Row],[Eingabe]],".",",")*1,SUBSTITUTE(AerobicResultat[[#This Row],[Eingabe]],",",".")*1),"")</f>
        <v/>
      </c>
      <c r="QD56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6" s="96"/>
      <c r="QF56" s="91" t="str" cm="1">
        <f t="array" aca="1" ref="QF56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6" s="96" t="str">
        <f ca="1">LEFT(Geschlecht[[#This Row],[Geschlecht (Skala)]],1)&amp;QL$4</f>
        <v>2</v>
      </c>
      <c r="QH56" s="96" t="str">
        <f t="shared" ca="1" si="97"/>
        <v>Aerobic_2[Resultat]</v>
      </c>
      <c r="QI56" s="97" t="str" cm="1">
        <f t="array" aca="1" ref="QI56" ca="1">IF(INDIRECT(QF$1)="","",IF(INDIRECT(QF$2)=0,0,IF(OR(INDIRECT(QF$1)=$A$2,INDIRECT(QF$1)=$A$3),$A$3,IFERROR(INDEX(INDIRECT(QH56),MATCH(INDIRECT(QF$3),INDIRECT(QH56),QH$25)),IFERROR(IF(QH$25=-1,MAX(INDIRECT(QH56)),IF(QH$25=1,MIN(INDIRECT(QH56)))),"")))))</f>
        <v/>
      </c>
      <c r="QK56" s="91" t="str">
        <f t="shared" ca="1" si="98"/>
        <v>Aerobic_2[Note]</v>
      </c>
      <c r="QL56" s="97" t="str" cm="1">
        <f t="array" aca="1" ref="QL56" ca="1">IFERROR(INDEX(INDIRECT(QK56),MATCH(INDIRECT(QF$5),INDIRECT(QH56),0)),IF(INDIRECT(QF$5)=0,1,""))</f>
        <v/>
      </c>
      <c r="QM56" s="97"/>
      <c r="QN56" s="97" t="str" cm="1">
        <f t="array" aca="1" ref="QN56" ca="1">INDIRECT(QN$5)</f>
        <v/>
      </c>
      <c r="QO56" s="97" t="str" cm="1">
        <f t="array" aca="1" ref="QO56" ca="1">INDIRECT(QO$5)</f>
        <v/>
      </c>
      <c r="QP56" s="97" t="str" cm="1">
        <f t="array" aca="1" ref="QP56" ca="1">INDIRECT(QP$5)</f>
        <v/>
      </c>
      <c r="QQ56" s="97" t="str" cm="1">
        <f t="array" aca="1" ref="QQ56" ca="1">INDIRECT(QQ$5)</f>
        <v/>
      </c>
      <c r="QR56" s="97" t="str" cm="1">
        <f t="array" aca="1" ref="QR56" ca="1">INDIRECT(QR$5)</f>
        <v/>
      </c>
      <c r="QS56" s="97" t="str" cm="1">
        <f t="array" aca="1" ref="QS56" ca="1">INDIRECT(QS$5)</f>
        <v/>
      </c>
      <c r="QT56" s="97" t="str">
        <f t="shared" ca="1" si="99"/>
        <v>Darstellen und Tanzen nicht durchgeführt</v>
      </c>
      <c r="QU56" s="108">
        <f t="shared" ca="1" si="100"/>
        <v>0</v>
      </c>
      <c r="QV56" s="108">
        <f t="shared" ca="1" si="101"/>
        <v>0</v>
      </c>
      <c r="QW56" s="108" t="str">
        <f t="shared" ca="1" si="210"/>
        <v/>
      </c>
      <c r="QX56" s="97" t="str">
        <f t="shared" ca="1" si="211"/>
        <v>Darstellen und Tanzen nicht durchgeführt</v>
      </c>
      <c r="QY56" s="97" t="str">
        <f t="shared" ca="1" si="212"/>
        <v/>
      </c>
      <c r="QZ56" s="97" t="str" cm="1">
        <f t="array" aca="1" ref="QZ56" ca="1">IFERROR(IF(INDIRECT(INDEX(INDIRECT(QZ$5),MATCH(QX56,INDIRECT(QZ$4),0)))&lt;&gt;"",INDEX(INDIRECT(QZ$5),MATCH(QX56,INDIRECT(QZ$4),0)),INDEX(INDIRECT(QZ$6),MATCH(QX56,INDIRECT(QZ$4),0))),"")</f>
        <v/>
      </c>
      <c r="RA56" s="97" t="str">
        <f t="shared" ca="1" si="213"/>
        <v/>
      </c>
      <c r="RB56" s="97" t="str" cm="1">
        <f t="array" aca="1" ref="RB56" ca="1">IFERROR(INDIRECT(QZ56),IF(NOT(ISERROR(FIND(Stammdaten!$CC$3,QX56,1))),$A$2,""))</f>
        <v/>
      </c>
      <c r="RC56" s="97" t="str">
        <f ca="1">IF(RB56="","",IF(AND(QY56=Stammdaten!$BX$20,RA56="0",RB56=1),SUBSTITUTE(TEXT(RB56,RA56)&amp;" "&amp;LEFT(QY56,LEN(QY56)-1),".",","),SUBSTITUTE(TEXT(RB56,RA56)&amp;" "&amp;QY56,".",",")))</f>
        <v/>
      </c>
      <c r="RD56" s="97" t="str">
        <f t="shared" ca="1" si="102"/>
        <v/>
      </c>
      <c r="RE56" s="97" t="str" cm="1">
        <f t="array" aca="1" ref="RE56" ca="1">IFERROR(LEFT(INDIRECT(RD56),1)&amp;"]","")</f>
        <v/>
      </c>
      <c r="RF56" s="97" t="str">
        <f t="shared" ca="1" si="103"/>
        <v/>
      </c>
      <c r="RG56" s="97" t="str">
        <f ca="1">IFERROR(LEFT(QX56,FIND(Stammdaten!$CA$4,QX56,1)-2),IFERROR(LEFT(QX56,FIND(Stammdaten!$CC$3,QX56,1)-2),QX56))</f>
        <v>Darstellen und Tanzen</v>
      </c>
      <c r="RH56" s="97" t="str">
        <f ca="1">IF(NOT(ISERROR(FIND(Stammdaten!$CA$4,QX56,1))),Stammdaten!$CA$4,IF(RI56&lt;&gt;Stammdaten!$CC$3,RF56,""))</f>
        <v>nicht durchgeführt</v>
      </c>
      <c r="RI56" s="91" t="str">
        <f ca="1">IF(RB56=$A$2,Stammdaten!$CC$3,RC56)</f>
        <v/>
      </c>
      <c r="RJ56" s="108">
        <f t="shared" ca="1" si="214"/>
        <v>6</v>
      </c>
      <c r="RK56" s="97"/>
      <c r="RL56" s="308" t="str">
        <f ca="1">IF(QT56=$QT$4,Stammdaten!$BZ$1,IF(QT56=$QT$5,$A$3,QT56))</f>
        <v>Zu wenige Werte</v>
      </c>
      <c r="RM56" s="97"/>
      <c r="RN56" s="307"/>
      <c r="RO56" s="96" t="str">
        <f>IFERROR(IFERROR(SUBSTITUTE(BasketballResultat[[#This Row],[Eingabe]],".",",")*1,SUBSTITUTE(BasketballResultat[[#This Row],[Eingabe]],",",".")*1),"")</f>
        <v/>
      </c>
      <c r="RP56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6" s="96"/>
      <c r="RR56" s="91" t="str" cm="1">
        <f t="array" aca="1" ref="RR56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6" s="96" t="str">
        <f ca="1">LEFT(Geschlecht[[#This Row],[Geschlecht (Skala)]],1)&amp;RX$4</f>
        <v>2</v>
      </c>
      <c r="RT56" s="96" t="str">
        <f t="shared" ca="1" si="104"/>
        <v>Basketball_2[Resultat]</v>
      </c>
      <c r="RU56" s="97" t="str" cm="1">
        <f t="array" aca="1" ref="RU56" ca="1">IF(INDIRECT(RR$1)="","",IF(INDIRECT(RR$2)=0,0,IF(OR(INDIRECT(RR$1)=$A$2,INDIRECT(RR$1)=$A$3),$A$3,IFERROR(INDEX(INDIRECT(RT56),MATCH(INDIRECT(RR$3),INDIRECT(RT56),RT$25)),IFERROR(IF(RT$25=-1,MAX(INDIRECT(RT56)),IF(RT$25=1,MIN(INDIRECT(RT56)))),"")))))</f>
        <v/>
      </c>
      <c r="RW56" s="91" t="str">
        <f t="shared" ca="1" si="105"/>
        <v>Basketball_2[Note]</v>
      </c>
      <c r="RX56" s="97" t="str" cm="1">
        <f t="array" aca="1" ref="RX56" ca="1">IFERROR(INDEX(INDIRECT(RW56),MATCH(INDIRECT(RR$5),INDIRECT(RT56),0)),IF(INDIRECT(RR$5)=0,1,""))</f>
        <v/>
      </c>
      <c r="RY56" s="97"/>
      <c r="RZ56" s="307"/>
      <c r="SA56" s="96" t="str">
        <f>IFERROR(IFERROR(SUBSTITUTE(FussballResultat[[#This Row],[Eingabe]],".",",")*1,SUBSTITUTE(FussballResultat[[#This Row],[Eingabe]],",",".")*1),"")</f>
        <v/>
      </c>
      <c r="SB56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6" s="96"/>
      <c r="SD56" s="316" t="str" cm="1">
        <f t="array" aca="1" ref="SD56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6" s="96" t="str">
        <f ca="1">LEFT(Geschlecht[[#This Row],[Geschlecht (Skala)]],1)&amp;SJ$4</f>
        <v>2</v>
      </c>
      <c r="SF56" s="96" t="str">
        <f t="shared" ca="1" si="106"/>
        <v>Fussball_2[Resultat]</v>
      </c>
      <c r="SG56" s="97" t="str" cm="1">
        <f t="array" aca="1" ref="SG56" ca="1">IF(INDIRECT(SD$1)="","",IF(INDIRECT(SD$2)=0,0,IF(OR(INDIRECT(SD$1)=$A$2,INDIRECT(SD$1)=$A$3),$A$3,IFERROR(INDEX(INDIRECT(SF56),MATCH(INDIRECT(SD$3),INDIRECT(SF56),SF$25)),IFERROR(IF(SF$25=-1,MAX(INDIRECT(SF56)),IF(SF$25=1,MIN(INDIRECT(SF56)))),"")))))</f>
        <v/>
      </c>
      <c r="SI56" s="91" t="str">
        <f t="shared" ca="1" si="107"/>
        <v>Fussball_2[Note]</v>
      </c>
      <c r="SJ56" s="97" t="str" cm="1">
        <f t="array" aca="1" ref="SJ56" ca="1">IFERROR(INDEX(INDIRECT(SI56),MATCH(INDIRECT(SD$5),INDIRECT(SF56),0)),IF(INDIRECT(SD$5)=0,1,""))</f>
        <v/>
      </c>
      <c r="SK56" s="97"/>
      <c r="SL56" s="307"/>
      <c r="SM56" s="96" t="str">
        <f>IFERROR(IFERROR(SUBSTITUTE(HandballResultat[[#This Row],[Eingabe]],".",",")*1,SUBSTITUTE(HandballResultat[[#This Row],[Eingabe]],",",".")*1),"")</f>
        <v/>
      </c>
      <c r="SN56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6" s="96"/>
      <c r="SP56" s="91" t="str" cm="1">
        <f t="array" aca="1" ref="SP56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6" s="96" t="str">
        <f ca="1">LEFT(Geschlecht[[#This Row],[Geschlecht (Skala)]],1)&amp;SV$4</f>
        <v>2</v>
      </c>
      <c r="SR56" s="96" t="str">
        <f t="shared" ca="1" si="108"/>
        <v>Handball_2[Resultat]</v>
      </c>
      <c r="SS56" s="97" t="str" cm="1">
        <f t="array" aca="1" ref="SS56" ca="1">IF(INDIRECT(SP$1)="","",IF(INDIRECT(SP$2)=0,0,IF(OR(INDIRECT(SP$1)=$A$2,INDIRECT(SP$1)=$A$3),$A$3,IFERROR(INDEX(INDIRECT(SR56),MATCH(INDIRECT(SP$3),INDIRECT(SR56),SR$25)),IFERROR(IF(SR$25=-1,MAX(INDIRECT(SR56)),IF(SR$25=1,MIN(INDIRECT(SR56)))),"")))))</f>
        <v/>
      </c>
      <c r="SU56" s="91" t="str">
        <f t="shared" ca="1" si="109"/>
        <v>Handball_2[Note]</v>
      </c>
      <c r="SV56" s="97" t="str" cm="1">
        <f t="array" aca="1" ref="SV56" ca="1">IFERROR(INDEX(INDIRECT(SU56),MATCH(INDIRECT(SP$5),INDIRECT(SR56),0)),IF(INDIRECT(SP$5)=0,1,""))</f>
        <v/>
      </c>
      <c r="SW56" s="97"/>
      <c r="SX56" s="307"/>
      <c r="SY56" s="96" t="str">
        <f>IFERROR(IFERROR(SUBSTITUTE(UnihockeyResultat[[#This Row],[Eingabe]],".",",")*1,SUBSTITUTE(UnihockeyResultat[[#This Row],[Eingabe]],",",".")*1),"")</f>
        <v/>
      </c>
      <c r="SZ56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6" s="96"/>
      <c r="TB56" s="91" t="str" cm="1">
        <f t="array" aca="1" ref="TB56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6" s="96" t="str">
        <f ca="1">LEFT(Geschlecht[[#This Row],[Geschlecht (Skala)]],1)&amp;TH$4</f>
        <v>2</v>
      </c>
      <c r="TD56" s="96" t="str">
        <f t="shared" ca="1" si="110"/>
        <v>Unihockey_2[Resultat]</v>
      </c>
      <c r="TE56" s="97" t="str" cm="1">
        <f t="array" aca="1" ref="TE56" ca="1">IF(INDIRECT(TB$1)="","",IF(INDIRECT(TB$2)=0,0,IF(OR(INDIRECT(TB$1)=$A$2,INDIRECT(TB$1)=$A$3),$A$3,IFERROR(INDEX(INDIRECT(TD56),MATCH(INDIRECT(TB$3),INDIRECT(TD56),TD$25)),IFERROR(IF(TD$25=-1,MAX(INDIRECT(TD56)),IF(TD$25=1,MIN(INDIRECT(TD56)))),"")))))</f>
        <v/>
      </c>
      <c r="TG56" s="91" t="str">
        <f t="shared" ca="1" si="111"/>
        <v>Unihockey_2[Note]</v>
      </c>
      <c r="TH56" s="97" t="str" cm="1">
        <f t="array" aca="1" ref="TH56" ca="1">IFERROR(INDEX(INDIRECT(TG56),MATCH(INDIRECT(TB$5),INDIRECT(TD56),0)),IF(INDIRECT(TB$5)=0,1,""))</f>
        <v/>
      </c>
      <c r="TI56" s="97"/>
      <c r="TJ56" s="307"/>
      <c r="TK56" s="96" t="str">
        <f>IFERROR(IFERROR(SUBSTITUTE(VolleyballResultat[[#This Row],[Eingabe]],".",",")*1,SUBSTITUTE(VolleyballResultat[[#This Row],[Eingabe]],",",".")*1),"")</f>
        <v/>
      </c>
      <c r="TL56" s="96" t="e">
        <f>INT(VolleyballResultat[[#This Row],[Resultat]])=VolleyballResultat[[#This Row],[Resultat]]</f>
        <v>#VALUE!</v>
      </c>
      <c r="TM56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6" s="96"/>
      <c r="TO56" s="91" t="str" cm="1">
        <f t="array" aca="1" ref="TO56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6" s="96" t="str">
        <f ca="1">LEFT(Geschlecht[[#This Row],[Geschlecht (Skala)]],1)&amp;TU$4</f>
        <v>2</v>
      </c>
      <c r="TQ56" s="96" t="str">
        <f t="shared" ca="1" si="112"/>
        <v>Volleyball_2[Resultat]</v>
      </c>
      <c r="TR56" s="97" t="str" cm="1">
        <f t="array" aca="1" ref="TR56" ca="1">IF(INDIRECT(TO$1)="","",IF(INDIRECT(TO$2)=0,0,IF(OR(INDIRECT(TO$1)=$A$2,INDIRECT(TO$1)=$A$3),$A$3,IFERROR(INDEX(INDIRECT(TQ56),MATCH(INDIRECT(TO$3),INDIRECT(TQ56),TQ$25)),IFERROR(IF(TQ$25=-1,MAX(INDIRECT(TQ56)),IF(TQ$25=1,MIN(INDIRECT(TQ56)))),"")))))</f>
        <v/>
      </c>
      <c r="TT56" s="91" t="str">
        <f t="shared" ca="1" si="113"/>
        <v>Volleyball_2[Note]</v>
      </c>
      <c r="TU56" s="97" t="str" cm="1">
        <f t="array" aca="1" ref="TU56" ca="1">IFERROR(INDEX(INDIRECT(TT56),MATCH(INDIRECT(TO$5),INDIRECT(TQ56),0)),IF(INDIRECT(TO$5)=0,1,""))</f>
        <v/>
      </c>
      <c r="TV56" s="97"/>
      <c r="TW56" s="309" t="str" cm="1">
        <f t="array" aca="1" ref="TW56" ca="1">IF(AND(ISNUMBER(INDIRECT(TW$3)),INDIRECT(TW$3)&gt;1),INDIRECT(TW$3),"")</f>
        <v/>
      </c>
      <c r="TX56" s="309" t="str" cm="1">
        <f t="array" aca="1" ref="TX56" ca="1">IF(AND(ISNUMBER(INDIRECT(TX$3)),INDIRECT(TX$3)&gt;1),INDIRECT(TX$3),"")</f>
        <v/>
      </c>
      <c r="TY56" s="309" t="str" cm="1">
        <f t="array" aca="1" ref="TY56" ca="1">IF(AND(ISNUMBER(INDIRECT(TY$3)),INDIRECT(TY$3)&gt;1),INDIRECT(TY$3),"")</f>
        <v/>
      </c>
      <c r="TZ56" s="309" t="str" cm="1">
        <f t="array" aca="1" ref="TZ56" ca="1">IF(AND(ISNUMBER(INDIRECT(TZ$3)),INDIRECT(TZ$3)&gt;1),INDIRECT(TZ$3),"")</f>
        <v/>
      </c>
      <c r="UA56" s="309" t="str" cm="1">
        <f t="array" aca="1" ref="UA56" ca="1">IF(AND(ISNUMBER(INDIRECT(UA$3)),INDIRECT(UA$3)&gt;1),INDIRECT(UA$3),"")</f>
        <v/>
      </c>
      <c r="UB56" s="309" t="str">
        <f t="shared" ca="1" si="114"/>
        <v>x</v>
      </c>
      <c r="UC56" s="309" t="str">
        <f t="shared" ca="1" si="115"/>
        <v>y</v>
      </c>
      <c r="UD56" s="309" t="str">
        <f t="shared" ca="1" si="116"/>
        <v>z</v>
      </c>
      <c r="UE56" s="309" t="str">
        <f t="shared" ca="1" si="215"/>
        <v>a</v>
      </c>
      <c r="UF56" s="309" t="str" cm="1">
        <f t="array" aca="1" ref="UF56" ca="1">IF(UE56="a","",INDEX($TW$23:$UA$23,,MATCH(UE56,$TW56:$UA56,0)))</f>
        <v/>
      </c>
      <c r="UG56" s="309" t="str" cm="1">
        <f t="array" aca="1" ref="UG56" ca="1">IF(OR(UF56="",UF56&gt;=$UA$23),"",INDEX(INDIRECT(ADDRESS(ROW($TW$23),UF56+1)):$UA$23,,MATCH(UE56,INDIRECT(ADDRESS(ROW(),UF56+1)):$UA56,0)))</f>
        <v/>
      </c>
      <c r="UH56" s="309" t="str" cm="1">
        <f t="array" aca="1" ref="UH56" ca="1">IF(OR(UG56="",UG56&gt;=$UA$23),"",INDEX(INDIRECT(ADDRESS(ROW($TW$23),UG56+1)):$UA$23,,MATCH(UE56,INDIRECT(ADDRESS(ROW(),UG56+1)):$UA56,0)))</f>
        <v/>
      </c>
      <c r="UI56" s="309" t="str">
        <f t="shared" ca="1" si="216"/>
        <v>c</v>
      </c>
      <c r="UJ56" s="309" t="str" cm="1">
        <f t="array" aca="1" ref="UJ56" ca="1">IF(OR(UI56="b",UI56="c"),"",INDEX($TW$23:$UA$23,,MATCH(UI56,$TW56:$UA56,0)))</f>
        <v/>
      </c>
      <c r="UK56" s="309" t="str" cm="1">
        <f t="array" aca="1" ref="UK56" ca="1">IF(OR(UJ56="",UJ56&gt;=$UA$23),"",INDEX(INDIRECT(ADDRESS(ROW($TW$23),UJ56+1)):$UA$23,,MATCH(UI56,INDIRECT(ADDRESS(ROW(),UJ56+1)):$UA56,0)))</f>
        <v/>
      </c>
      <c r="UL56" s="309" t="str">
        <f t="shared" ca="1" si="117"/>
        <v/>
      </c>
      <c r="UM56" s="309" t="str">
        <f t="shared" ca="1" si="217"/>
        <v>e</v>
      </c>
      <c r="UN56" s="309" t="str">
        <f t="shared" ca="1" si="118"/>
        <v/>
      </c>
      <c r="UO56" s="309" t="str" cm="1">
        <f t="array" aca="1" ref="UO56" ca="1">IF(OR(UM56="d",UM56="e"),"",INDEX($TW$23:$UA$23,,MATCH(UM56,$TW56:$UA56,0)))</f>
        <v/>
      </c>
      <c r="UP56" s="309" t="str" cm="1">
        <f t="array" aca="1" ref="UP56" ca="1">IF(OR(UO56="",UO56&gt;=$UA$23),"",INDEX(INDIRECT(ADDRESS(ROW($TW$23),UO56+1)):$UA$23,,MATCH(UM56,INDIRECT(ADDRESS(ROW(),UO56+1)):$UA56,0)))</f>
        <v/>
      </c>
      <c r="UQ56" s="309" t="str" cm="1">
        <f t="array" aca="1" ref="UQ56" ca="1">IFERROR(IF(ISNUMBER(UF56),UF56,IF(ISNUMBER(UJ56),UJ56,IF(ISNUMBER(UN56),UN56,INDEX($TW$23:$UA$23,,MATCH(UB56,$TW56:$UA56,0))))),"x1")</f>
        <v>x1</v>
      </c>
      <c r="UR56" s="309" t="str" cm="1">
        <f t="array" aca="1" ref="UR56" ca="1">IFERROR(IF(ISNUMBER(UG56),UG56,IF(ISNUMBER(UK56),UK56,IF(ISNUMBER(UO56),UO56,INDEX($TW$23:$UA$23,,MATCH(UC56,$TW56:$UA56,0))))),IF(UQ56="x1","x2","x1"))</f>
        <v>x2</v>
      </c>
      <c r="US56" s="309" t="str" cm="1">
        <f t="array" aca="1" ref="US56" ca="1">IFERROR(IF(ISNUMBER(UH56),UH56,IF(ISNUMBER(UL56),UL56,IF(ISNUMBER(UP56),UP56,INDEX($TW$23:$UA$23,,MATCH(UD56,$TW56:$UA56,0))))),IF(UR56="x1","x2",IF(UR56="x2","x3","x1")))</f>
        <v>x3</v>
      </c>
      <c r="UT56" s="97" t="str" cm="1">
        <f t="array" aca="1" ref="UT56" ca="1">IF(OR(INDIRECT(UT$3)=$A$2,INDIRECT(UT$3)=$A$3),COLUMN(),"")</f>
        <v/>
      </c>
      <c r="UU56" s="97" t="str" cm="1">
        <f t="array" aca="1" ref="UU56" ca="1">IF(OR(INDIRECT(UU$3)=$A$2,INDIRECT(UU$3)=$A$3),COLUMN(),"")</f>
        <v/>
      </c>
      <c r="UV56" s="97" t="str" cm="1">
        <f t="array" aca="1" ref="UV56" ca="1">IF(OR(INDIRECT(UV$3)=$A$2,INDIRECT(UV$3)=$A$3),COLUMN(),"")</f>
        <v/>
      </c>
      <c r="UW56" s="97" t="str" cm="1">
        <f t="array" aca="1" ref="UW56" ca="1">IF(OR(INDIRECT(UW$3)=$A$2,INDIRECT(UW$3)=$A$3),COLUMN(),"")</f>
        <v/>
      </c>
      <c r="UX56" s="97" t="str" cm="1">
        <f t="array" aca="1" ref="UX56" ca="1">IF(OR(INDIRECT(UX$3)=$A$2,INDIRECT(UX$3)=$A$3),COLUMN(),"")</f>
        <v/>
      </c>
      <c r="UY56" s="97" t="str" cm="1">
        <f t="array" aca="1" ref="UY56" ca="1">IF(AND(ISNUMBER(INDIRECT(UY$3)),INDIRECT(UY$3)=0),COLUMN(),"")</f>
        <v/>
      </c>
      <c r="UZ56" s="97" t="str" cm="1">
        <f t="array" aca="1" ref="UZ56" ca="1">IF(AND(ISNUMBER(INDIRECT(UZ$3)),INDIRECT(UZ$3)=0),COLUMN(),"")</f>
        <v/>
      </c>
      <c r="VA56" s="97" t="str" cm="1">
        <f t="array" aca="1" ref="VA56" ca="1">IF(AND(ISNUMBER(INDIRECT(VA$3)),INDIRECT(VA$3)=0),COLUMN(),"")</f>
        <v/>
      </c>
      <c r="VB56" s="97" t="str" cm="1">
        <f t="array" aca="1" ref="VB56" ca="1">IF(AND(ISNUMBER(INDIRECT(VB$3)),INDIRECT(VB$3)=0),COLUMN(),"")</f>
        <v/>
      </c>
      <c r="VC56" s="97" t="str" cm="1">
        <f t="array" aca="1" ref="VC56" ca="1">IF(AND(ISNUMBER(INDIRECT(VC$3)),INDIRECT(VC$3)=0),COLUMN(),"")</f>
        <v/>
      </c>
      <c r="VD56" s="97" t="str">
        <f t="shared" ca="1" si="218"/>
        <v>x1</v>
      </c>
      <c r="VE56" s="97" t="str">
        <f t="shared" ca="1" si="219"/>
        <v>x2</v>
      </c>
      <c r="VF56" s="97" t="str">
        <f t="shared" ca="1" si="220"/>
        <v>x3</v>
      </c>
      <c r="VG56" s="97" t="str">
        <f ca="1">IFERROR(IF(ISNUMBER(VD56),VD56,SMALL($UY56:$VC56,VALUE(RIGHT(VD56,1)))),Stammdaten!$CB$17)</f>
        <v>Erste Spielsportart nicht durchgeführt</v>
      </c>
      <c r="VH56" s="97" t="str">
        <f ca="1">IFERROR(IF(ISNUMBER(VE56),VE56,SMALL($UY56:$VC56,VALUE(RIGHT(VE56,1)))),Stammdaten!$CB$18)</f>
        <v>Zweite Spielsportart nicht durchgeführt</v>
      </c>
      <c r="VI56" s="97" t="str">
        <f ca="1">IFERROR(IF(ISNUMBER(VF56),VF56,SMALL($UY56:$VC56,VALUE(RIGHT(VF56,1)))),Stammdaten!$CB$19)</f>
        <v>Dritte Spielsportart nicht durchgeführt</v>
      </c>
      <c r="VJ56" s="91" t="str" cm="1">
        <f t="array" aca="1" ref="VJ56" ca="1">IFERROR(INDIRECT(ADDRESS(ROW($TW$5),VG56)),VG56)</f>
        <v>Erste Spielsportart nicht durchgeführt</v>
      </c>
      <c r="VK56" s="97" t="str">
        <f t="shared" ca="1" si="221"/>
        <v/>
      </c>
      <c r="VL56" s="97" t="str" cm="1">
        <f t="array" aca="1" ref="VL56" ca="1">IFERROR(IF(INDIRECT(INDEX(INDIRECT(VL$5),MATCH(VJ56,INDIRECT(VL$4),0)))&lt;&gt;"",INDEX(INDIRECT(VL$5),MATCH(VJ56,INDIRECT(VL$4),0)),INDEX(INDIRECT(VL$6),MATCH(VJ56,INDIRECT(VL$4),0))),"")</f>
        <v/>
      </c>
      <c r="VM56" s="97" t="str">
        <f t="shared" ca="1" si="222"/>
        <v/>
      </c>
      <c r="VN56" s="97" t="str" cm="1">
        <f t="array" aca="1" ref="VN56" ca="1">IFERROR(INDIRECT(VL56),"")</f>
        <v/>
      </c>
      <c r="VO56" s="97" t="str">
        <f ca="1">IF(VN56="","",IF(AND(VK56=Stammdaten!$BX$20,VM56="0",VN56=1),SUBSTITUTE(TEXT(VN56,VM56)&amp;" "&amp;LEFT(VK56,LEN(VK56)-1),".",","),SUBSTITUTE(TEXT(VN56,VM56)&amp;" "&amp;VK56,".",",")))</f>
        <v/>
      </c>
      <c r="VP56" s="97" t="str">
        <f t="shared" ca="1" si="119"/>
        <v/>
      </c>
      <c r="VQ56" s="97" t="str" cm="1">
        <f t="array" aca="1" ref="VQ56" ca="1">IFERROR(LEFT(INDIRECT(VP56),1)&amp;"]","")</f>
        <v/>
      </c>
      <c r="VR56" s="97" t="str">
        <f t="shared" ca="1" si="120"/>
        <v/>
      </c>
      <c r="VS56" s="97" t="str">
        <f ca="1">IFERROR(LEFT(VJ56,FIND(Stammdaten!$CA$4,VJ56,1)-2),IFERROR(LEFT(VJ56,FIND(Stammdaten!$CC$3,VJ56,1)-2),VJ56))</f>
        <v>Erste Spielsportart</v>
      </c>
      <c r="VT56" s="97" t="str">
        <f ca="1">IF(NOT(ISERROR(FIND(Stammdaten!$CA$4,VJ56,1))),Stammdaten!$CA$4,IF(VU56&lt;&gt;Stammdaten!$CC$3,VR56,""))</f>
        <v>nicht durchgeführt</v>
      </c>
      <c r="VU56" s="91" t="str">
        <f ca="1">IF(VN56=$A$2,Stammdaten!$CC$3,VO56)</f>
        <v/>
      </c>
      <c r="VV56" s="91" t="str" cm="1">
        <f t="array" aca="1" ref="VV56" ca="1">IFERROR(INDIRECT(ADDRESS(ROW($TW$5),VH56)),VH56)</f>
        <v>Zweite Spielsportart nicht durchgeführt</v>
      </c>
      <c r="VW56" s="97" t="str">
        <f t="shared" ca="1" si="223"/>
        <v/>
      </c>
      <c r="VX56" s="97" t="str" cm="1">
        <f t="array" aca="1" ref="VX56" ca="1">IFERROR(IF(INDIRECT(INDEX(INDIRECT(VX$5),MATCH(VV56,INDIRECT(VX$4),0)))&lt;&gt;"",INDEX(INDIRECT(VX$5),MATCH(VV56,INDIRECT(VX$4),0)),INDEX(INDIRECT(VX$6),MATCH(VV56,INDIRECT(VX$4),0))),"")</f>
        <v/>
      </c>
      <c r="VY56" s="97" t="str">
        <f t="shared" ca="1" si="224"/>
        <v/>
      </c>
      <c r="VZ56" s="97" t="str" cm="1">
        <f t="array" aca="1" ref="VZ56" ca="1">IFERROR(INDIRECT(VX56),"")</f>
        <v/>
      </c>
      <c r="WA56" s="97" t="str">
        <f ca="1">IF(VZ56="","",IF(AND(VW56=Stammdaten!$BX$20,VY56="0",VZ56=1),SUBSTITUTE(TEXT(VZ56,VY56)&amp;" "&amp;LEFT(VW56,LEN(VW56)-1),".",","),SUBSTITUTE(TEXT(VZ56,VY56)&amp;" "&amp;VW56,".",",")))</f>
        <v/>
      </c>
      <c r="WB56" s="97" t="str">
        <f t="shared" ca="1" si="121"/>
        <v/>
      </c>
      <c r="WC56" s="97" t="str" cm="1">
        <f t="array" aca="1" ref="WC56" ca="1">IFERROR(LEFT(INDIRECT(WB56),1)&amp;"]","")</f>
        <v/>
      </c>
      <c r="WD56" s="97" t="str">
        <f t="shared" ca="1" si="122"/>
        <v/>
      </c>
      <c r="WE56" s="97" t="str">
        <f ca="1">IFERROR(LEFT(VV56,FIND(Stammdaten!$CA$4,VV56,1)-2),IFERROR(LEFT(VV56,FIND(Stammdaten!$CC$3,VV56,1)-2),VV56))</f>
        <v>Zweite Spielsportart</v>
      </c>
      <c r="WF56" s="97" t="str">
        <f ca="1">IF(NOT(ISERROR(FIND(Stammdaten!$CA$4,VV56,1))),Stammdaten!$CA$4,IF(WG56&lt;&gt;Stammdaten!$CC$3,WD56,""))</f>
        <v>nicht durchgeführt</v>
      </c>
      <c r="WG56" s="91" t="str">
        <f ca="1">IF(VZ56=$A$2,Stammdaten!$CC$3,WA56)</f>
        <v/>
      </c>
      <c r="WH56" s="91" t="str" cm="1">
        <f t="array" aca="1" ref="WH56" ca="1">IFERROR(INDIRECT(ADDRESS(ROW($TW$5),VI56)),VI56)</f>
        <v>Dritte Spielsportart nicht durchgeführt</v>
      </c>
      <c r="WI56" s="97" t="str">
        <f t="shared" ca="1" si="225"/>
        <v/>
      </c>
      <c r="WJ56" s="97" t="str" cm="1">
        <f t="array" aca="1" ref="WJ56" ca="1">IFERROR(IF(INDIRECT(INDEX(INDIRECT(WJ$5),MATCH(WH56,INDIRECT(WJ$4),0)))&lt;&gt;"",INDEX(INDIRECT(WJ$5),MATCH(WH56,INDIRECT(WJ$4),0)),INDEX(INDIRECT(WJ$6),MATCH(WH56,INDIRECT(WJ$4),0))),"")</f>
        <v/>
      </c>
      <c r="WK56" s="97" t="str">
        <f t="shared" ca="1" si="226"/>
        <v/>
      </c>
      <c r="WL56" s="97" t="str" cm="1">
        <f t="array" aca="1" ref="WL56" ca="1">IFERROR(INDIRECT(WJ56),"")</f>
        <v/>
      </c>
      <c r="WM56" s="97" t="str">
        <f ca="1">IF(WL56="","",IF(AND(WI56=Stammdaten!$BX$20,WK56="0",WL56=1),SUBSTITUTE(TEXT(WL56,WK56)&amp;" "&amp;LEFT(WI56,LEN(WI56)-1),".",","),SUBSTITUTE(TEXT(WL56,WK56)&amp;" "&amp;WI56,".",",")))</f>
        <v/>
      </c>
      <c r="WN56" s="97" t="str">
        <f t="shared" ca="1" si="123"/>
        <v/>
      </c>
      <c r="WO56" s="97" t="str" cm="1">
        <f t="array" aca="1" ref="WO56" ca="1">IFERROR(LEFT(INDIRECT(WN56),1)&amp;"]","")</f>
        <v/>
      </c>
      <c r="WP56" s="97" t="str">
        <f t="shared" ca="1" si="124"/>
        <v/>
      </c>
      <c r="WQ56" s="97" t="str">
        <f ca="1">IFERROR(LEFT(WH56,FIND(Stammdaten!$CA$4,WH56,1)-2),IFERROR(LEFT(WH56,FIND(Stammdaten!$CC$3,WH56,1)-2),WH56))</f>
        <v>Dritte Spielsportart</v>
      </c>
      <c r="WR56" s="97" t="str">
        <f ca="1">IF(NOT(ISERROR(FIND(Stammdaten!$CA$4,WH56,1))),Stammdaten!$CA$4,IF(WS56&lt;&gt;Stammdaten!$CC$3,WP56,""))</f>
        <v>nicht durchgeführt</v>
      </c>
      <c r="WS56" s="91" t="str">
        <f ca="1">IF(WL56=$A$2,Stammdaten!$CC$3,WM56)</f>
        <v/>
      </c>
      <c r="WT56" s="97" t="str" cm="1">
        <f t="array" aca="1" ref="WT56" ca="1">INDIRECT(WT$5)</f>
        <v/>
      </c>
      <c r="WU56" s="97" t="str" cm="1">
        <f t="array" aca="1" ref="WU56" ca="1">INDIRECT(WU$5)</f>
        <v/>
      </c>
      <c r="WV56" s="97" t="str" cm="1">
        <f t="array" aca="1" ref="WV56" ca="1">INDIRECT(WV$5)</f>
        <v/>
      </c>
      <c r="WW56" s="97" t="str" cm="1">
        <f t="array" aca="1" ref="WW56" ca="1">INDIRECT(WW$5)</f>
        <v/>
      </c>
      <c r="WX56" s="97" t="str" cm="1">
        <f t="array" aca="1" ref="WX56" ca="1">INDIRECT(WX$5)</f>
        <v/>
      </c>
      <c r="WY56" s="97" cm="1">
        <f t="array" aca="1" ref="WY56" ca="1">IF(INDIRECT(WY$5)&lt;&gt;"",INDIRECT(WY$5),0)</f>
        <v>0</v>
      </c>
      <c r="WZ56" s="97" cm="1">
        <f t="array" aca="1" ref="WZ56" ca="1">IF(INDIRECT(WZ$5)&lt;&gt;"",INDIRECT(WZ$5),0)</f>
        <v>0</v>
      </c>
      <c r="XA56" s="97" cm="1">
        <f t="array" aca="1" ref="XA56" ca="1">IF(INDIRECT(XA$5)&lt;&gt;"",INDIRECT(XA$5),0)</f>
        <v>0</v>
      </c>
      <c r="XB56" s="97" cm="1">
        <f t="array" aca="1" ref="XB56" ca="1">IF(INDIRECT(XB$5)&lt;&gt;"",INDIRECT(XB$5),0)</f>
        <v>0</v>
      </c>
      <c r="XC56" s="97" cm="1">
        <f t="array" aca="1" ref="XC56" ca="1">IF(INDIRECT(XC$5)&lt;&gt;"",INDIRECT(XC$5),0)</f>
        <v>0</v>
      </c>
      <c r="XD56" s="97">
        <f t="shared" ca="1" si="125"/>
        <v>0</v>
      </c>
      <c r="XE56" s="97">
        <f t="shared" ca="1" si="125"/>
        <v>0</v>
      </c>
      <c r="XF56" s="97">
        <f t="shared" ca="1" si="125"/>
        <v>0</v>
      </c>
      <c r="XG56" s="97">
        <f t="shared" ca="1" si="227"/>
        <v>0</v>
      </c>
      <c r="XH56" s="108">
        <f t="shared" ca="1" si="228"/>
        <v>0</v>
      </c>
      <c r="XI56" s="108">
        <f t="shared" ca="1" si="126"/>
        <v>0</v>
      </c>
      <c r="XJ56" s="108" t="str">
        <f t="shared" ca="1" si="229"/>
        <v/>
      </c>
      <c r="XK56" s="97" t="str">
        <f ca="1">IF(XJ56="",Stammdaten!$BZ$1,IF(AND(XH56=0,XI56&gt;=XJ$25),$A$3,ROUND(SUM(XG56/XJ56)/XK$25,0)*XK$25))</f>
        <v>Zu wenige Werte</v>
      </c>
      <c r="XL56" s="108">
        <f t="shared" ca="1" si="230"/>
        <v>6</v>
      </c>
      <c r="XM56" s="97" t="str">
        <f t="shared" ca="1" si="231"/>
        <v/>
      </c>
      <c r="XN56" s="97" t="str">
        <f t="shared" ca="1" si="232"/>
        <v/>
      </c>
      <c r="XO56" s="97" t="str">
        <f t="shared" ca="1" si="233"/>
        <v/>
      </c>
      <c r="XP56" s="97" t="str">
        <f t="shared" ca="1" si="234"/>
        <v/>
      </c>
      <c r="XQ56" s="97" t="str">
        <f t="shared" ca="1" si="235"/>
        <v>g</v>
      </c>
      <c r="XR56" s="97" t="str">
        <f t="shared" ca="1" si="236"/>
        <v/>
      </c>
      <c r="XS56" s="97">
        <f t="shared" ca="1" si="237"/>
        <v>1</v>
      </c>
      <c r="XT56" s="97" t="str">
        <f ca="1">IF(OR(Geschlecht[[#This Row],[Geschlecht (Skala)]]="",NOT(ISNUMBER(XJ56))),"",XS56)</f>
        <v/>
      </c>
      <c r="XU56" s="97" t="str">
        <f t="shared" ca="1" si="238"/>
        <v/>
      </c>
      <c r="XV56" s="97"/>
      <c r="XW56" s="308" t="str">
        <f t="shared" ca="1" si="127"/>
        <v>Zu wenige Werte</v>
      </c>
      <c r="XX56" s="97"/>
      <c r="XY56" s="97" t="str">
        <f t="shared" ca="1" si="128"/>
        <v>Zu wenige Werte</v>
      </c>
      <c r="XZ56" s="97" t="str">
        <f t="shared" ca="1" si="129"/>
        <v>Zu wenige Werte</v>
      </c>
      <c r="YA56" s="97" t="str">
        <f t="shared" ca="1" si="130"/>
        <v>Zu wenige Werte</v>
      </c>
      <c r="YB56" s="97" t="str">
        <f t="shared" ca="1" si="131"/>
        <v>Zu wenige Werte</v>
      </c>
      <c r="YC56" s="97">
        <f t="shared" ca="1" si="239"/>
        <v>0</v>
      </c>
      <c r="YD56" s="108">
        <f t="shared" ca="1" si="240"/>
        <v>0</v>
      </c>
      <c r="YE56" s="108">
        <f t="shared" ca="1" si="241"/>
        <v>0</v>
      </c>
      <c r="YF56" s="108" t="str">
        <f t="shared" ca="1" si="242"/>
        <v/>
      </c>
      <c r="YG56" s="97" t="str">
        <f ca="1">IF(YF56="",Stammdaten!$BZ$1,IF(YE56=YF$25,$A$3,ROUND(SUM(YC56/YF56)/YG$25,0)*YG$25))</f>
        <v>Zu wenige Werte</v>
      </c>
      <c r="YH56" s="97" t="str">
        <f ca="1">IF(NOT(ISNUMBER(XY56)),"",IF(YH$11&lt;&gt;"2+",TEXT(XY56,YH$11)&amp;" / ",IF(RIGHT(XY56*100,2)="00",TEXT(XY56,"0"&amp;Stammdaten!$AZ$3&amp;"0")&amp;" / ",XY56&amp;" / ")))</f>
        <v/>
      </c>
      <c r="YI56" s="97" t="str">
        <f ca="1">IF(NOT(ISNUMBER(XZ56)),"",IF(YI$11&lt;&gt;"2+",TEXT(XZ56,YI$11)&amp;" / ",IF(RIGHT(XZ56*100,2)="00",TEXT(XZ56,"0"&amp;Stammdaten!$AZ$3&amp;"0")&amp;" / ",XZ56&amp;" / ")))</f>
        <v/>
      </c>
      <c r="YJ56" s="97" t="str">
        <f ca="1">IF(NOT(ISNUMBER(YA56)),"",IF(YJ$11&lt;&gt;"2+",TEXT(YA56,YJ$11)&amp;" / ",IF(RIGHT(YA56*100,2)="00",TEXT(YA56,"0"&amp;Stammdaten!$AZ$3&amp;"0")&amp;" / ",YA56&amp;" / ")))</f>
        <v/>
      </c>
      <c r="YK56" s="97" t="str">
        <f ca="1">IF(NOT(ISNUMBER(YB56)),"",IF(YK$11&lt;&gt;"2+",TEXT(YB56,YK$11)&amp;" / ",IF(RIGHT(YB56*100,2)="00",TEXT(YB56,"0"&amp;Stammdaten!$AZ$3&amp;"0")&amp;" / ",YB56&amp;" / ")))</f>
        <v/>
      </c>
      <c r="YL56" s="97" t="str">
        <f t="shared" ca="1" si="243"/>
        <v/>
      </c>
      <c r="YM56" s="97" t="str">
        <f>IF(Geschlecht[[#This Row],[Geschlecht (Skala)]]="","",IF(ISNUMBER(XY56),1,IF(XY56=$A$3,$A$2,"R")))</f>
        <v/>
      </c>
      <c r="YN56" s="97" t="str">
        <f>IF(Geschlecht[[#This Row],[Geschlecht (Skala)]]="","",IF(ISNUMBER(XZ56),1,IF(XZ56=$A$3,$A$2,"R")))</f>
        <v/>
      </c>
      <c r="YO56" s="97" t="str">
        <f>IF(Geschlecht[[#This Row],[Geschlecht (Skala)]]="","",IF(ISNUMBER(YA56),1,IF(YA56=$A$3,$A$2,"R")))</f>
        <v/>
      </c>
      <c r="YP56" s="97" t="str">
        <f>IF(Geschlecht[[#This Row],[Geschlecht (Skala)]]="","",IF(ISNUMBER(YB56),1,IF(YB56=$A$3,$A$2,"R")))</f>
        <v/>
      </c>
      <c r="YQ56" s="97" t="str">
        <f t="shared" si="244"/>
        <v>g</v>
      </c>
      <c r="YR56" s="97" t="str">
        <f t="shared" ca="1" si="245"/>
        <v/>
      </c>
      <c r="YS56" s="97">
        <f t="shared" ca="1" si="246"/>
        <v>1</v>
      </c>
      <c r="YT56" s="97" t="str">
        <f ca="1">IF(OR(Geschlecht[[#This Row],[Geschlecht (Skala)]]="",NOT(ISNUMBER(YG56))),"",YS56)</f>
        <v/>
      </c>
      <c r="YU56" s="97"/>
      <c r="YV56" s="311" t="str">
        <f t="shared" si="247"/>
        <v>D</v>
      </c>
      <c r="YW56" s="302"/>
      <c r="YX56" s="311" t="str">
        <f t="shared" si="248"/>
        <v>D</v>
      </c>
      <c r="YY56" s="302"/>
      <c r="YZ56" s="311" t="str">
        <f t="shared" si="249"/>
        <v>D</v>
      </c>
      <c r="ZA56" s="302"/>
      <c r="ZB56" s="311" t="str">
        <f t="shared" si="250"/>
        <v>D</v>
      </c>
      <c r="ZC56" s="97"/>
      <c r="ZD56" s="97" t="str">
        <f t="shared" ca="1" si="132"/>
        <v/>
      </c>
      <c r="ZE56" s="97"/>
      <c r="ZF56" s="308" t="str">
        <f t="shared" ca="1" si="251"/>
        <v>Zu wenige Werte</v>
      </c>
      <c r="ZH56" s="317" t="s">
        <v>134</v>
      </c>
      <c r="ZJ56" s="91" t="str" cm="1">
        <f t="array" ref="ZJ56">IF(OR(Geschlecht[[#This Row],[Geschlecht (Skala)]]="",ZH56="",ZH56=Stammdaten!$BZ$5),"",REPLACE(INDEX(StdDisziplinen[TabÜberschriftNote],ZH$3),FIND("X",INDEX(StdDisziplinen[TabÜberschriftNote],ZH$3),1),1,Geschlecht[[#This Row],[Geschlecht (Skala)]]))</f>
        <v/>
      </c>
      <c r="ZK56" s="314"/>
      <c r="ZM56" s="315"/>
      <c r="ZN56" s="97" t="str">
        <f>IFERROR(IFERROR(SUBSTITUTE(SchwimmenResultatMin[[#This Row],[Min]],".",",")*1,SUBSTITUTE(SchwimmenResultatMin[[#This Row],[Min]],",",".")*1),"")</f>
        <v/>
      </c>
      <c r="ZO56" s="91" t="e">
        <f>INT(SchwimmenResultatMin[[#This Row],[Resultat]])=SchwimmenResultatMin[[#This Row],[Resultat]]</f>
        <v>#VALUE!</v>
      </c>
      <c r="ZP56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6" s="315"/>
      <c r="ZS56" s="97" t="str">
        <f>IFERROR(IFERROR(SUBSTITUTE(SchwimmenResultatSek[[#This Row],[Sek]],".",",")*1,SUBSTITUTE(SchwimmenResultatSek[[#This Row],[Sek]],",",".")*1),"")</f>
        <v/>
      </c>
      <c r="ZT56" s="108" t="e">
        <f>INT(SchwimmenResultatSek[[#This Row],[Resultat]])=SchwimmenResultatSek[[#This Row],[Resultat]]</f>
        <v>#VALUE!</v>
      </c>
      <c r="ZU56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6" s="97" t="str" cm="1">
        <f t="array" aca="1" ref="ZW56" ca="1">IF(AND(INDIRECT(ZW$2)="",INDIRECT(ZX$2)=""),"",IFERROR((INDIRECT(ZW$2)*$ZW$25)+INDIRECT(ZX$2),""))</f>
        <v/>
      </c>
      <c r="ZX56" s="91" t="str">
        <f ca="1">REPLACE(ZW$4,ZX$6,1,Geschlecht[[#This Row],[Geschlecht (Skala)]])</f>
        <v>Schwimmen_[Resultat]</v>
      </c>
      <c r="ZY56" s="91" t="str">
        <f ca="1">IFERROR(REPLACE($ZX56,FIND(Stammdaten!$V$2,$ZX56,1),LEN(Stammdaten!$V$2),Stammdaten!$BZ$9),"")</f>
        <v>Schwimmen_[Anzeige]</v>
      </c>
      <c r="ZZ56" s="97" t="str" cm="1">
        <f t="array" aca="1" ref="ZZ56" ca="1">IF(INDIRECT(ZW$3)="","",IF(INDIRECT(ZW$3)=0,0,IF(OR(INDIRECT(ZW$1)=$A$2,INDIRECT(ZW$1)=$A$3),$A$3,IFERROR(INDEX(INDIRECT(ZX56),MATCH(INDIRECT(ZW$3),INDIRECT(ZX56),ZY$25)),IFERROR(IF(ZY$25=-1,MAX(INDIRECT(ZX56)),IF(ZY$25=1,MIN(INDIRECT(ZX56)))),"")))))</f>
        <v/>
      </c>
      <c r="AAA56" s="97" t="str" cm="1">
        <f t="array" aca="1" ref="AAA56" ca="1">IF(INDIRECT(ZX$5)=0,0,IF(OR(INDIRECT(ZW$1)=$A$2,INDIRECT(ZW$1)=$A$3),$A$3,IFERROR(INDEX(INDIRECT($ZY56),MATCH(INDIRECT(ZX$5),INDIRECT($ZX56),0)),"")))</f>
        <v/>
      </c>
      <c r="AAC56" s="91" t="str">
        <f ca="1">REPLACE(ZW$6,ZX$6,1,Geschlecht[[#This Row],[Geschlecht (Skala)]])</f>
        <v>Schwimmen_[Note]</v>
      </c>
      <c r="AAD56" s="97" t="str" cm="1">
        <f t="array" aca="1" ref="AAD56" ca="1">IFERROR(INDEX(INDIRECT(AAC56),MATCH(INDIRECT(ZX$5),INDIRECT(ZX56),0)),IF(INDIRECT(ZX$5)=0,1,""))</f>
        <v/>
      </c>
      <c r="AAE56" s="97"/>
      <c r="AAF56" s="96" t="str">
        <f>ZwölfMinLaufHalleResultat[[#This Row],[Resultat]]</f>
        <v/>
      </c>
      <c r="AAG56" s="96"/>
      <c r="AAH56" s="97" t="str">
        <f ca="1">ZwölfMinLaufHalleSkalawert[[#This Row],[Skala-Wert]]</f>
        <v/>
      </c>
      <c r="AAJ56" s="97" t="str">
        <f ca="1">ZwölfMinLaufHalleNote[[#This Row],[Note]]</f>
        <v/>
      </c>
      <c r="AAK56" s="97"/>
      <c r="AAL56" s="96" t="str">
        <f>ZwölfMinLaufimFreienResultat[[#This Row],[Resultat]]</f>
        <v/>
      </c>
      <c r="AAM56" s="96"/>
      <c r="AAN56" s="97" t="str">
        <f ca="1">ZwölfMinLaufimFreienSkalawert[[#This Row],[Skala-Wert]]</f>
        <v/>
      </c>
      <c r="AAP56" s="97" t="str">
        <f ca="1">ZwölfMinLaufimFreienNote[[#This Row],[Note]]</f>
        <v/>
      </c>
      <c r="AAQ56" s="97"/>
      <c r="AAR56" s="307"/>
      <c r="AAS56" s="96" t="str">
        <f>IFERROR(IFERROR(SUBSTITUTE(BeweglichkeitResultat[[#This Row],[Eingabe]],".",",")*1,SUBSTITUTE(BeweglichkeitResultat[[#This Row],[Eingabe]],",",".")*1),"")</f>
        <v/>
      </c>
      <c r="AAT56" s="96" t="e">
        <f>INT(BeweglichkeitResultat[[#This Row],[Resultat]])=BeweglichkeitResultat[[#This Row],[Resultat]]</f>
        <v>#VALUE!</v>
      </c>
      <c r="AAU56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6" s="96"/>
      <c r="AAW56" s="91" t="str" cm="1">
        <f t="array" aca="1" ref="AAW56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6" s="96" t="str">
        <f ca="1">REPLACE(AAW$4,AAX$6,1,Geschlecht[[#This Row],[Geschlecht (Skala)]])</f>
        <v>Beweglichkeit_[Resultat]</v>
      </c>
      <c r="AAY56" s="96" t="str" cm="1">
        <f t="array" aca="1" ref="AAY56" ca="1">IF(OR(INDIRECT(AAW$1)=$A$2,INDIRECT(AAW$1)=$A$3),$A$3,IF(OR(INDIRECT(AAW$2)="",AND(Geschlecht[[#This Row],[Geschlecht (Skala)]]=Stammdaten!$D$7,INDIRECT(AAW$2)&lt;0)),"",IFERROR(INDEX(INDIRECT(AAX56),MATCH(INDIRECT(AAW$3),INDIRECT(AAX56),AAX$25)),IFERROR(IF(AAX$25=-1,MAX(INDIRECT(AAX56)),IF(AAX$25=1,MIN(INDIRECT(AAX56)))),""))))</f>
        <v/>
      </c>
      <c r="AAZ56" s="97" t="str" cm="1">
        <f t="array" aca="1" ref="AAZ56" ca="1">IF(INDIRECT(AAW$1)="","",IF(INDIRECT(AAW$1)=0,0,IF(OR(INDIRECT(AAW$1)=$A$2,INDIRECT(AAW$1)=$A$3),$A$3,IFERROR(INDEX(INDIRECT(AAY56),MATCH(INDIRECT(AAW$3),INDIRECT(AAY56),AAY$27)),IFERROR(IF(AAY$27=-1,MAX(INDIRECT(AAY56)),IF(AAY$27=1,MIN(INDIRECT(AAY56)))),"")))))</f>
        <v/>
      </c>
      <c r="ABA56" s="96" t="str">
        <f ca="1">REPLACE(AAW$6,AAX$6,1,Geschlecht[[#This Row],[Geschlecht (Skala)]])</f>
        <v>Beweglichkeit_[Note]</v>
      </c>
      <c r="ABB56" s="91" t="str" cm="1">
        <f t="array" aca="1" ref="ABB56" ca="1">IFERROR(INDEX(INDIRECT(ABA56),MATCH(INDIRECT(AAW$5),INDIRECT(AAX56),0)),"")</f>
        <v/>
      </c>
      <c r="ABC56" s="97" t="str" cm="1">
        <f t="array" aca="1" ref="ABC56" ca="1">IFERROR(INDEX(INDIRECT(ABB56),MATCH(INDIRECT(AAW$5),INDIRECT(AAY56),0)),"")</f>
        <v/>
      </c>
      <c r="ABD56" s="307"/>
      <c r="ABE56" s="96" t="str">
        <f>IFERROR(IFERROR(SUBSTITUTE(RumpfkraftResultat[[#This Row],[Eingabe]],".",",")*1,SUBSTITUTE(RumpfkraftResultat[[#This Row],[Eingabe]],",",".")*1),"")</f>
        <v/>
      </c>
      <c r="ABF56" s="96" t="e">
        <f>INT(RumpfkraftResultat[[#This Row],[Resultat]])=RumpfkraftResultat[[#This Row],[Resultat]]</f>
        <v>#VALUE!</v>
      </c>
      <c r="ABG56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6" s="96"/>
      <c r="ABI56" s="91" t="str" cm="1">
        <f t="array" aca="1" ref="ABI56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6" s="96" t="str">
        <f ca="1">REPLACE(ABI$4,ABJ$6,1,Geschlecht[[#This Row],[Geschlecht (Skala)]])</f>
        <v>Rumpfkraft_[Resultat]</v>
      </c>
      <c r="ABK56" s="97" t="str" cm="1">
        <f t="array" aca="1" ref="ABK56" ca="1">IF(INDIRECT(ABI$1)="","",IF(OR(INDIRECT(ABI$1)=$A$2,INDIRECT(ABI$1)=$A$3),$A$3,IFERROR(INDEX(INDIRECT(ABJ56),MATCH(INDIRECT(ABI$3),INDIRECT(ABJ56),ABJ$25)),IFERROR(IF(ABJ$25=-1,MAX(INDIRECT(ABJ56)),IF(ABJ$25=1,MIN(INDIRECT(ABJ56)))),""))))</f>
        <v/>
      </c>
      <c r="ABM56" s="91" t="str">
        <f ca="1">REPLACE(ABI$6,ABJ$6,1,Geschlecht[[#This Row],[Geschlecht (Skala)]])</f>
        <v>Rumpfkraft_[Note]</v>
      </c>
      <c r="ABN56" s="97" t="str" cm="1">
        <f t="array" aca="1" ref="ABN56" ca="1">IFERROR(INDEX(INDIRECT(ABM56),MATCH(INDIRECT(ABI$5),INDIRECT(ABJ56),0)),"")</f>
        <v/>
      </c>
      <c r="ABO56" s="97"/>
      <c r="ABP56" s="96" t="str">
        <f>SechzigmLaufResultat[[#This Row],[Resultat]]</f>
        <v/>
      </c>
      <c r="ABQ56" s="96"/>
      <c r="ABR56" s="97" t="str">
        <f ca="1">SechzigmLaufSkalawert[[#This Row],[Skala-Wert]]</f>
        <v/>
      </c>
      <c r="ABT56" s="97" t="str">
        <f ca="1">SechzigmLaufNote[[#This Row],[Note]]</f>
        <v/>
      </c>
      <c r="ABU56" s="97"/>
      <c r="ABV56" s="96" t="str">
        <f>AchtzigmLaufResultat[[#This Row],[Resultat]]</f>
        <v/>
      </c>
      <c r="ABW56" s="96"/>
      <c r="ABX56" s="97" t="str">
        <f ca="1">AchtzigmLaufSkalawert[[#This Row],[Skala-Wert]]</f>
        <v/>
      </c>
      <c r="ABZ56" s="97" t="str">
        <f ca="1">AchtzigmLaufNote[[#This Row],[Note]]</f>
        <v/>
      </c>
      <c r="ACA56" s="97"/>
      <c r="ACB56" s="307"/>
      <c r="ACC56" s="96" t="str">
        <f>IFERROR(IFERROR(SUBSTITUTE(KonditionsparcoursResultat[[#This Row],[Eingabe]],".",",")*1,SUBSTITUTE(KonditionsparcoursResultat[[#This Row],[Eingabe]],",",".")*1),"")</f>
        <v/>
      </c>
      <c r="ACD56" s="96" t="e">
        <f>INT(KonditionsparcoursResultat[[#This Row],[Resultat]])=KonditionsparcoursResultat[[#This Row],[Resultat]]</f>
        <v>#VALUE!</v>
      </c>
      <c r="ACE56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6" s="96"/>
      <c r="ACG56" s="91" t="str" cm="1">
        <f t="array" aca="1" ref="ACG56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6" s="96" t="str">
        <f ca="1">LEFT(Geschlecht[[#This Row],[Geschlecht (Skala)]],1)&amp;ACM$4</f>
        <v>2</v>
      </c>
      <c r="ACI56" s="96" t="str">
        <f t="shared" ca="1" si="133"/>
        <v>Konditionsparcours_2[Resultat]</v>
      </c>
      <c r="ACJ56" s="97" t="str" cm="1">
        <f t="array" aca="1" ref="ACJ56" ca="1">IF(INDIRECT(ACG$1)="","",IF(OR(INDIRECT(ACG$1)=$A$2,INDIRECT(ACG$1)=$A$3),$A$3,IFERROR(INDEX(INDIRECT(ACI56),MATCH(INDIRECT(ACG$3),INDIRECT(ACI56),ACI$25)),IFERROR(IF(ACI$25=-1,MAX(INDIRECT(ACI56)),IF(ACI$25=1,MIN(INDIRECT(ACI56)))),""))))</f>
        <v/>
      </c>
      <c r="ACL56" s="91" t="str">
        <f t="shared" ca="1" si="134"/>
        <v>Konditionsparcours_2[Note]</v>
      </c>
      <c r="ACM56" s="97" t="str" cm="1">
        <f t="array" aca="1" ref="ACM56" ca="1">IFERROR(INDEX(INDIRECT(ACL56),MATCH(INDIRECT(ACG$5),INDIRECT(ACI56),0)),"")</f>
        <v/>
      </c>
      <c r="ACN56" s="102"/>
    </row>
    <row r="57" spans="1:768">
      <c r="A57" s="305">
        <v>30</v>
      </c>
      <c r="B57" s="133"/>
      <c r="C57" s="133"/>
      <c r="E57" s="306"/>
      <c r="G57" s="307"/>
      <c r="H57" s="96" t="str">
        <f>IFERROR(IFERROR(SUBSTITUTE(SechzigmLaufResultat[[#This Row],[Eingabe]],".",",")*1,SUBSTITUTE(SechzigmLaufResultat[[#This Row],[Eingabe]],",",".")*1),"")</f>
        <v/>
      </c>
      <c r="I57" s="96" t="str">
        <f>IF(OR(SechzigmLaufResultat[[#This Row],[Eingabe]]=$A$2,SechzigmLaufResultat[[#This Row],[Eingabe]]=$A$3),1,IF(AND(ISNUMBER(SechzigmLaufResultat[[#This Row],[Resultat]]),SechzigmLaufResultat[[#This Row],[Resultat]]&gt;=0),1,""))</f>
        <v/>
      </c>
      <c r="J57" s="96"/>
      <c r="K57" s="91" t="str" cm="1">
        <f t="array" aca="1" ref="K57" ca="1">IF(OR(INDIRECT(K$2)=0,INDIRECT(K$2)=""),"",IFERROR(IF(AND(K$25=0.5,AND(INDIRECT(K$2)&gt;0,INDIRECT(K$2)&lt;=0.5)),0.5,IF(AND(K$25&lt;&gt;0.5,AND(INDIRECT(K$2)&gt;0,INDIRECT(K$2)&lt;=1)),1,IF(L$25,VALUE(_xlfn.VALUETOTEXT(CEILING(INDIRECT(K$2),K$25))),VALUE(_xlfn.VALUETOTEXT(MROUND(INDIRECT(K$2),K$25)))))),""))</f>
        <v/>
      </c>
      <c r="L57" s="96" t="str">
        <f ca="1">LEFT(Geschlecht[[#This Row],[Geschlecht (Skala)]],1)&amp;Q$4</f>
        <v>2</v>
      </c>
      <c r="M57" s="96" t="str">
        <f t="shared" ca="1" si="37"/>
        <v>SechzigmLauf_2[Resultat]</v>
      </c>
      <c r="N57" s="97" t="str" cm="1">
        <f t="array" aca="1" ref="N57" ca="1">IF(INDIRECT(K$1)="","",IF(INDIRECT(K$2)=0,0,IF(OR(INDIRECT(K$1)=$A$2,INDIRECT(K$1)=$A$3),$A$3,IFERROR(INDEX(INDIRECT(M57),MATCH(INDIRECT(K$3),INDIRECT(M57),M$25)),IFERROR(IF(M$25=-1,MAX(INDIRECT(M57)),IF(M$25=1,MIN(INDIRECT(M57)))),"")))))</f>
        <v/>
      </c>
      <c r="P57" s="91" t="str">
        <f t="shared" ca="1" si="38"/>
        <v>SechzigmLauf_2[Note]</v>
      </c>
      <c r="Q57" s="97" t="str" cm="1">
        <f t="array" aca="1" ref="Q57" ca="1">IFERROR(INDEX(INDIRECT(P57),MATCH(INDIRECT(K$5),INDIRECT(M57),0)),IF(INDIRECT(K$5)=0,1,""))</f>
        <v/>
      </c>
      <c r="R57" s="97"/>
      <c r="S57" s="307"/>
      <c r="T57" s="96" t="str">
        <f>IFERROR(IFERROR(SUBSTITUTE(AchtzigmLaufResultat[[#This Row],[Eingabe]],".",",")*1,SUBSTITUTE(AchtzigmLaufResultat[[#This Row],[Eingabe]],",",".")*1),"")</f>
        <v/>
      </c>
      <c r="U57" s="96" t="str">
        <f>IF(OR(AchtzigmLaufResultat[[#This Row],[Eingabe]]=$A$2,AchtzigmLaufResultat[[#This Row],[Eingabe]]=$A$3),1,IF(AND(ISNUMBER(AchtzigmLaufResultat[[#This Row],[Resultat]]),AchtzigmLaufResultat[[#This Row],[Resultat]]&gt;=0),1,""))</f>
        <v/>
      </c>
      <c r="V57" s="96"/>
      <c r="W57" s="91" t="str" cm="1">
        <f t="array" aca="1" ref="W57" ca="1">IF(OR(INDIRECT(W$2)=0,INDIRECT(W$2)=""),"",IFERROR(IF(AND(W$25=0.5,AND(INDIRECT(W$2)&gt;0,INDIRECT(W$2)&lt;=0.5)),0.5,IF(AND(W$25&lt;&gt;0.5,AND(INDIRECT(W$2)&gt;0,INDIRECT(W$2)&lt;=1)),1,IF(X$25,VALUE(_xlfn.VALUETOTEXT(CEILING(INDIRECT(W$2),W$25))),VALUE(_xlfn.VALUETOTEXT(MROUND(INDIRECT(W$2),W$25)))))),""))</f>
        <v/>
      </c>
      <c r="X57" s="96" t="str">
        <f ca="1">LEFT(Geschlecht[[#This Row],[Geschlecht (Skala)]],1)&amp;AC$4</f>
        <v>2</v>
      </c>
      <c r="Y57" s="96" t="str">
        <f t="shared" ca="1" si="39"/>
        <v>AchtzigmLauf_2[Resultat]</v>
      </c>
      <c r="Z57" s="97" t="str" cm="1">
        <f t="array" aca="1" ref="Z57" ca="1">IF(INDIRECT(W$1)="","",IF(INDIRECT(W$2)=0,0,IF(OR(INDIRECT(W$1)=$A$2,INDIRECT(W$1)=$A$3),$A$3,IFERROR(INDEX(INDIRECT(Y57),MATCH(INDIRECT(W$3),INDIRECT(Y57),Y$25)),IFERROR(IF(Y$25=-1,MAX(INDIRECT(Y57)),IF(Y$25=1,MIN(INDIRECT(Y57)))),"")))))</f>
        <v/>
      </c>
      <c r="AB57" s="91" t="str">
        <f t="shared" ca="1" si="40"/>
        <v>AchtzigmLauf_2[Note]</v>
      </c>
      <c r="AC57" s="97" t="str" cm="1">
        <f t="array" aca="1" ref="AC57" ca="1">IFERROR(INDEX(INDIRECT(AB57),MATCH(INDIRECT(W$5),INDIRECT(Y57),0)),IF(INDIRECT(W$5)=0,1,""))</f>
        <v/>
      </c>
      <c r="AD57" s="97"/>
      <c r="AE57" s="307"/>
      <c r="AF57" s="96" t="str">
        <f>IFERROR(IFERROR(SUBSTITUTE(ZwölfMinLaufHalleResultat[[#This Row],[Eingabe]],".",",")*1,SUBSTITUTE(ZwölfMinLaufHalleResultat[[#This Row],[Eingabe]],",",".")*1),"")</f>
        <v/>
      </c>
      <c r="AG57" s="96" t="str">
        <f>IF(OR(ZwölfMinLaufHalleResultat[[#This Row],[Eingabe]]=$A$2,ZwölfMinLaufHalleResultat[[#This Row],[Eingabe]]=$A$3),1,IF(AND(ISNUMBER(ZwölfMinLaufHalleResultat[[#This Row],[Resultat]]),ZwölfMinLaufHalleResultat[[#This Row],[Resultat]]&gt;=0),1,""))</f>
        <v/>
      </c>
      <c r="AH57" s="96"/>
      <c r="AI57" s="91" t="str" cm="1">
        <f t="array" aca="1" ref="AI57" ca="1">IF(OR(INDIRECT(AI$2)=0,INDIRECT(AI$2)=""),"",IFERROR(IF(AND(AI$25=0.5,AND(INDIRECT(AI$2)&gt;0,INDIRECT(AI$2)&lt;=0.5)),0.5,IF(AND(AI$25&lt;&gt;0.5,AND(INDIRECT(AI$2)&gt;0,INDIRECT(AI$2)&lt;=1)),1,IF(AJ$25,VALUE(_xlfn.VALUETOTEXT(CEILING(INDIRECT(AI$2),AI$25))),VALUE(_xlfn.VALUETOTEXT(MROUND(INDIRECT(AI$2),AI$25)))))),""))</f>
        <v/>
      </c>
      <c r="AJ57" s="96" t="str">
        <f ca="1">LEFT(Geschlecht[[#This Row],[Geschlecht (Skala)]],1)&amp;AO$4</f>
        <v>2</v>
      </c>
      <c r="AK57" s="96" t="str">
        <f t="shared" ca="1" si="41"/>
        <v>ZwölfMinLaufHalle_2[Resultat]</v>
      </c>
      <c r="AL57" s="97" t="str" cm="1">
        <f t="array" aca="1" ref="AL57" ca="1">IF(INDIRECT(AI$1)="","",IF(INDIRECT(AI$2)=0,0,IF(OR(INDIRECT(AI$1)=$A$2,INDIRECT(AI$1)=$A$3),$A$3,IFERROR(INDEX(INDIRECT(AK57),MATCH(INDIRECT(AI$3),INDIRECT(AK57),AK$25)),IFERROR(IF(AK$25=-1,MAX(INDIRECT(AK57)),IF(AK$25=1,MIN(INDIRECT(AK57)))),"")))))</f>
        <v/>
      </c>
      <c r="AN57" s="91" t="str">
        <f t="shared" ca="1" si="42"/>
        <v>ZwölfMinLaufHalle_2[Note]</v>
      </c>
      <c r="AO57" s="97" t="str" cm="1">
        <f t="array" aca="1" ref="AO57" ca="1">IFERROR(INDEX(INDIRECT(AN57),MATCH(INDIRECT(AI$5),INDIRECT(AK57),0)),IF(INDIRECT(AI$5)=0,1,""))</f>
        <v/>
      </c>
      <c r="AP57" s="97"/>
      <c r="AQ57" s="307"/>
      <c r="AR57" s="96" t="str">
        <f>IFERROR(IFERROR(SUBSTITUTE(ZwölfMinLaufimFreienResultat[[#This Row],[Eingabe]],".",",")*1,SUBSTITUTE(ZwölfMinLaufimFreienResultat[[#This Row],[Eingabe]],",",".")*1),"")</f>
        <v/>
      </c>
      <c r="AS57" s="96" t="str">
        <f>IF(OR(ZwölfMinLaufimFreienResultat[[#This Row],[Eingabe]]=$A$2,ZwölfMinLaufimFreienResultat[[#This Row],[Eingabe]]=$A$3),1,IF(AND(ISNUMBER(ZwölfMinLaufimFreienResultat[[#This Row],[Resultat]]),ZwölfMinLaufimFreienResultat[[#This Row],[Resultat]]&gt;=0),1,""))</f>
        <v/>
      </c>
      <c r="AT57" s="96"/>
      <c r="AU57" s="91" t="str" cm="1">
        <f t="array" aca="1" ref="AU57" ca="1">IF(OR(INDIRECT(AU$2)=0,INDIRECT(AU$2)=""),"",IFERROR(IF(AND(AU$25=0.5,AND(INDIRECT(AU$2)&gt;0,INDIRECT(AU$2)&lt;=0.5)),0.5,IF(AND(AU$25&lt;&gt;0.5,AND(INDIRECT(AU$2)&gt;0,INDIRECT(AU$2)&lt;=1)),1,IF(AV$25,VALUE(_xlfn.VALUETOTEXT(CEILING(INDIRECT(AU$2),AU$25))),VALUE(_xlfn.VALUETOTEXT(MROUND(INDIRECT(AU$2),AU$25)))))),""))</f>
        <v/>
      </c>
      <c r="AV57" s="96" t="str">
        <f ca="1">LEFT(Geschlecht[[#This Row],[Geschlecht (Skala)]],1)&amp;BA$4</f>
        <v>2</v>
      </c>
      <c r="AW57" s="96" t="str">
        <f t="shared" ca="1" si="43"/>
        <v>ZwölfMinLaufimFreien_2[Resultat]</v>
      </c>
      <c r="AX57" s="97" t="str" cm="1">
        <f t="array" aca="1" ref="AX57" ca="1">IF(INDIRECT(AU$1)="","",IF(INDIRECT(AU$2)=0,0,IF(OR(INDIRECT(AU$1)=$A$2,INDIRECT(AU$1)=$A$3),$A$3,IFERROR(INDEX(INDIRECT(AW57),MATCH(INDIRECT(AU$3),INDIRECT(AW57),AW$25)),IFERROR(IF(AW$25=-1,MAX(INDIRECT(AW57)),IF(AW$25=1,MIN(INDIRECT(AW57)))),"")))))</f>
        <v/>
      </c>
      <c r="AZ57" s="91" t="str">
        <f t="shared" ca="1" si="44"/>
        <v>ZwölfMinLaufimFreien_2[Note]</v>
      </c>
      <c r="BA57" s="97" t="str" cm="1">
        <f t="array" aca="1" ref="BA57" ca="1">IFERROR(INDEX(INDIRECT(AZ57),MATCH(INDIRECT(AU$5),INDIRECT(AW57),0)),IF(INDIRECT(AU$5)=0,1,""))</f>
        <v/>
      </c>
      <c r="BB57" s="97"/>
      <c r="BC57" s="307"/>
      <c r="BD57" s="96" t="str">
        <f>IFERROR(IFERROR(SUBSTITUTE(HochsprungResultat[[#This Row],[Eingabe]],".",",")*1,SUBSTITUTE(HochsprungResultat[[#This Row],[Eingabe]],",",".")*1),"")</f>
        <v/>
      </c>
      <c r="BE57" s="96" t="str">
        <f>IF(OR(HochsprungResultat[[#This Row],[Eingabe]]=$A$2,HochsprungResultat[[#This Row],[Eingabe]]=$A$3),1,IF(AND(ISNUMBER(HochsprungResultat[[#This Row],[Resultat]]),HochsprungResultat[[#This Row],[Resultat]]&gt;=0),1,""))</f>
        <v/>
      </c>
      <c r="BF57" s="96"/>
      <c r="BG57" s="91" t="str" cm="1">
        <f t="array" aca="1" ref="BG57" ca="1">IF(OR(INDIRECT(BG$2)=0,INDIRECT(BG$2)=""),"",IFERROR(IF(AND(BG$25=0.5,AND(INDIRECT(BG$2)&gt;0,INDIRECT(BG$2)&lt;=0.5)),0.5,IF(AND(BG$25&lt;&gt;0.5,AND(INDIRECT(BG$2)&gt;0,INDIRECT(BG$2)&lt;=1)),1,IF(BH$25,VALUE(_xlfn.VALUETOTEXT(CEILING(INDIRECT(BG$2),BG$25))),VALUE(_xlfn.VALUETOTEXT(MROUND(INDIRECT(BG$2),BG$25)))))),""))</f>
        <v/>
      </c>
      <c r="BH57" s="96" t="str">
        <f ca="1">LEFT(Geschlecht[[#This Row],[Geschlecht (Skala)]],1)&amp;BM$4</f>
        <v>2</v>
      </c>
      <c r="BI57" s="96" t="str">
        <f t="shared" ca="1" si="45"/>
        <v>Hochsprung_2[Resultat]</v>
      </c>
      <c r="BJ57" s="97" t="str" cm="1">
        <f t="array" aca="1" ref="BJ57" ca="1">IF(INDIRECT(BG$1)="","",IF(INDIRECT(BG$2)=0,0,IF(OR(INDIRECT(BG$1)=$A$2,INDIRECT(BG$1)=$A$3),$A$3,IFERROR(INDEX(INDIRECT(BI57),MATCH(INDIRECT(BG$3),INDIRECT(BI57),BI$25)),IFERROR(IF(BI$25=-1,MAX(INDIRECT(BI57)),IF(BI$25=1,MIN(INDIRECT(BI57)))),"")))))</f>
        <v/>
      </c>
      <c r="BL57" s="91" t="str">
        <f t="shared" ca="1" si="46"/>
        <v>Hochsprung_2[Note]</v>
      </c>
      <c r="BM57" s="97" t="str" cm="1">
        <f t="array" aca="1" ref="BM57" ca="1">IFERROR(INDEX(INDIRECT(BL57),MATCH(INDIRECT(BG$5),INDIRECT(BI57),0)),IF(INDIRECT(BG$5)=0,1,""))</f>
        <v/>
      </c>
      <c r="BN57" s="97"/>
      <c r="BO57" s="307"/>
      <c r="BP57" s="96" t="str">
        <f>IFERROR(IFERROR(SUBSTITUTE(WeitsprungResultat[[#This Row],[Eingabe]],".",",")*1,SUBSTITUTE(WeitsprungResultat[[#This Row],[Eingabe]],",",".")*1),"")</f>
        <v/>
      </c>
      <c r="BQ57" s="96" t="str">
        <f>IF(OR(WeitsprungResultat[[#This Row],[Eingabe]]=$A$2,WeitsprungResultat[[#This Row],[Eingabe]]=$A$3),1,IF(AND(ISNUMBER(WeitsprungResultat[[#This Row],[Resultat]]),WeitsprungResultat[[#This Row],[Resultat]]&gt;=0),1,""))</f>
        <v/>
      </c>
      <c r="BR57" s="96"/>
      <c r="BS57" s="91" t="str" cm="1">
        <f t="array" aca="1" ref="BS57" ca="1">IF(OR(INDIRECT(BS$2)=0,INDIRECT(BS$2)=""),"",IFERROR(IF(AND(BS$25=0.5,AND(INDIRECT(BS$2)&gt;0,INDIRECT(BS$2)&lt;=0.5)),0.5,IF(AND(BS$25&lt;&gt;0.5,AND(INDIRECT(BS$2)&gt;0,INDIRECT(BS$2)&lt;=1)),1,IF(BT$25,VALUE(_xlfn.VALUETOTEXT(CEILING(INDIRECT(BS$2),BS$25))),VALUE(_xlfn.VALUETOTEXT(MROUND(INDIRECT(BS$2),BS$25)))))),""))</f>
        <v/>
      </c>
      <c r="BT57" s="96" t="str">
        <f ca="1">LEFT(Geschlecht[[#This Row],[Geschlecht (Skala)]],1)&amp;BY$4</f>
        <v>2</v>
      </c>
      <c r="BU57" s="96" t="str">
        <f t="shared" ca="1" si="47"/>
        <v>Weitsprung_2[Resultat]</v>
      </c>
      <c r="BV57" s="97" t="str" cm="1">
        <f t="array" aca="1" ref="BV57" ca="1">IF(INDIRECT(BS$1)="","",IF(INDIRECT(BS$2)=0,0,IF(OR(INDIRECT(BS$1)=$A$2,INDIRECT(BS$1)=$A$3),$A$3,IFERROR(INDEX(INDIRECT(BU57),MATCH(INDIRECT(BS$3),INDIRECT(BU57),BU$25)),IFERROR(IF(BU$25=-1,MAX(INDIRECT(BU57)),IF(BU$25=1,MIN(INDIRECT(BU57)))),"")))))</f>
        <v/>
      </c>
      <c r="BX57" s="91" t="str">
        <f t="shared" ca="1" si="48"/>
        <v>Weitsprung_2[Note]</v>
      </c>
      <c r="BY57" s="97" t="str" cm="1">
        <f t="array" aca="1" ref="BY57" ca="1">IFERROR(INDEX(INDIRECT(BX57),MATCH(INDIRECT(BS$5),INDIRECT(BU57),0)),IF(INDIRECT(BS$5)=0,1,""))</f>
        <v/>
      </c>
      <c r="BZ57" s="97"/>
      <c r="CA57" s="307"/>
      <c r="CB57" s="96" t="str">
        <f>IFERROR(IFERROR(SUBSTITUTE(BallwurfResultat[[#This Row],[Eingabe]],".",",")*1,SUBSTITUTE(BallwurfResultat[[#This Row],[Eingabe]],",",".")*1),"")</f>
        <v/>
      </c>
      <c r="CC57" s="96" t="str">
        <f>IF(OR(BallwurfResultat[[#This Row],[Eingabe]]=$A$2,BallwurfResultat[[#This Row],[Eingabe]]=$A$3),1,IF(AND(ISNUMBER(BallwurfResultat[[#This Row],[Resultat]]),BallwurfResultat[[#This Row],[Resultat]]&gt;=0),1,""))</f>
        <v/>
      </c>
      <c r="CD57" s="96"/>
      <c r="CE57" s="91" t="str" cm="1">
        <f t="array" aca="1" ref="CE57" ca="1">IF(OR(INDIRECT(CE$2)=0,INDIRECT(CE$2)=""),"",IFERROR(IF(AND(CE$25=0.5,AND(INDIRECT(CE$2)&gt;0,INDIRECT(CE$2)&lt;=0.5)),0.5,IF(AND(CE$25&lt;&gt;0.5,AND(INDIRECT(CE$2)&gt;0,INDIRECT(CE$2)&lt;=1)),1,IF(CF$25,VALUE(_xlfn.VALUETOTEXT(CEILING(INDIRECT(CE$2),CE$25))),VALUE(_xlfn.VALUETOTEXT(MROUND(INDIRECT(CE$2),CE$25)))))),""))</f>
        <v/>
      </c>
      <c r="CF57" s="96" t="str">
        <f ca="1">LEFT(Geschlecht[[#This Row],[Geschlecht (Skala)]],1)&amp;CK$4</f>
        <v>2</v>
      </c>
      <c r="CG57" s="96" t="str">
        <f t="shared" ca="1" si="49"/>
        <v>Ballwurf_2[Resultat]</v>
      </c>
      <c r="CH57" s="97" t="str" cm="1">
        <f t="array" aca="1" ref="CH57" ca="1">IF(INDIRECT(CE$1)="","",IF(INDIRECT(CE$2)=0,0,IF(OR(INDIRECT(CE$1)=$A$2,INDIRECT(CE$1)=$A$3),$A$3,IFERROR(INDEX(INDIRECT(CG57),MATCH(INDIRECT(CE$3),INDIRECT(CG57),CG$25)),IFERROR(IF(CG$25=-1,MAX(INDIRECT(CG57)),IF(CG$25=1,MIN(INDIRECT(CG57)))),"")))))</f>
        <v/>
      </c>
      <c r="CJ57" s="91" t="str">
        <f t="shared" ca="1" si="50"/>
        <v>Ballwurf_2[Note]</v>
      </c>
      <c r="CK57" s="97" t="str" cm="1">
        <f t="array" aca="1" ref="CK57" ca="1">IFERROR(INDEX(INDIRECT(CJ57),MATCH(INDIRECT(CE$5),INDIRECT(CG57),0)),IF(INDIRECT(CE$5)=0,1,""))</f>
        <v/>
      </c>
      <c r="CL57" s="97"/>
      <c r="CM57" s="307"/>
      <c r="CN57" s="96" t="str">
        <f>IFERROR(IFERROR(SUBSTITUTE(KugelstossenResultat[[#This Row],[Eingabe]],".",",")*1,SUBSTITUTE(KugelstossenResultat[[#This Row],[Eingabe]],",",".")*1),"")</f>
        <v/>
      </c>
      <c r="CO57" s="96" t="str">
        <f>IF(OR(KugelstossenResultat[[#This Row],[Eingabe]]=$A$2,KugelstossenResultat[[#This Row],[Eingabe]]=$A$3),1,IF(AND(ISNUMBER(KugelstossenResultat[[#This Row],[Resultat]]),KugelstossenResultat[[#This Row],[Resultat]]&gt;=0),1,""))</f>
        <v/>
      </c>
      <c r="CP57" s="96"/>
      <c r="CQ57" s="91" t="str" cm="1">
        <f t="array" aca="1" ref="CQ57" ca="1">IF(OR(INDIRECT(CQ$2)=0,INDIRECT(CQ$2)=""),"",IFERROR(IF(AND(CQ$25=0.5,AND(INDIRECT(CQ$2)&gt;0,INDIRECT(CQ$2)&lt;=0.5)),0.5,IF(AND(CQ$25&lt;&gt;0.5,AND(INDIRECT(CQ$2)&gt;0,INDIRECT(CQ$2)&lt;=1)),1,IF(CR$25,VALUE(_xlfn.VALUETOTEXT(CEILING(INDIRECT(CQ$2),CQ$25))),VALUE(_xlfn.VALUETOTEXT(MROUND(INDIRECT(CQ$2),CQ$25)))))),""))</f>
        <v/>
      </c>
      <c r="CR57" s="96" t="str">
        <f ca="1">LEFT(Geschlecht[[#This Row],[Geschlecht (Skala)]],1)&amp;CW$4</f>
        <v>2</v>
      </c>
      <c r="CS57" s="96" t="str">
        <f t="shared" ca="1" si="51"/>
        <v>Kugelstossen_2[Resultat]</v>
      </c>
      <c r="CT57" s="97" t="str" cm="1">
        <f t="array" aca="1" ref="CT57" ca="1">IF(INDIRECT(CQ$1)="","",IF(INDIRECT(CQ$2)=0,0,IF(OR(INDIRECT(CQ$1)=$A$2,INDIRECT(CQ$1)=$A$3),$A$3,IFERROR(INDEX(INDIRECT(CS57),MATCH(INDIRECT(CQ$3),INDIRECT(CS57),CS$25)),IFERROR(IF(CS$25=-1,MAX(INDIRECT(CS57)),IF(CS$25=1,MIN(INDIRECT(CS57)))),"")))))</f>
        <v/>
      </c>
      <c r="CV57" s="91" t="str">
        <f t="shared" ca="1" si="52"/>
        <v>Kugelstossen_2[Note]</v>
      </c>
      <c r="CW57" s="97" t="str" cm="1">
        <f t="array" aca="1" ref="CW57" ca="1">IFERROR(INDEX(INDIRECT(CV57),MATCH(INDIRECT(CQ$5),INDIRECT(CS57),0)),IF(INDIRECT(CQ$5)=0,1,""))</f>
        <v/>
      </c>
      <c r="CX57" s="97"/>
      <c r="CY57" s="307"/>
      <c r="CZ57" s="96" t="str">
        <f>IFERROR(IFERROR(SUBSTITUTE(SpeerwurfResultat[[#This Row],[Eingabe]],".",",")*1,SUBSTITUTE(SpeerwurfResultat[[#This Row],[Eingabe]],",",".")*1),"")</f>
        <v/>
      </c>
      <c r="DA57" s="96" t="str">
        <f>IF(OR(SpeerwurfResultat[[#This Row],[Eingabe]]=$A$2,SpeerwurfResultat[[#This Row],[Eingabe]]=$A$3),1,IF(AND(ISNUMBER(SpeerwurfResultat[[#This Row],[Resultat]]),SpeerwurfResultat[[#This Row],[Resultat]]&gt;=0),1,""))</f>
        <v/>
      </c>
      <c r="DB57" s="96"/>
      <c r="DC57" s="91" t="str" cm="1">
        <f t="array" aca="1" ref="DC57" ca="1">IF(OR(INDIRECT(DC$2)=0,INDIRECT(DC$2)=""),"",IFERROR(IF(AND(DC$25=0.5,AND(INDIRECT(DC$2)&gt;0,INDIRECT(DC$2)&lt;=0.5)),0.5,IF(AND(DC$25&lt;&gt;0.5,AND(INDIRECT(DC$2)&gt;0,INDIRECT(DC$2)&lt;=1)),1,IF(DD$25,VALUE(_xlfn.VALUETOTEXT(CEILING(INDIRECT(DC$2),DC$25))),VALUE(_xlfn.VALUETOTEXT(MROUND(INDIRECT(DC$2),DC$25)))))),""))</f>
        <v/>
      </c>
      <c r="DD57" s="96" t="str">
        <f ca="1">LEFT(Geschlecht[[#This Row],[Geschlecht (Skala)]],1)&amp;DI$4</f>
        <v>2</v>
      </c>
      <c r="DE57" s="96" t="str">
        <f t="shared" ca="1" si="53"/>
        <v>Speerwurf_2[Resultat]</v>
      </c>
      <c r="DF57" s="97" t="str" cm="1">
        <f t="array" aca="1" ref="DF57" ca="1">IF(INDIRECT(DC$1)="","",IF(INDIRECT(DC$2)=0,0,IF(OR(INDIRECT(DC$1)=$A$2,INDIRECT(DC$1)=$A$3),$A$3,IFERROR(INDEX(INDIRECT(DE57),MATCH(INDIRECT(DC$3),INDIRECT(DE57),DE$25)),IFERROR(IF(DE$25=-1,MAX(INDIRECT(DE57)),IF(DE$25=1,MIN(INDIRECT(DE57)))),"")))))</f>
        <v/>
      </c>
      <c r="DH57" s="91" t="str">
        <f t="shared" ca="1" si="54"/>
        <v>Speerwurf_2[Note]</v>
      </c>
      <c r="DI57" s="97" t="str" cm="1">
        <f t="array" aca="1" ref="DI57" ca="1">IFERROR(INDEX(INDIRECT(DH57),MATCH(INDIRECT(DC$5),INDIRECT(DE57),0)),IF(INDIRECT(DC$5)=0,1,""))</f>
        <v/>
      </c>
      <c r="DJ57" s="97"/>
      <c r="DK57" s="97" t="str" cm="1">
        <f t="array" aca="1" ref="DK57" ca="1">INDIRECT(DK$5)</f>
        <v/>
      </c>
      <c r="DL57" s="97" t="str" cm="1">
        <f t="array" aca="1" ref="DL57" ca="1">INDIRECT(DL$5)</f>
        <v/>
      </c>
      <c r="DM57" s="97" t="str" cm="1">
        <f t="array" aca="1" ref="DM57" ca="1">INDIRECT(DM$5)</f>
        <v/>
      </c>
      <c r="DN57" s="97" t="str" cm="1">
        <f t="array" aca="1" ref="DN57" ca="1">INDIRECT(DN$5)</f>
        <v/>
      </c>
      <c r="DO57" s="97" t="str">
        <f t="shared" ca="1" si="135"/>
        <v>Sprintdisziplinen nicht durchgeführt</v>
      </c>
      <c r="DP57" s="97" t="str">
        <f t="shared" ca="1" si="136"/>
        <v/>
      </c>
      <c r="DQ57" s="108">
        <f t="shared" ca="1" si="137"/>
        <v>0</v>
      </c>
      <c r="DR57" s="108">
        <f t="shared" ca="1" si="138"/>
        <v>0</v>
      </c>
      <c r="DS57" s="108" t="str">
        <f t="shared" ca="1" si="139"/>
        <v/>
      </c>
      <c r="DT57" s="97" t="str">
        <f t="shared" ca="1" si="140"/>
        <v>Sprintdisziplinen nicht durchgeführt</v>
      </c>
      <c r="DU57" s="97" t="str">
        <f t="shared" ca="1" si="141"/>
        <v/>
      </c>
      <c r="DV57" s="97" t="str" cm="1">
        <f t="array" aca="1" ref="DV57" ca="1">IFERROR(IF(INDIRECT(INDEX(INDIRECT(DV$5),MATCH(DT57,INDIRECT(DV$4),0)))&lt;&gt;"",INDEX(INDIRECT(DV$5),MATCH(DT57,INDIRECT(DV$4),0)),INDEX(INDIRECT(DV$6),MATCH(DT57,INDIRECT(DV$4),0))),"")</f>
        <v/>
      </c>
      <c r="DW57" s="97" t="str">
        <f t="shared" ca="1" si="142"/>
        <v/>
      </c>
      <c r="DX57" s="97" t="str" cm="1">
        <f t="array" aca="1" ref="DX57" ca="1">IFERROR(INDIRECT(DV57),IF(NOT(ISERROR(FIND(Stammdaten!$CC$3,DT57,1))),$A$2,""))</f>
        <v/>
      </c>
      <c r="DY57" s="97" t="str">
        <f ca="1">IF(DX57="","",IF(AND(DU57=Stammdaten!$BX$20,DW57="0",DX57=1),SUBSTITUTE(TEXT(DX57,DW57)&amp;" "&amp;LEFT(DU57,LEN(DU57)-1),".",","),SUBSTITUTE(TEXT(DX57,DW57)&amp;" "&amp;DU57,".",",")))</f>
        <v/>
      </c>
      <c r="DZ57" s="97" t="str">
        <f t="shared" ca="1" si="55"/>
        <v/>
      </c>
      <c r="EA57" s="97" t="str" cm="1">
        <f t="array" aca="1" ref="EA57" ca="1">IFERROR(LEFT(INDIRECT(DZ57),1)&amp;"]","")</f>
        <v/>
      </c>
      <c r="EB57" s="97" t="str">
        <f t="shared" ca="1" si="56"/>
        <v/>
      </c>
      <c r="EC57" s="97" t="str">
        <f ca="1">IFERROR(LEFT(DT57,FIND(Stammdaten!$CA$4,DT57,1)-2),IFERROR(LEFT(DT57,FIND(Stammdaten!$CC$3,DT57,1)-2),DT57))</f>
        <v>Sprintdisziplinen</v>
      </c>
      <c r="ED57" s="97" t="str">
        <f ca="1">IF(NOT(ISERROR(FIND(Stammdaten!$CA$4,DT57,1))),Stammdaten!$CA$4,IF(EE57&lt;&gt;Stammdaten!$CC$3,EB57,""))</f>
        <v>nicht durchgeführt</v>
      </c>
      <c r="EE57" s="91" t="str">
        <f ca="1">IF(DX57=$A$2,Stammdaten!$CC$3,DY57)</f>
        <v/>
      </c>
      <c r="EF57" s="97" t="str" cm="1">
        <f t="array" aca="1" ref="EF57" ca="1">INDIRECT(EF$5)</f>
        <v/>
      </c>
      <c r="EG57" s="97" t="str" cm="1">
        <f t="array" aca="1" ref="EG57" ca="1">INDIRECT(EG$5)</f>
        <v/>
      </c>
      <c r="EH57" s="97" t="str" cm="1">
        <f t="array" aca="1" ref="EH57" ca="1">INDIRECT(EH$5)</f>
        <v/>
      </c>
      <c r="EI57" s="97" t="str" cm="1">
        <f t="array" aca="1" ref="EI57" ca="1">INDIRECT(EI$5)</f>
        <v/>
      </c>
      <c r="EJ57" s="97" t="str">
        <f t="shared" ca="1" si="143"/>
        <v>Ausdauerdisziplinen nicht durchgeführt</v>
      </c>
      <c r="EK57" s="97" t="str">
        <f t="shared" ca="1" si="144"/>
        <v/>
      </c>
      <c r="EL57" s="108">
        <f t="shared" ca="1" si="145"/>
        <v>0</v>
      </c>
      <c r="EM57" s="108">
        <f t="shared" ca="1" si="146"/>
        <v>0</v>
      </c>
      <c r="EN57" s="108" t="str">
        <f t="shared" ca="1" si="147"/>
        <v/>
      </c>
      <c r="EO57" s="97" t="str">
        <f t="shared" ca="1" si="148"/>
        <v>Ausdauerdisziplinen nicht durchgeführt</v>
      </c>
      <c r="EP57" s="97" t="str">
        <f t="shared" ca="1" si="149"/>
        <v/>
      </c>
      <c r="EQ57" s="97" t="str" cm="1">
        <f t="array" aca="1" ref="EQ57" ca="1">IFERROR(IF(INDIRECT(INDEX(INDIRECT(EQ$5),MATCH(EO57,INDIRECT(EQ$4),0)))&lt;&gt;"",INDEX(INDIRECT(EQ$5),MATCH(EO57,INDIRECT(EQ$4),0)),INDEX(INDIRECT(EQ$6),MATCH(EO57,INDIRECT(EQ$4),0))),"")</f>
        <v/>
      </c>
      <c r="ER57" s="97" t="str">
        <f t="shared" ca="1" si="150"/>
        <v/>
      </c>
      <c r="ES57" s="97" t="str" cm="1">
        <f t="array" aca="1" ref="ES57" ca="1">IFERROR(INDIRECT(EQ57),IF(NOT(ISERROR(FIND(Stammdaten!$CC$3,EO57,1))),$A$2,""))</f>
        <v/>
      </c>
      <c r="ET57" s="97" t="str">
        <f ca="1">IF(ES57="","",IF(AND(EP57=Stammdaten!$BX$20,ER57="0",ES57=1),SUBSTITUTE(TEXT(ES57,ER57)&amp;" "&amp;LEFT(EP57,LEN(EP57)-1),".",","),SUBSTITUTE(TEXT(ES57,ER57)&amp;" "&amp;EP57,".",",")))</f>
        <v/>
      </c>
      <c r="EU57" s="97" t="str">
        <f t="shared" ca="1" si="57"/>
        <v/>
      </c>
      <c r="EV57" s="97" t="str" cm="1">
        <f t="array" aca="1" ref="EV57" ca="1">IFERROR(LEFT(INDIRECT(EU57),1)&amp;"]","")</f>
        <v/>
      </c>
      <c r="EW57" s="97" t="str">
        <f t="shared" ca="1" si="58"/>
        <v/>
      </c>
      <c r="EX57" s="97" t="str">
        <f ca="1">IFERROR(LEFT(EO57,FIND(Stammdaten!$CA$4,EO57,1)-2),IFERROR(LEFT(EO57,FIND(Stammdaten!$CC$3,EO57,1)-2),EO57))</f>
        <v>Ausdauerdisziplinen</v>
      </c>
      <c r="EY57" s="97" t="str">
        <f ca="1">IF(NOT(ISERROR(FIND(Stammdaten!$CA$4,EO57,1))),Stammdaten!$CA$4,IF(EZ57&lt;&gt;Stammdaten!$CC$3,EW57,""))</f>
        <v>nicht durchgeführt</v>
      </c>
      <c r="EZ57" s="91" t="str">
        <f ca="1">IF(ES57=$A$2,Stammdaten!$CC$3,ET57)</f>
        <v/>
      </c>
      <c r="FA57" s="97" t="str" cm="1">
        <f t="array" aca="1" ref="FA57" ca="1">INDIRECT(FA$5)</f>
        <v/>
      </c>
      <c r="FB57" s="97" t="str" cm="1">
        <f t="array" aca="1" ref="FB57" ca="1">INDIRECT(FB$5)</f>
        <v/>
      </c>
      <c r="FC57" s="97" t="str" cm="1">
        <f t="array" aca="1" ref="FC57" ca="1">INDIRECT(FC$5)</f>
        <v/>
      </c>
      <c r="FD57" s="97" t="str" cm="1">
        <f t="array" aca="1" ref="FD57" ca="1">INDIRECT(FD$5)</f>
        <v/>
      </c>
      <c r="FE57" s="97" t="str">
        <f t="shared" ca="1" si="151"/>
        <v>Sprungdisziplinen nicht durchgeführt</v>
      </c>
      <c r="FF57" s="97" t="str">
        <f t="shared" ca="1" si="152"/>
        <v/>
      </c>
      <c r="FG57" s="108">
        <f t="shared" ca="1" si="153"/>
        <v>0</v>
      </c>
      <c r="FH57" s="108">
        <f t="shared" ca="1" si="154"/>
        <v>0</v>
      </c>
      <c r="FI57" s="108" t="str">
        <f t="shared" ca="1" si="155"/>
        <v/>
      </c>
      <c r="FJ57" s="97" t="str">
        <f t="shared" ca="1" si="156"/>
        <v>Sprungdisziplinen nicht durchgeführt</v>
      </c>
      <c r="FK57" s="97" t="str">
        <f t="shared" ca="1" si="157"/>
        <v/>
      </c>
      <c r="FL57" s="97" t="str" cm="1">
        <f t="array" aca="1" ref="FL57" ca="1">IFERROR(IF(INDIRECT(INDEX(INDIRECT(FL$5),MATCH(FJ57,INDIRECT(FL$4),0)))&lt;&gt;"",INDEX(INDIRECT(FL$5),MATCH(FJ57,INDIRECT(FL$4),0)),INDEX(INDIRECT(FL$6),MATCH(FJ57,INDIRECT(FL$4),0))),"")</f>
        <v/>
      </c>
      <c r="FM57" s="97" t="str">
        <f t="shared" ca="1" si="158"/>
        <v/>
      </c>
      <c r="FN57" s="97" t="str" cm="1">
        <f t="array" aca="1" ref="FN57" ca="1">IFERROR(INDIRECT(FL57),IF(NOT(ISERROR(FIND(Stammdaten!$CC$3,FJ57,1))),$A$2,""))</f>
        <v/>
      </c>
      <c r="FO57" s="97" t="str">
        <f ca="1">IF(FN57="","",IF(AND(FK57=Stammdaten!$BX$20,FM57="0",FN57=1),SUBSTITUTE(TEXT(FN57,FM57)&amp;" "&amp;LEFT(FK57,LEN(FK57)-1),".",","),SUBSTITUTE(TEXT(FN57,FM57)&amp;" "&amp;FK57,".",",")))</f>
        <v/>
      </c>
      <c r="FP57" s="97" t="str">
        <f t="shared" ca="1" si="59"/>
        <v/>
      </c>
      <c r="FQ57" s="97" t="str" cm="1">
        <f t="array" aca="1" ref="FQ57" ca="1">IFERROR(LEFT(INDIRECT(FP57),1)&amp;"]","")</f>
        <v/>
      </c>
      <c r="FR57" s="97" t="str">
        <f t="shared" ca="1" si="60"/>
        <v/>
      </c>
      <c r="FS57" s="97" t="str">
        <f ca="1">IFERROR(LEFT(FJ57,FIND(Stammdaten!$CA$4,FJ57,1)-2),IFERROR(LEFT(FJ57,FIND(Stammdaten!$CC$3,FJ57,1)-2),FJ57))</f>
        <v>Sprungdisziplinen</v>
      </c>
      <c r="FT57" s="97" t="str">
        <f ca="1">IF(NOT(ISERROR(FIND(Stammdaten!$CA$4,FJ57,1))),Stammdaten!$CA$4,IF(FU57&lt;&gt;Stammdaten!$CC$3,FR57,""))</f>
        <v>nicht durchgeführt</v>
      </c>
      <c r="FU57" s="91" t="str">
        <f ca="1">IF(FN57=$A$2,Stammdaten!$CC$3,FO57)</f>
        <v/>
      </c>
      <c r="FV57" s="97" t="str" cm="1">
        <f t="array" aca="1" ref="FV57" ca="1">INDIRECT(FV$5)</f>
        <v/>
      </c>
      <c r="FW57" s="97" t="str" cm="1">
        <f t="array" aca="1" ref="FW57" ca="1">INDIRECT(FW$5)</f>
        <v/>
      </c>
      <c r="FX57" s="97" t="str" cm="1">
        <f t="array" aca="1" ref="FX57" ca="1">INDIRECT(FX$5)</f>
        <v/>
      </c>
      <c r="FY57" s="97" t="str" cm="1">
        <f t="array" aca="1" ref="FY57" ca="1">INDIRECT(FY$5)</f>
        <v/>
      </c>
      <c r="FZ57" s="97" t="str" cm="1">
        <f t="array" aca="1" ref="FZ57" ca="1">INDIRECT(FZ$5)</f>
        <v/>
      </c>
      <c r="GA57" s="97" t="str" cm="1">
        <f t="array" aca="1" ref="GA57" ca="1">INDIRECT(GA$5)</f>
        <v/>
      </c>
      <c r="GB57" s="97" t="str">
        <f t="shared" ca="1" si="159"/>
        <v>Wurfdisziplinen nicht durchgeführt</v>
      </c>
      <c r="GC57" s="97" t="str">
        <f t="shared" ca="1" si="160"/>
        <v/>
      </c>
      <c r="GD57" s="108">
        <f t="shared" ca="1" si="161"/>
        <v>0</v>
      </c>
      <c r="GE57" s="108">
        <f t="shared" ca="1" si="162"/>
        <v>0</v>
      </c>
      <c r="GF57" s="108" t="str">
        <f t="shared" ca="1" si="163"/>
        <v/>
      </c>
      <c r="GG57" s="97" t="str">
        <f t="shared" ca="1" si="164"/>
        <v>Wurfdisziplinen nicht durchgeführt</v>
      </c>
      <c r="GH57" s="97" t="str">
        <f t="shared" ca="1" si="165"/>
        <v/>
      </c>
      <c r="GI57" s="97" t="str" cm="1">
        <f t="array" aca="1" ref="GI57" ca="1">IFERROR(IF(INDIRECT(INDEX(INDIRECT(GI$5),MATCH(GG57,INDIRECT(GI$4),0)))&lt;&gt;"",INDEX(INDIRECT(GI$5),MATCH(GG57,INDIRECT(GI$4),0)),INDEX(INDIRECT(GI$6),MATCH(GG57,INDIRECT(GI$4),0))),"")</f>
        <v/>
      </c>
      <c r="GJ57" s="97" t="str">
        <f t="shared" ca="1" si="166"/>
        <v/>
      </c>
      <c r="GK57" s="97" t="str" cm="1">
        <f t="array" aca="1" ref="GK57" ca="1">IFERROR(INDIRECT(GI57),IF(NOT(ISERROR(FIND(Stammdaten!$CC$3,GG57,1))),$A$2,""))</f>
        <v/>
      </c>
      <c r="GL57" s="97" t="str">
        <f ca="1">IF(GK57="","",IF(AND(GH57=Stammdaten!$BX$20,GJ57="0",GK57=1),SUBSTITUTE(TEXT(GK57,GJ57)&amp;" "&amp;LEFT(GH57,LEN(GH57)-1),".",","),SUBSTITUTE(TEXT(GK57,GJ57)&amp;" "&amp;GH57,".",",")))</f>
        <v/>
      </c>
      <c r="GM57" s="97" t="str">
        <f t="shared" ca="1" si="61"/>
        <v/>
      </c>
      <c r="GN57" s="97" t="str" cm="1">
        <f t="array" aca="1" ref="GN57" ca="1">IFERROR(LEFT(INDIRECT(GM57),1)&amp;"]","")</f>
        <v/>
      </c>
      <c r="GO57" s="97" t="str">
        <f t="shared" ca="1" si="62"/>
        <v/>
      </c>
      <c r="GP57" s="97" t="str">
        <f ca="1">IFERROR(LEFT(GG57,FIND(Stammdaten!$CA$4,GG57,1)-2),IFERROR(LEFT(GG57,FIND(Stammdaten!$CC$3,GG57,1)-2),GG57))</f>
        <v>Wurfdisziplinen</v>
      </c>
      <c r="GQ57" s="97" t="str">
        <f ca="1">IF(NOT(ISERROR(FIND(Stammdaten!$CA$4,GG57,1))),Stammdaten!$CA$4,IF(GR57&lt;&gt;Stammdaten!$CC$3,GO57,""))</f>
        <v>nicht durchgeführt</v>
      </c>
      <c r="GR57" s="91" t="str">
        <f ca="1">IF(GK57=$A$2,Stammdaten!$CC$3,GL57)</f>
        <v/>
      </c>
      <c r="GS57" s="97" t="str">
        <f t="shared" ca="1" si="63"/>
        <v/>
      </c>
      <c r="GT57" s="97" t="str">
        <f t="shared" ca="1" si="64"/>
        <v/>
      </c>
      <c r="GU57" s="97" t="str">
        <f t="shared" ca="1" si="65"/>
        <v/>
      </c>
      <c r="GV57" s="97" t="str">
        <f t="shared" ca="1" si="66"/>
        <v/>
      </c>
      <c r="GW57" s="97">
        <f t="shared" ca="1" si="167"/>
        <v>0</v>
      </c>
      <c r="GX57" s="108">
        <f t="shared" ca="1" si="168"/>
        <v>0</v>
      </c>
      <c r="GY57" s="108">
        <f t="shared" ca="1" si="169"/>
        <v>0</v>
      </c>
      <c r="GZ57" s="108" t="str">
        <f t="shared" ca="1" si="170"/>
        <v/>
      </c>
      <c r="HA57" s="97" t="str">
        <f ca="1">IF(GZ57="",Stammdaten!$BZ$1,IF(AND(GX57=0,GY57&gt;=GZ$25),$A$3,ROUND(SUM(GW57/GZ57)/HA$25,0)*HA$25))</f>
        <v>Zu wenige Werte</v>
      </c>
      <c r="HB57" s="108">
        <f t="shared" ca="1" si="171"/>
        <v>6</v>
      </c>
      <c r="HC57" s="97" t="str">
        <f t="shared" ca="1" si="172"/>
        <v/>
      </c>
      <c r="HD57" s="97" t="str">
        <f t="shared" ca="1" si="173"/>
        <v/>
      </c>
      <c r="HE57" s="97" t="str">
        <f t="shared" ca="1" si="174"/>
        <v/>
      </c>
      <c r="HF57" s="97" t="str">
        <f t="shared" ca="1" si="175"/>
        <v/>
      </c>
      <c r="HG57" s="97" t="str">
        <f t="shared" ca="1" si="176"/>
        <v/>
      </c>
      <c r="HH57" s="97" t="str">
        <f t="shared" ca="1" si="177"/>
        <v>g</v>
      </c>
      <c r="HI57" s="97" t="str">
        <f t="shared" ca="1" si="178"/>
        <v/>
      </c>
      <c r="HJ57" s="97">
        <f t="shared" ca="1" si="179"/>
        <v>1</v>
      </c>
      <c r="HK57" s="97" t="str">
        <f ca="1">IF(OR(Geschlecht[[#This Row],[Geschlecht (Skala)]]="",NOT(ISNUMBER(GZ57))),"",HJ57)</f>
        <v/>
      </c>
      <c r="HL57" s="97" t="str">
        <f t="shared" ca="1" si="180"/>
        <v/>
      </c>
      <c r="HM57" s="97"/>
      <c r="HN57" s="308" t="str">
        <f t="shared" ca="1" si="68"/>
        <v>Zu wenige Werte</v>
      </c>
      <c r="HO57" s="97"/>
      <c r="HP57" s="307"/>
      <c r="HQ57" s="96" t="str">
        <f>IFERROR(IFERROR(SUBSTITUTE(ReckResultat[[#This Row],[Eingabe]],".",",")*1,SUBSTITUTE(ReckResultat[[#This Row],[Eingabe]],",",".")*1),"")</f>
        <v/>
      </c>
      <c r="HR57" s="96" t="e">
        <f>INT(ReckResultat[[#This Row],[Resultat]])=ReckResultat[[#This Row],[Resultat]]</f>
        <v>#VALUE!</v>
      </c>
      <c r="HS57" s="96" t="str">
        <f ca="1">IFERROR(IF(AND(ReckResultat[[#This Row],[GZRes]],AND(ReckResultat[[#This Row],[Resultat]]&gt;=0,ReckResultat[[#This Row],[Resultat]]&lt;=HW$23)),1),IF(OR(ReckResultat[[#This Row],[Eingabe]]=$A$2,ReckResultat[[#This Row],[Eingabe]]=$A$3),1,""))</f>
        <v/>
      </c>
      <c r="HT57" s="96"/>
      <c r="HX57" s="97"/>
      <c r="HY57" s="307"/>
      <c r="HZ57" s="96" t="str">
        <f>IFERROR(IFERROR(SUBSTITUTE(BodenResultat[[#This Row],[Eingabe]],".",",")*1,SUBSTITUTE(BodenResultat[[#This Row],[Eingabe]],",",".")*1),"")</f>
        <v/>
      </c>
      <c r="IA57" s="96" t="e">
        <f>INT(BodenResultat[[#This Row],[Resultat]])=BodenResultat[[#This Row],[Resultat]]</f>
        <v>#VALUE!</v>
      </c>
      <c r="IB57" s="96" t="str">
        <f ca="1">IFERROR(IF(AND(BodenResultat[[#This Row],[GZRes]],AND(BodenResultat[[#This Row],[Resultat]]&gt;=0,BodenResultat[[#This Row],[Resultat]]&lt;=IF$23)),1),IF(OR(BodenResultat[[#This Row],[Eingabe]]=$A$2,BodenResultat[[#This Row],[Eingabe]]=$A$3),1,""))</f>
        <v/>
      </c>
      <c r="IC57" s="96"/>
      <c r="IG57" s="97"/>
      <c r="IH57" s="307"/>
      <c r="II57" s="96" t="str">
        <f>IFERROR(IFERROR(SUBSTITUTE(StufenbarrenResultat[[#This Row],[Eingabe]],".",",")*1,SUBSTITUTE(StufenbarrenResultat[[#This Row],[Eingabe]],",",".")*1),"")</f>
        <v/>
      </c>
      <c r="IJ57" s="96" t="e">
        <f>INT(StufenbarrenResultat[[#This Row],[Resultat]])=StufenbarrenResultat[[#This Row],[Resultat]]</f>
        <v>#VALUE!</v>
      </c>
      <c r="IK57" s="96" t="str">
        <f ca="1">IFERROR(IF(AND(StufenbarrenResultat[[#This Row],[GZRes]],AND(StufenbarrenResultat[[#This Row],[Resultat]]&gt;=0,StufenbarrenResultat[[#This Row],[Resultat]]&lt;=IO$23)),1),IF(OR(StufenbarrenResultat[[#This Row],[Eingabe]]=$A$2,StufenbarrenResultat[[#This Row],[Eingabe]]=$A$3),1,""))</f>
        <v/>
      </c>
      <c r="IL57" s="96"/>
      <c r="IP57" s="97"/>
      <c r="IQ57" s="307"/>
      <c r="IR57" s="96" t="str">
        <f>IFERROR(IFERROR(SUBSTITUTE(ParallelbarrenResultat[[#This Row],[Eingabe]],".",",")*1,SUBSTITUTE(ParallelbarrenResultat[[#This Row],[Eingabe]],",",".")*1),"")</f>
        <v/>
      </c>
      <c r="IS57" s="96" t="e">
        <f>INT(ParallelbarrenResultat[[#This Row],[Resultat]])=ParallelbarrenResultat[[#This Row],[Resultat]]</f>
        <v>#VALUE!</v>
      </c>
      <c r="IT57" s="96" t="str">
        <f ca="1">IFERROR(IF(AND(ParallelbarrenResultat[[#This Row],[GZRes]],AND(ParallelbarrenResultat[[#This Row],[Resultat]]&gt;=0,ParallelbarrenResultat[[#This Row],[Resultat]]&lt;=IX$23)),1),IF(OR(ParallelbarrenResultat[[#This Row],[Eingabe]]=$A$2,ParallelbarrenResultat[[#This Row],[Eingabe]]=$A$3),1,""))</f>
        <v/>
      </c>
      <c r="IU57" s="96"/>
      <c r="IY57" s="97"/>
      <c r="IZ57" s="307"/>
      <c r="JA57" s="96" t="str">
        <f>IFERROR(IFERROR(SUBSTITUTE(SchaukelringeResultat[[#This Row],[Eingabe]],".",",")*1,SUBSTITUTE(SchaukelringeResultat[[#This Row],[Eingabe]],",",".")*1),"")</f>
        <v/>
      </c>
      <c r="JB57" s="96" t="e">
        <f>INT(SchaukelringeResultat[[#This Row],[Resultat]])=SchaukelringeResultat[[#This Row],[Resultat]]</f>
        <v>#VALUE!</v>
      </c>
      <c r="JC57" s="96" t="str">
        <f ca="1">IFERROR(IF(AND(SchaukelringeResultat[[#This Row],[GZRes]],AND(SchaukelringeResultat[[#This Row],[Resultat]]&gt;=0,SchaukelringeResultat[[#This Row],[Resultat]]&lt;=JG$23)),1),IF(OR(SchaukelringeResultat[[#This Row],[Eingabe]]=$A$2,SchaukelringeResultat[[#This Row],[Eingabe]]=$A$3),1,""))</f>
        <v/>
      </c>
      <c r="JD57" s="96"/>
      <c r="JH57" s="97"/>
      <c r="JI57" s="307"/>
      <c r="JJ57" s="96" t="str">
        <f>IFERROR(IFERROR(SUBSTITUTE(SprungResultat[[#This Row],[Eingabe]],".",",")*1,SUBSTITUTE(SprungResultat[[#This Row],[Eingabe]],",",".")*1),"")</f>
        <v/>
      </c>
      <c r="JK57" s="96" t="e">
        <f>INT(SprungResultat[[#This Row],[Resultat]])=SprungResultat[[#This Row],[Resultat]]</f>
        <v>#VALUE!</v>
      </c>
      <c r="JL57" s="96" t="str">
        <f ca="1">IFERROR(IF(AND(SprungResultat[[#This Row],[GZRes]],AND(SprungResultat[[#This Row],[Resultat]]&gt;=0,SprungResultat[[#This Row],[Resultat]]&lt;=JP$23)),1),IF(OR(SprungResultat[[#This Row],[Eingabe]]=$A$2,SprungResultat[[#This Row],[Eingabe]]=$A$3),1,""))</f>
        <v/>
      </c>
      <c r="JM57" s="96"/>
      <c r="JQ57" s="97"/>
      <c r="JR57" s="309" t="str" cm="1">
        <f t="array" aca="1" ref="JR57" ca="1">IF(AND(ISNUMBER(INDIRECT(JR$3)),INDIRECT(JR$3)&gt;0),INDIRECT(JR$3),"")</f>
        <v/>
      </c>
      <c r="JS57" s="309" t="str" cm="1">
        <f t="array" aca="1" ref="JS57" ca="1">IF(AND(ISNUMBER(INDIRECT(JS$3)),INDIRECT(JS$3)&gt;0),INDIRECT(JS$3),"")</f>
        <v/>
      </c>
      <c r="JT57" s="309" t="str" cm="1">
        <f t="array" aca="1" ref="JT57" ca="1">IF(AND(ISNUMBER(INDIRECT(JT$3)),INDIRECT(JT$3)&gt;0),INDIRECT(JT$3),"")</f>
        <v/>
      </c>
      <c r="JU57" s="309" t="str" cm="1">
        <f t="array" aca="1" ref="JU57" ca="1">IF(AND(ISNUMBER(INDIRECT(JU$3)),INDIRECT(JU$3)&gt;0),INDIRECT(JU$3),"")</f>
        <v/>
      </c>
      <c r="JV57" s="309" t="str" cm="1">
        <f t="array" aca="1" ref="JV57" ca="1">IF(AND(ISNUMBER(INDIRECT(JV$3)),INDIRECT(JV$3)&gt;0),INDIRECT(JV$3),"")</f>
        <v/>
      </c>
      <c r="JW57" s="309" t="str" cm="1">
        <f t="array" aca="1" ref="JW57" ca="1">IF(AND(ISNUMBER(INDIRECT(JW$3)),INDIRECT(JW$3)&gt;0),INDIRECT(JW$3),"")</f>
        <v/>
      </c>
      <c r="JX57" s="309" t="str">
        <f t="shared" ca="1" si="69"/>
        <v>x</v>
      </c>
      <c r="JY57" s="309" t="str">
        <f t="shared" ca="1" si="70"/>
        <v>y</v>
      </c>
      <c r="JZ57" s="309" t="str">
        <f t="shared" ca="1" si="71"/>
        <v>z</v>
      </c>
      <c r="KA57" s="309" t="str">
        <f t="shared" ca="1" si="181"/>
        <v>a</v>
      </c>
      <c r="KB57" s="309" t="str" cm="1">
        <f t="array" aca="1" ref="KB57" ca="1">IF(KA57="a","",INDEX($JR$23:$JW$23,,MATCH(KA57,$JR57:$JW57,0)))</f>
        <v/>
      </c>
      <c r="KC57" s="309" t="str" cm="1">
        <f t="array" aca="1" ref="KC57" ca="1">IF(OR(KB57="",KB57&gt;=$JW$23),"",INDEX(INDIRECT(ADDRESS(ROW($JR$23),KB57+1)):$JW$23,,MATCH(KA57,INDIRECT(ADDRESS(ROW(),KB57+1)):$JW57,0)))</f>
        <v/>
      </c>
      <c r="KD57" s="309" t="str" cm="1">
        <f t="array" aca="1" ref="KD57" ca="1">IF(OR(KC57="",KC57&gt;=$JW$23),"",INDEX(INDIRECT(ADDRESS(ROW($JR$23),KC57+1)):$JW$23,,MATCH(KA57,INDIRECT(ADDRESS(ROW(),KC57+1)):$JW57,0)))</f>
        <v/>
      </c>
      <c r="KE57" s="309" t="str">
        <f t="shared" ca="1" si="182"/>
        <v>c</v>
      </c>
      <c r="KF57" s="309" t="str" cm="1">
        <f t="array" aca="1" ref="KF57" ca="1">IF(OR(KE57="b",KE57="c"),"",INDEX($JR$23:$JW$23,,MATCH(KE57,$JR57:$JW57,0)))</f>
        <v/>
      </c>
      <c r="KG57" s="309" t="str" cm="1">
        <f t="array" aca="1" ref="KG57" ca="1">IF(OR(KF57="",KF57&gt;=$JW$23),"",INDEX(INDIRECT(ADDRESS(ROW($JR$23),KF57+1)):$JW$23,,MATCH(KE57,INDIRECT(ADDRESS(ROW(),KF57+1)):$JW57,0)))</f>
        <v/>
      </c>
      <c r="KH57" s="309" t="str">
        <f t="shared" ca="1" si="72"/>
        <v/>
      </c>
      <c r="KI57" s="309" t="str">
        <f t="shared" ca="1" si="183"/>
        <v>e</v>
      </c>
      <c r="KJ57" s="309" t="str">
        <f t="shared" ca="1" si="73"/>
        <v/>
      </c>
      <c r="KK57" s="309" t="str" cm="1">
        <f t="array" aca="1" ref="KK57" ca="1">IF(OR(KI57="d",KI57="e"),"",INDEX($JR$23:$JW$23,,MATCH(KI57,$JR57:$JW57,0)))</f>
        <v/>
      </c>
      <c r="KL57" s="309" t="str" cm="1">
        <f t="array" aca="1" ref="KL57" ca="1">IF(OR(KK57="",KK57&gt;=$JW$23),"",INDEX(INDIRECT(ADDRESS(ROW($JR$23),KK57+1)):$JW$23,,MATCH(KI57,INDIRECT(ADDRESS(ROW(),KK57+1)):$JW57,0)))</f>
        <v/>
      </c>
      <c r="KM57" s="309" t="str" cm="1">
        <f t="array" aca="1" ref="KM57" ca="1">IFERROR(IF(ISNUMBER(KB57),KB57,IF(ISNUMBER(KF57),KF57,IF(ISNUMBER(KJ57),KJ57,INDEX($JR$23:$JW$23,,MATCH(JX57,$JR57:$JW57,0))))),"x1")</f>
        <v>x1</v>
      </c>
      <c r="KN57" s="309" t="str" cm="1">
        <f t="array" aca="1" ref="KN57" ca="1">IFERROR(IF(ISNUMBER(KC57),KC57,IF(ISNUMBER(KG57),KG57,IF(ISNUMBER(KK57),KK57,INDEX($JR$23:$JW$23,,MATCH(JY57,$JR57:$JW57,0))))),IF(KM57="x1","x2","x1"))</f>
        <v>x2</v>
      </c>
      <c r="KO57" s="309" t="str" cm="1">
        <f t="array" aca="1" ref="KO57" ca="1">IFERROR(IF(ISNUMBER(KD57),KD57,IF(ISNUMBER(KH57),KH57,IF(ISNUMBER(KL57),KL57,INDEX($JR$23:$JW$23,,MATCH(JZ57,$JR57:$JW57,0))))),IF(KN57="x1","x2",IF(KN57="x2","x3","x1")))</f>
        <v>x3</v>
      </c>
      <c r="KP57" s="97" t="str" cm="1">
        <f t="array" aca="1" ref="KP57" ca="1">IF(OR(INDIRECT(KP$3)=$A$2,INDIRECT(KP$3)=$A$3),COLUMN(),"")</f>
        <v/>
      </c>
      <c r="KQ57" s="97" t="str" cm="1">
        <f t="array" aca="1" ref="KQ57" ca="1">IF(OR(INDIRECT(KQ$3)=$A$2,INDIRECT(KQ$3)=$A$3),COLUMN(),"")</f>
        <v/>
      </c>
      <c r="KR57" s="97" t="str" cm="1">
        <f t="array" aca="1" ref="KR57" ca="1">IF(OR(INDIRECT(KR$3)=$A$2,INDIRECT(KR$3)=$A$3),COLUMN(),"")</f>
        <v/>
      </c>
      <c r="KS57" s="97" t="str" cm="1">
        <f t="array" aca="1" ref="KS57" ca="1">IF(OR(INDIRECT(KS$3)=$A$2,INDIRECT(KS$3)=$A$3),COLUMN(),"")</f>
        <v/>
      </c>
      <c r="KT57" s="97" t="str" cm="1">
        <f t="array" aca="1" ref="KT57" ca="1">IF(OR(INDIRECT(KT$3)=$A$2,INDIRECT(KT$3)=$A$3),COLUMN(),"")</f>
        <v/>
      </c>
      <c r="KU57" s="97" t="str" cm="1">
        <f t="array" aca="1" ref="KU57" ca="1">IF(OR(INDIRECT(KU$3)=$A$2,INDIRECT(KU$3)=$A$3),COLUMN(),"")</f>
        <v/>
      </c>
      <c r="KV57" s="97" t="str" cm="1">
        <f t="array" aca="1" ref="KV57" ca="1">IF(AND(ISNUMBER(INDIRECT(KV$3)),INDIRECT(KV$3)=0),COLUMN(),"")</f>
        <v/>
      </c>
      <c r="KW57" s="97" t="str" cm="1">
        <f t="array" aca="1" ref="KW57" ca="1">IF(AND(ISNUMBER(INDIRECT(KW$3)),INDIRECT(KW$3)=0),COLUMN(),"")</f>
        <v/>
      </c>
      <c r="KX57" s="97" t="str" cm="1">
        <f t="array" aca="1" ref="KX57" ca="1">IF(AND(ISNUMBER(INDIRECT(KX$3)),INDIRECT(KX$3)=0),COLUMN(),"")</f>
        <v/>
      </c>
      <c r="KY57" s="97" t="str" cm="1">
        <f t="array" aca="1" ref="KY57" ca="1">IF(AND(ISNUMBER(INDIRECT(KY$3)),INDIRECT(KY$3)=0),COLUMN(),"")</f>
        <v/>
      </c>
      <c r="KZ57" s="97" t="str" cm="1">
        <f t="array" aca="1" ref="KZ57" ca="1">IF(AND(ISNUMBER(INDIRECT(KZ$3)),INDIRECT(KZ$3)=0),COLUMN(),"")</f>
        <v/>
      </c>
      <c r="LA57" s="97" t="str" cm="1">
        <f t="array" aca="1" ref="LA57" ca="1">IF(AND(ISNUMBER(INDIRECT(LA$3)),INDIRECT(LA$3)=0),COLUMN(),"")</f>
        <v/>
      </c>
      <c r="LB57" s="97" t="str">
        <f t="shared" ca="1" si="184"/>
        <v>x1</v>
      </c>
      <c r="LC57" s="97" t="str">
        <f t="shared" ca="1" si="185"/>
        <v>x2</v>
      </c>
      <c r="LD57" s="97" t="str">
        <f t="shared" ca="1" si="186"/>
        <v>x3</v>
      </c>
      <c r="LE57" s="97" t="str">
        <f ca="1">IFERROR(IF(ISNUMBER(LB57),LB57,SMALL($KV57:$LA57,VALUE(RIGHT(LB57,1)))),Stammdaten!$CA$17)</f>
        <v>Erstes Gerät nicht durchgeführt</v>
      </c>
      <c r="LF57" s="97" t="str">
        <f ca="1">IFERROR(IF(ISNUMBER(LC57),LC57,SMALL($KV57:$LA57,VALUE(RIGHT(LC57,1)))),Stammdaten!$CA$18)</f>
        <v>Zweites Gerät nicht durchgeführt</v>
      </c>
      <c r="LG57" s="97" t="str">
        <f ca="1">IFERROR(IF(ISNUMBER(LD57),LD57,SMALL($KV57:$LA57,VALUE(RIGHT(LD57,1)))),Stammdaten!$CA$19)</f>
        <v>Drittes Gerät nicht durchgeführt</v>
      </c>
      <c r="LH57" s="91" t="str" cm="1">
        <f t="array" aca="1" ref="LH57" ca="1">IFERROR(INDIRECT(ADDRESS(ROW($JR$5),LE57)),LE57)</f>
        <v>Erstes Gerät nicht durchgeführt</v>
      </c>
      <c r="LI57" s="97" t="str">
        <f t="shared" ca="1" si="187"/>
        <v/>
      </c>
      <c r="LJ57" s="97" t="str" cm="1">
        <f t="array" aca="1" ref="LJ57" ca="1">IFERROR(IF(INDIRECT(INDEX(INDIRECT(LJ$5),MATCH(LH57,INDIRECT(LJ$4),0)))&lt;&gt;"",INDEX(INDIRECT(LJ$5),MATCH(LH57,INDIRECT(LJ$4),0)),INDEX(INDIRECT(LJ$6),MATCH(LH57,INDIRECT(LJ$4),0))),"")</f>
        <v/>
      </c>
      <c r="LK57" s="97" t="str">
        <f t="shared" ca="1" si="188"/>
        <v/>
      </c>
      <c r="LL57" s="97" t="str" cm="1">
        <f t="array" aca="1" ref="LL57" ca="1">IFERROR(INDIRECT(LJ57),"")</f>
        <v/>
      </c>
      <c r="LM57" s="97" t="str">
        <f ca="1">IF(LL57="","",IF(AND(LI57=Stammdaten!$BX$20,LK57="0",LL57=1),SUBSTITUTE(TEXT(LL57,LK57)&amp;" "&amp;LEFT(LI57,LEN(LI57)-1),".",","),SUBSTITUTE(TEXT(LL57,LK57)&amp;" "&amp;LI57,".",",")))</f>
        <v/>
      </c>
      <c r="LN57" s="97" t="str">
        <f t="shared" ca="1" si="74"/>
        <v/>
      </c>
      <c r="LO57" s="97" t="str" cm="1">
        <f t="array" aca="1" ref="LO57" ca="1">IFERROR(LEFT(INDIRECT(LN57),1)&amp;"]","")</f>
        <v/>
      </c>
      <c r="LP57" s="97" t="str">
        <f t="shared" ca="1" si="75"/>
        <v/>
      </c>
      <c r="LQ57" s="97" t="str">
        <f ca="1">IFERROR(LEFT(LH57,FIND(Stammdaten!$CA$4,LH57,1)-2),IFERROR(LEFT(LH57,FIND(Stammdaten!$CC$3,LH57,1)-2),LH57))</f>
        <v>Erstes Gerät</v>
      </c>
      <c r="LR57" s="97" t="str">
        <f ca="1">IF(NOT(ISERROR(FIND(Stammdaten!$CA$4,LH57,1))),Stammdaten!$CA$4,IF(LS57&lt;&gt;Stammdaten!$CC$3,LP57,""))</f>
        <v>nicht durchgeführt</v>
      </c>
      <c r="LS57" s="91" t="str">
        <f ca="1">IF(LL57=$A$2,Stammdaten!$CC$3,LM57)</f>
        <v/>
      </c>
      <c r="LT57" s="91" t="str" cm="1">
        <f t="array" aca="1" ref="LT57" ca="1">IFERROR(INDIRECT(ADDRESS(ROW($JR$5),LF57)),LF57)</f>
        <v>Zweites Gerät nicht durchgeführt</v>
      </c>
      <c r="LU57" s="97" t="str">
        <f t="shared" ca="1" si="189"/>
        <v/>
      </c>
      <c r="LV57" s="97" t="str" cm="1">
        <f t="array" aca="1" ref="LV57" ca="1">IFERROR(IF(INDIRECT(INDEX(INDIRECT(LV$5),MATCH(LT57,INDIRECT(LV$4),0)))&lt;&gt;"",INDEX(INDIRECT(LV$5),MATCH(LT57,INDIRECT(LV$4),0)),INDEX(INDIRECT(LV$6),MATCH(LT57,INDIRECT(LV$4),0))),"")</f>
        <v/>
      </c>
      <c r="LW57" s="97" t="str">
        <f t="shared" ca="1" si="190"/>
        <v/>
      </c>
      <c r="LX57" s="97" t="str" cm="1">
        <f t="array" aca="1" ref="LX57" ca="1">IFERROR(INDIRECT(LV57),"")</f>
        <v/>
      </c>
      <c r="LY57" s="97" t="str">
        <f ca="1">IF(LX57="","",IF(AND(LU57=Stammdaten!$BX$20,LW57="0",LX57=1),SUBSTITUTE(TEXT(LX57,LW57)&amp;" "&amp;LEFT(LU57,LEN(LU57)-1),".",","),SUBSTITUTE(TEXT(LX57,LW57)&amp;" "&amp;LU57,".",",")))</f>
        <v/>
      </c>
      <c r="LZ57" s="97" t="str">
        <f t="shared" ca="1" si="76"/>
        <v/>
      </c>
      <c r="MA57" s="97" t="str" cm="1">
        <f t="array" aca="1" ref="MA57" ca="1">IFERROR(LEFT(INDIRECT(LZ57),1)&amp;"]","")</f>
        <v/>
      </c>
      <c r="MB57" s="97" t="str">
        <f t="shared" ca="1" si="77"/>
        <v/>
      </c>
      <c r="MC57" s="97" t="str">
        <f ca="1">IFERROR(LEFT(LT57,FIND(Stammdaten!$CA$4,LT57,1)-2),IFERROR(LEFT(LT57,FIND(Stammdaten!$CC$3,LT57,1)-2),LT57))</f>
        <v>Zweites Gerät</v>
      </c>
      <c r="MD57" s="97" t="str">
        <f ca="1">IF(NOT(ISERROR(FIND(Stammdaten!$CA$4,LT57,1))),Stammdaten!$CA$4,IF(ME57&lt;&gt;Stammdaten!$CC$3,MB57,""))</f>
        <v>nicht durchgeführt</v>
      </c>
      <c r="ME57" s="91" t="str">
        <f ca="1">IF(LX57=$A$2,Stammdaten!$CC$3,LY57)</f>
        <v/>
      </c>
      <c r="MF57" s="91" t="str" cm="1">
        <f t="array" aca="1" ref="MF57" ca="1">IFERROR(INDIRECT(ADDRESS(ROW($JR$5),LG57)),LG57)</f>
        <v>Drittes Gerät nicht durchgeführt</v>
      </c>
      <c r="MG57" s="97" t="str">
        <f t="shared" ca="1" si="191"/>
        <v/>
      </c>
      <c r="MH57" s="97" t="str" cm="1">
        <f t="array" aca="1" ref="MH57" ca="1">IFERROR(IF(INDIRECT(INDEX(INDIRECT(MH$5),MATCH(MF57,INDIRECT(MH$4),0)))&lt;&gt;"",INDEX(INDIRECT(MH$5),MATCH(MF57,INDIRECT(MH$4),0)),INDEX(INDIRECT(MH$6),MATCH(MF57,INDIRECT(MH$4),0))),"")</f>
        <v/>
      </c>
      <c r="MI57" s="97" t="str">
        <f t="shared" ca="1" si="192"/>
        <v/>
      </c>
      <c r="MJ57" s="97" t="str" cm="1">
        <f t="array" aca="1" ref="MJ57" ca="1">IFERROR(INDIRECT(MH57),"")</f>
        <v/>
      </c>
      <c r="MK57" s="97" t="str">
        <f ca="1">IF(MJ57="","",IF(AND(MG57=Stammdaten!$BX$20,MI57="0",MJ57=1),SUBSTITUTE(TEXT(MJ57,MI57)&amp;" "&amp;LEFT(MG57,LEN(MG57)-1),".",","),SUBSTITUTE(TEXT(MJ57,MI57)&amp;" "&amp;MG57,".",",")))</f>
        <v/>
      </c>
      <c r="ML57" s="97" t="str">
        <f t="shared" ca="1" si="78"/>
        <v/>
      </c>
      <c r="MM57" s="97" t="str" cm="1">
        <f t="array" aca="1" ref="MM57" ca="1">IFERROR(LEFT(INDIRECT(ML57),1)&amp;"]","")</f>
        <v/>
      </c>
      <c r="MN57" s="97" t="str">
        <f t="shared" ca="1" si="79"/>
        <v/>
      </c>
      <c r="MO57" s="97" t="str">
        <f ca="1">IFERROR(LEFT(MF57,FIND(Stammdaten!$CA$4,MF57,1)-2),IFERROR(LEFT(MF57,FIND(Stammdaten!$CC$3,MF57,1)-2),MF57))</f>
        <v>Drittes Gerät</v>
      </c>
      <c r="MP57" s="97" t="str">
        <f ca="1">IF(NOT(ISERROR(FIND(Stammdaten!$CA$4,MF57,1))),Stammdaten!$CA$4,IF(MQ57&lt;&gt;Stammdaten!$CC$3,MN57,""))</f>
        <v>nicht durchgeführt</v>
      </c>
      <c r="MQ57" s="91" t="str">
        <f ca="1">IF(MJ57=$A$2,Stammdaten!$CC$3,MK57)</f>
        <v/>
      </c>
      <c r="MR57" s="97">
        <f t="shared" ca="1" si="80"/>
        <v>0</v>
      </c>
      <c r="MS57" s="108">
        <f t="shared" ca="1" si="193"/>
        <v>0</v>
      </c>
      <c r="MT57" s="108">
        <f t="shared" ca="1" si="194"/>
        <v>0</v>
      </c>
      <c r="MU57" s="108">
        <f t="shared" ca="1" si="195"/>
        <v>0</v>
      </c>
      <c r="MV57" s="108" t="str">
        <f t="shared" ca="1" si="196"/>
        <v/>
      </c>
      <c r="MW57" s="97" t="str">
        <f ca="1">IF(MV57="",Stammdaten!$BZ$1,IF(AND(MS57+MT57=0,MU57&gt;=MV$25),$A$3,MR57))</f>
        <v>Zu wenige Werte</v>
      </c>
      <c r="MX57" s="97"/>
      <c r="MY57" s="91" t="str">
        <f t="shared" ca="1" si="81"/>
        <v/>
      </c>
      <c r="MZ57" s="96" t="str">
        <f>LEFT(Geschlecht[[#This Row],[Geschlecht (Skala)]],1)&amp;$MZ$27</f>
        <v>2</v>
      </c>
      <c r="NA57" s="96" t="str">
        <f t="shared" ca="1" si="82"/>
        <v>Geräteturnen_2[Resultat]</v>
      </c>
      <c r="NB57" s="97" t="str" cm="1">
        <f t="array" aca="1" ref="NB57" ca="1">IF(OR($MW57="",$MW57=Stammdaten!$BZ$1),"",IF($MW57=0,0,IF(OR($MW57=$A$2,$MW57=$A$3),$A$3,IFERROR(INDEX(INDIRECT(NA57),MATCH(INDIRECT(MY$3),INDIRECT(NA57),NA$25)),IFERROR(IF(NA$25=-1,MAX(INDIRECT(NA57)),IF(NA$25=1,MIN(INDIRECT(NA57)))),"")))))</f>
        <v/>
      </c>
      <c r="ND57" s="91" t="str">
        <f t="shared" ca="1" si="83"/>
        <v>Geräteturnen_2[Note]</v>
      </c>
      <c r="NE57" s="97" t="str" cm="1">
        <f t="array" aca="1" ref="NE57" ca="1">IFERROR(INDEX(INDIRECT(ND57),MATCH(INDIRECT(MY$5),INDIRECT(NA57),0)),IF(INDIRECT(MY$5)=0,1,""))</f>
        <v/>
      </c>
      <c r="NF57" s="97"/>
      <c r="NG57" s="307"/>
      <c r="NH57" s="96" t="str">
        <f>IFERROR(IFERROR(SUBSTITUTE(ParkourResultat[[#This Row],[Eingabe]],".",",")*1,SUBSTITUTE(ParkourResultat[[#This Row],[Eingabe]],",",".")*1),"")</f>
        <v/>
      </c>
      <c r="NI57" s="96" t="e">
        <f>INT(ParkourResultat[[#This Row],[Resultat]])=ParkourResultat[[#This Row],[Resultat]]</f>
        <v>#VALUE!</v>
      </c>
      <c r="NJ57" s="96" t="str">
        <f ca="1">IFERROR(IF(AND(ParkourResultat[[#This Row],[GZRes]],AND(ParkourResultat[[#This Row],[Resultat]]&gt;=0,ParkourResultat[[#This Row],[Resultat]]&lt;=NR$23)),1),IF(OR(ParkourResultat[[#This Row],[Eingabe]]=$A$2,ParkourResultat[[#This Row],[Eingabe]]=$A$3),1,""))</f>
        <v/>
      </c>
      <c r="NK57" s="96"/>
      <c r="NL57" s="91" t="str" cm="1">
        <f t="array" aca="1" ref="NL57" ca="1">IF(OR(INDIRECT(NL$2)=0,INDIRECT(NL$2)=""),"",IFERROR(IF(AND(NL$25=0.5,AND(INDIRECT(NL$2)&gt;0,INDIRECT(NL$2)&lt;=0.5)),0.5,IF(AND(NL$25&lt;&gt;0.5,AND(INDIRECT(NL$2)&gt;0,INDIRECT(NL$2)&lt;=1)),1,IF(NM$25,VALUE(_xlfn.VALUETOTEXT(CEILING(INDIRECT(NL$2),NL$25))),VALUE(_xlfn.VALUETOTEXT(MROUND(INDIRECT(NL$2),NL$25)))))),""))</f>
        <v/>
      </c>
      <c r="NM57" s="96" t="str">
        <f ca="1">LEFT(Geschlecht[[#This Row],[Geschlecht (Skala)]],1)&amp;NR$4</f>
        <v>2</v>
      </c>
      <c r="NN57" s="96" t="str">
        <f t="shared" ca="1" si="84"/>
        <v>Parkour_2[Resultat]</v>
      </c>
      <c r="NO57" s="97" t="str" cm="1">
        <f t="array" aca="1" ref="NO57" ca="1">IF(INDIRECT(NL$1)="","",IF(INDIRECT(NL$2)=0,0,IF(OR(INDIRECT(NL$1)=$A$2,INDIRECT(NL$1)=$A$3),$A$3,IFERROR(INDEX(INDIRECT(NN57),MATCH(INDIRECT(NL$3),INDIRECT(NN57),NN$25)),IFERROR(IF(NN$25=-1,MAX(INDIRECT(NN57)),IF(NN$25=1,MIN(INDIRECT(NN57)))),"")))))</f>
        <v/>
      </c>
      <c r="NQ57" s="91" t="str">
        <f t="shared" ca="1" si="85"/>
        <v>Parkour_2[Note]</v>
      </c>
      <c r="NR57" s="97" t="str" cm="1">
        <f t="array" aca="1" ref="NR57" ca="1">IFERROR(INDEX(INDIRECT(NQ57),MATCH(INDIRECT(NL$5),INDIRECT(NN57),0)),IF(INDIRECT(NL$5)=0,1,""))</f>
        <v/>
      </c>
      <c r="NS57" s="97"/>
      <c r="NT57" s="97" t="str" cm="1">
        <f t="array" aca="1" ref="NT57" ca="1">INDIRECT(NT$5)</f>
        <v/>
      </c>
      <c r="NU57" s="97" t="str" cm="1">
        <f t="array" aca="1" ref="NU57" ca="1">INDIRECT(NU$5)</f>
        <v/>
      </c>
      <c r="NV57" s="97" t="str" cm="1">
        <f t="array" aca="1" ref="NV57" ca="1">INDIRECT(NV$5)</f>
        <v/>
      </c>
      <c r="NW57" s="97" t="str" cm="1">
        <f t="array" aca="1" ref="NW57" ca="1">INDIRECT(NW$5)</f>
        <v/>
      </c>
      <c r="NX57" s="97" t="str">
        <f t="shared" ca="1" si="86"/>
        <v>Parkour nicht durchgeführt</v>
      </c>
      <c r="NY57" s="97" t="str">
        <f t="shared" ca="1" si="197"/>
        <v/>
      </c>
      <c r="NZ57" s="97" t="str" cm="1">
        <f t="array" aca="1" ref="NZ57" ca="1">IFERROR(IF(INDIRECT(INDEX(INDIRECT(NZ$5),MATCH(NX57,INDIRECT(NZ$4),0)))&lt;&gt;"",INDEX(INDIRECT(NZ$5),MATCH(NX57,INDIRECT(NZ$4),0)),INDEX(INDIRECT(NZ$6),MATCH(NX57,INDIRECT(NZ$4),0))),"")</f>
        <v/>
      </c>
      <c r="OA57" s="97" t="str">
        <f t="shared" ca="1" si="198"/>
        <v/>
      </c>
      <c r="OB57" s="97" t="str" cm="1">
        <f t="array" aca="1" ref="OB57" ca="1">IFERROR(INDIRECT(NZ57),IF(NOT(ISERROR(FIND(Stammdaten!$CC$3,NX57,1))),$A$2,""))</f>
        <v/>
      </c>
      <c r="OC57" s="97" t="str">
        <f ca="1">IF(OB57="","",IF(AND(NY57=Stammdaten!$BX$20,OA57="0",OB57=1),SUBSTITUTE(TEXT(OB57,OA57)&amp;" "&amp;LEFT(NY57,LEN(NY57)-1),".",","),SUBSTITUTE(TEXT(OB57,OA57)&amp;" "&amp;NY57,".",",")))</f>
        <v/>
      </c>
      <c r="OD57" s="97" t="str">
        <f t="shared" ca="1" si="87"/>
        <v/>
      </c>
      <c r="OE57" s="97" t="str" cm="1">
        <f t="array" aca="1" ref="OE57" ca="1">IFERROR(LEFT(INDIRECT(OD57),1)&amp;"]","")</f>
        <v/>
      </c>
      <c r="OF57" s="97" t="str">
        <f t="shared" ca="1" si="88"/>
        <v/>
      </c>
      <c r="OG57" s="97" t="str">
        <f ca="1">IFERROR(LEFT(NX57,FIND(Stammdaten!$CA$4,NX57,1)-2),IFERROR(LEFT(NX57,FIND(Stammdaten!$CC$3,NX57,1)-2),NX57))</f>
        <v>Parkour</v>
      </c>
      <c r="OH57" s="97" t="str">
        <f ca="1">IF(NOT(ISERROR(FIND(Stammdaten!$CA$4,NX57,1))),Stammdaten!$CA$4,IF(OI57&lt;&gt;Stammdaten!$CC$3,OF57,""))</f>
        <v>nicht durchgeführt</v>
      </c>
      <c r="OI57" s="91" t="str">
        <f ca="1">IF(OB57=$A$2,Stammdaten!$CC$3,OC57)</f>
        <v/>
      </c>
      <c r="OJ57" s="97" t="str">
        <f t="shared" ca="1" si="89"/>
        <v/>
      </c>
      <c r="OK57" s="97" t="str">
        <f t="shared" ca="1" si="90"/>
        <v/>
      </c>
      <c r="OL57" s="97">
        <f t="shared" ca="1" si="199"/>
        <v>0</v>
      </c>
      <c r="OM57" s="108">
        <f t="shared" ca="1" si="91"/>
        <v>0</v>
      </c>
      <c r="ON57" s="108">
        <f t="shared" ca="1" si="92"/>
        <v>0</v>
      </c>
      <c r="OO57" s="108" t="str">
        <f t="shared" ca="1" si="200"/>
        <v/>
      </c>
      <c r="OP57" s="97" t="str">
        <f ca="1">IF(OO57="",Stammdaten!$BZ$1,IF(AND(OM57=0,ON57&gt;=OO$25),$A$3,ROUND(SUM(OL57/OO57)/OP$25,0)*OP$25))</f>
        <v>Zu wenige Werte</v>
      </c>
      <c r="OQ57" s="108">
        <f t="shared" ca="1" si="201"/>
        <v>6</v>
      </c>
      <c r="OR57" s="97" t="str">
        <f t="shared" ca="1" si="202"/>
        <v/>
      </c>
      <c r="OS57" s="97" t="str">
        <f t="shared" ca="1" si="203"/>
        <v/>
      </c>
      <c r="OT57" s="97" t="str">
        <f t="shared" ca="1" si="204"/>
        <v/>
      </c>
      <c r="OU57" s="97" t="str">
        <f t="shared" ca="1" si="205"/>
        <v>g</v>
      </c>
      <c r="OV57" s="97" t="str">
        <f t="shared" ca="1" si="206"/>
        <v/>
      </c>
      <c r="OW57" s="97">
        <f t="shared" ca="1" si="207"/>
        <v>1</v>
      </c>
      <c r="OX57" s="97" t="str">
        <f ca="1">IF(OR(Geschlecht[[#This Row],[Geschlecht (Skala)]]="",NOT(ISNUMBER(OO57))),"",OW57)</f>
        <v/>
      </c>
      <c r="OY57" s="97" t="str">
        <f t="shared" ca="1" si="208"/>
        <v/>
      </c>
      <c r="OZ57" s="97"/>
      <c r="PA57" s="308" t="str">
        <f t="shared" ca="1" si="209"/>
        <v>Zu wenige Werte</v>
      </c>
      <c r="PB57" s="97"/>
      <c r="PC57" s="307"/>
      <c r="PD57" s="96" t="str">
        <f>IFERROR(IFERROR(SUBSTITUTE(TanzenResultat[[#This Row],[Eingabe]],".",",")*1,SUBSTITUTE(TanzenResultat[[#This Row],[Eingabe]],",",".")*1),"")</f>
        <v/>
      </c>
      <c r="PE57" s="96" t="str">
        <f ca="1">IF(OR(TanzenResultat[[#This Row],[Eingabe]]=$A$2,TanzenResultat[[#This Row],[Eingabe]]=$A$3),1,IF(AND(ISNUMBER(TanzenResultat[[#This Row],[Resultat]]),TanzenResultat[[#This Row],[Resultat]]&gt;=0,TanzenResultat[[#This Row],[Resultat]]&lt;=PM$23),1,""))</f>
        <v/>
      </c>
      <c r="PF57" s="96"/>
      <c r="PG57" s="91" t="str" cm="1">
        <f t="array" aca="1" ref="PG57" ca="1">IF(OR(INDIRECT(PG$2)=0,INDIRECT(PG$2)=""),"",IFERROR(IF(AND(PG$25=0.5,AND(INDIRECT(PG$2)&gt;0,INDIRECT(PG$2)&lt;=0.5)),0.5,IF(AND(PG$25&lt;&gt;0.5,AND(INDIRECT(PG$2)&gt;0,INDIRECT(PG$2)&lt;=1)),1,IF(PH$25,VALUE(_xlfn.VALUETOTEXT(CEILING(INDIRECT(PG$2),PG$25))),VALUE(_xlfn.VALUETOTEXT(MROUND(INDIRECT(PG$2),PG$25)))))),""))</f>
        <v/>
      </c>
      <c r="PH57" s="96" t="str">
        <f ca="1">LEFT(Geschlecht[[#This Row],[Geschlecht (Skala)]],1)&amp;PM$4</f>
        <v>2</v>
      </c>
      <c r="PI57" s="96" t="str">
        <f t="shared" ca="1" si="93"/>
        <v>Tanzen_2[Resultat]</v>
      </c>
      <c r="PJ57" s="97" t="str" cm="1">
        <f t="array" aca="1" ref="PJ57" ca="1">IF(INDIRECT(PG$1)="","",IF(INDIRECT(PG$2)=0,0,IF(OR(INDIRECT(PG$1)=$A$2,INDIRECT(PG$1)=$A$3),$A$3,IFERROR(INDEX(INDIRECT(PI57),MATCH(INDIRECT(PG$3),INDIRECT(PI57),PI$25)),IFERROR(IF(PI$25=-1,MAX(INDIRECT(PI57)),IF(PI$25=1,MIN(INDIRECT(PI57)))),"")))))</f>
        <v/>
      </c>
      <c r="PL57" s="91" t="str">
        <f t="shared" ca="1" si="94"/>
        <v>Tanzen_2[Note]</v>
      </c>
      <c r="PM57" s="97" t="str" cm="1">
        <f t="array" aca="1" ref="PM57" ca="1">IFERROR(INDEX(INDIRECT(PL57),MATCH(INDIRECT(PG$5),INDIRECT(PI57),0)),IF(INDIRECT(PG$5)=0,1,""))</f>
        <v/>
      </c>
      <c r="PN57" s="97"/>
      <c r="PO57" s="307"/>
      <c r="PP57" s="96" t="str">
        <f>IFERROR(IFERROR(SUBSTITUTE(RopeSkippingResultat[[#This Row],[Eingabe]],".",",")*1,SUBSTITUTE(RopeSkippingResultat[[#This Row],[Eingabe]],",",".")*1),"")</f>
        <v/>
      </c>
      <c r="PQ57" s="96" t="e">
        <f>INT(RopeSkippingResultat[[#This Row],[Resultat]])=RopeSkippingResultat[[#This Row],[Resultat]]</f>
        <v>#VALUE!</v>
      </c>
      <c r="PR57" s="96" t="str">
        <f ca="1">IFERROR(IF(AND(RopeSkippingResultat[[#This Row],[GZRes]],AND(RopeSkippingResultat[[#This Row],[Resultat]]&gt;=0,RopeSkippingResultat[[#This Row],[Resultat]]&lt;=PZ$23)),1),IF(OR(RopeSkippingResultat[[#This Row],[Eingabe]]=$A$2,RopeSkippingResultat[[#This Row],[Eingabe]]=$A$3),1,""))</f>
        <v/>
      </c>
      <c r="PS57" s="96"/>
      <c r="PT57" s="91" t="str" cm="1">
        <f t="array" aca="1" ref="PT57" ca="1">IF(OR(INDIRECT(PT$2)=0,INDIRECT(PT$2)=""),"",IFERROR(IF(AND(PT$25=0.5,AND(INDIRECT(PT$2)&gt;0,INDIRECT(PT$2)&lt;=0.5)),0.5,IF(AND(PT$25&lt;&gt;0.5,AND(INDIRECT(PT$2)&gt;0,INDIRECT(PT$2)&lt;=1)),1,IF(PU$25,VALUE(_xlfn.VALUETOTEXT(CEILING(INDIRECT(PT$2),PT$25))),VALUE(_xlfn.VALUETOTEXT(MROUND(INDIRECT(PT$2),PT$25)))))),""))</f>
        <v/>
      </c>
      <c r="PU57" s="96" t="str">
        <f ca="1">LEFT(Geschlecht[[#This Row],[Geschlecht (Skala)]],1)&amp;PZ$4</f>
        <v>2</v>
      </c>
      <c r="PV57" s="96" t="str">
        <f t="shared" ca="1" si="95"/>
        <v>RopeSkipping_2[Resultat]</v>
      </c>
      <c r="PW57" s="97" t="str" cm="1">
        <f t="array" aca="1" ref="PW57" ca="1">IF(INDIRECT(PT$1)="","",IF(INDIRECT(PT$2)=0,0,IF(OR(INDIRECT(PT$1)=$A$2,INDIRECT(PT$1)=$A$3),$A$3,IFERROR(INDEX(INDIRECT(PV57),MATCH(INDIRECT(PT$3),INDIRECT(PV57),PV$25)),IFERROR(IF(PV$25=-1,MAX(INDIRECT(PV57)),IF(PV$25=1,MIN(INDIRECT(PV57)))),"")))))</f>
        <v/>
      </c>
      <c r="PY57" s="91" t="str">
        <f t="shared" ca="1" si="96"/>
        <v>RopeSkipping_2[Note]</v>
      </c>
      <c r="PZ57" s="97" t="str" cm="1">
        <f t="array" aca="1" ref="PZ57" ca="1">IFERROR(INDEX(INDIRECT(PY57),MATCH(INDIRECT(PT$5),INDIRECT(PV57),0)),IF(INDIRECT(PT$5)=0,1,""))</f>
        <v/>
      </c>
      <c r="QA57" s="97"/>
      <c r="QB57" s="307"/>
      <c r="QC57" s="96" t="str">
        <f>IFERROR(IFERROR(SUBSTITUTE(AerobicResultat[[#This Row],[Eingabe]],".",",")*1,SUBSTITUTE(AerobicResultat[[#This Row],[Eingabe]],",",".")*1),"")</f>
        <v/>
      </c>
      <c r="QD57" s="96" t="str">
        <f ca="1">IF(OR(AerobicResultat[[#This Row],[Eingabe]]=$A$2,AerobicResultat[[#This Row],[Eingabe]]=$A$3),1,IF(AND(ISNUMBER(AerobicResultat[[#This Row],[Resultat]]),AerobicResultat[[#This Row],[Resultat]]&gt;=0,AerobicResultat[[#This Row],[Resultat]]&lt;=QL$23),1,""))</f>
        <v/>
      </c>
      <c r="QE57" s="96"/>
      <c r="QF57" s="91" t="str" cm="1">
        <f t="array" aca="1" ref="QF57" ca="1">IF(OR(INDIRECT(QF$2)=0,INDIRECT(QF$2)=""),"",IFERROR(IF(AND(QF$25=0.5,AND(INDIRECT(QF$2)&gt;0,INDIRECT(QF$2)&lt;=0.5)),0.5,IF(AND(QF$25&lt;&gt;0.5,AND(INDIRECT(QF$2)&gt;0,INDIRECT(QF$2)&lt;=1)),1,IF(QG$25,VALUE(_xlfn.VALUETOTEXT(CEILING(INDIRECT(QF$2),QF$25))),VALUE(_xlfn.VALUETOTEXT(MROUND(INDIRECT(QF$2),QF$25)))))),""))</f>
        <v/>
      </c>
      <c r="QG57" s="96" t="str">
        <f ca="1">LEFT(Geschlecht[[#This Row],[Geschlecht (Skala)]],1)&amp;QL$4</f>
        <v>2</v>
      </c>
      <c r="QH57" s="96" t="str">
        <f t="shared" ca="1" si="97"/>
        <v>Aerobic_2[Resultat]</v>
      </c>
      <c r="QI57" s="97" t="str" cm="1">
        <f t="array" aca="1" ref="QI57" ca="1">IF(INDIRECT(QF$1)="","",IF(INDIRECT(QF$2)=0,0,IF(OR(INDIRECT(QF$1)=$A$2,INDIRECT(QF$1)=$A$3),$A$3,IFERROR(INDEX(INDIRECT(QH57),MATCH(INDIRECT(QF$3),INDIRECT(QH57),QH$25)),IFERROR(IF(QH$25=-1,MAX(INDIRECT(QH57)),IF(QH$25=1,MIN(INDIRECT(QH57)))),"")))))</f>
        <v/>
      </c>
      <c r="QK57" s="91" t="str">
        <f t="shared" ca="1" si="98"/>
        <v>Aerobic_2[Note]</v>
      </c>
      <c r="QL57" s="97" t="str" cm="1">
        <f t="array" aca="1" ref="QL57" ca="1">IFERROR(INDEX(INDIRECT(QK57),MATCH(INDIRECT(QF$5),INDIRECT(QH57),0)),IF(INDIRECT(QF$5)=0,1,""))</f>
        <v/>
      </c>
      <c r="QM57" s="97"/>
      <c r="QN57" s="97" t="str" cm="1">
        <f t="array" aca="1" ref="QN57" ca="1">INDIRECT(QN$5)</f>
        <v/>
      </c>
      <c r="QO57" s="97" t="str" cm="1">
        <f t="array" aca="1" ref="QO57" ca="1">INDIRECT(QO$5)</f>
        <v/>
      </c>
      <c r="QP57" s="97" t="str" cm="1">
        <f t="array" aca="1" ref="QP57" ca="1">INDIRECT(QP$5)</f>
        <v/>
      </c>
      <c r="QQ57" s="97" t="str" cm="1">
        <f t="array" aca="1" ref="QQ57" ca="1">INDIRECT(QQ$5)</f>
        <v/>
      </c>
      <c r="QR57" s="97" t="str" cm="1">
        <f t="array" aca="1" ref="QR57" ca="1">INDIRECT(QR$5)</f>
        <v/>
      </c>
      <c r="QS57" s="97" t="str" cm="1">
        <f t="array" aca="1" ref="QS57" ca="1">INDIRECT(QS$5)</f>
        <v/>
      </c>
      <c r="QT57" s="97" t="str">
        <f t="shared" ca="1" si="99"/>
        <v>Darstellen und Tanzen nicht durchgeführt</v>
      </c>
      <c r="QU57" s="108">
        <f t="shared" ca="1" si="100"/>
        <v>0</v>
      </c>
      <c r="QV57" s="108">
        <f t="shared" ca="1" si="101"/>
        <v>0</v>
      </c>
      <c r="QW57" s="108" t="str">
        <f t="shared" ca="1" si="210"/>
        <v/>
      </c>
      <c r="QX57" s="97" t="str">
        <f t="shared" ca="1" si="211"/>
        <v>Darstellen und Tanzen nicht durchgeführt</v>
      </c>
      <c r="QY57" s="97" t="str">
        <f t="shared" ca="1" si="212"/>
        <v/>
      </c>
      <c r="QZ57" s="97" t="str" cm="1">
        <f t="array" aca="1" ref="QZ57" ca="1">IFERROR(IF(INDIRECT(INDEX(INDIRECT(QZ$5),MATCH(QX57,INDIRECT(QZ$4),0)))&lt;&gt;"",INDEX(INDIRECT(QZ$5),MATCH(QX57,INDIRECT(QZ$4),0)),INDEX(INDIRECT(QZ$6),MATCH(QX57,INDIRECT(QZ$4),0))),"")</f>
        <v/>
      </c>
      <c r="RA57" s="97" t="str">
        <f t="shared" ca="1" si="213"/>
        <v/>
      </c>
      <c r="RB57" s="97" t="str" cm="1">
        <f t="array" aca="1" ref="RB57" ca="1">IFERROR(INDIRECT(QZ57),IF(NOT(ISERROR(FIND(Stammdaten!$CC$3,QX57,1))),$A$2,""))</f>
        <v/>
      </c>
      <c r="RC57" s="97" t="str">
        <f ca="1">IF(RB57="","",IF(AND(QY57=Stammdaten!$BX$20,RA57="0",RB57=1),SUBSTITUTE(TEXT(RB57,RA57)&amp;" "&amp;LEFT(QY57,LEN(QY57)-1),".",","),SUBSTITUTE(TEXT(RB57,RA57)&amp;" "&amp;QY57,".",",")))</f>
        <v/>
      </c>
      <c r="RD57" s="97" t="str">
        <f t="shared" ca="1" si="102"/>
        <v/>
      </c>
      <c r="RE57" s="97" t="str" cm="1">
        <f t="array" aca="1" ref="RE57" ca="1">IFERROR(LEFT(INDIRECT(RD57),1)&amp;"]","")</f>
        <v/>
      </c>
      <c r="RF57" s="97" t="str">
        <f t="shared" ca="1" si="103"/>
        <v/>
      </c>
      <c r="RG57" s="97" t="str">
        <f ca="1">IFERROR(LEFT(QX57,FIND(Stammdaten!$CA$4,QX57,1)-2),IFERROR(LEFT(QX57,FIND(Stammdaten!$CC$3,QX57,1)-2),QX57))</f>
        <v>Darstellen und Tanzen</v>
      </c>
      <c r="RH57" s="97" t="str">
        <f ca="1">IF(NOT(ISERROR(FIND(Stammdaten!$CA$4,QX57,1))),Stammdaten!$CA$4,IF(RI57&lt;&gt;Stammdaten!$CC$3,RF57,""))</f>
        <v>nicht durchgeführt</v>
      </c>
      <c r="RI57" s="91" t="str">
        <f ca="1">IF(RB57=$A$2,Stammdaten!$CC$3,RC57)</f>
        <v/>
      </c>
      <c r="RJ57" s="108">
        <f t="shared" ca="1" si="214"/>
        <v>6</v>
      </c>
      <c r="RK57" s="97"/>
      <c r="RL57" s="308" t="str">
        <f ca="1">IF(QT57=$QT$4,Stammdaten!$BZ$1,IF(QT57=$QT$5,$A$3,QT57))</f>
        <v>Zu wenige Werte</v>
      </c>
      <c r="RM57" s="97"/>
      <c r="RN57" s="307"/>
      <c r="RO57" s="96" t="str">
        <f>IFERROR(IFERROR(SUBSTITUTE(BasketballResultat[[#This Row],[Eingabe]],".",",")*1,SUBSTITUTE(BasketballResultat[[#This Row],[Eingabe]],",",".")*1),"")</f>
        <v/>
      </c>
      <c r="RP57" s="96" t="str">
        <f>IF(OR(BasketballResultat[[#This Row],[Eingabe]]=$A$2,BasketballResultat[[#This Row],[Eingabe]]=$A$3),1,IF(AND(ISNUMBER(BasketballResultat[[#This Row],[Resultat]]),BasketballResultat[[#This Row],[Resultat]]&gt;=0),1,""))</f>
        <v/>
      </c>
      <c r="RQ57" s="96"/>
      <c r="RR57" s="91" t="str" cm="1">
        <f t="array" aca="1" ref="RR57" ca="1">IF(OR(INDIRECT(RR$2)=0,INDIRECT(RR$2)=""),"",IFERROR(IF(AND(RR$25=0.5,AND(INDIRECT(RR$2)&gt;0,INDIRECT(RR$2)&lt;=0.5)),0.5,IF(AND(RR$25&lt;&gt;0.5,AND(INDIRECT(RR$2)&gt;0,INDIRECT(RR$2)&lt;=1)),1,IF(RS$25,VALUE(_xlfn.VALUETOTEXT(CEILING(INDIRECT(RR$2),RR$25))),VALUE(_xlfn.VALUETOTEXT(MROUND(INDIRECT(RR$2),RR$25)))))),""))</f>
        <v/>
      </c>
      <c r="RS57" s="96" t="str">
        <f ca="1">LEFT(Geschlecht[[#This Row],[Geschlecht (Skala)]],1)&amp;RX$4</f>
        <v>2</v>
      </c>
      <c r="RT57" s="96" t="str">
        <f t="shared" ca="1" si="104"/>
        <v>Basketball_2[Resultat]</v>
      </c>
      <c r="RU57" s="97" t="str" cm="1">
        <f t="array" aca="1" ref="RU57" ca="1">IF(INDIRECT(RR$1)="","",IF(INDIRECT(RR$2)=0,0,IF(OR(INDIRECT(RR$1)=$A$2,INDIRECT(RR$1)=$A$3),$A$3,IFERROR(INDEX(INDIRECT(RT57),MATCH(INDIRECT(RR$3),INDIRECT(RT57),RT$25)),IFERROR(IF(RT$25=-1,MAX(INDIRECT(RT57)),IF(RT$25=1,MIN(INDIRECT(RT57)))),"")))))</f>
        <v/>
      </c>
      <c r="RW57" s="91" t="str">
        <f t="shared" ca="1" si="105"/>
        <v>Basketball_2[Note]</v>
      </c>
      <c r="RX57" s="97" t="str" cm="1">
        <f t="array" aca="1" ref="RX57" ca="1">IFERROR(INDEX(INDIRECT(RW57),MATCH(INDIRECT(RR$5),INDIRECT(RT57),0)),IF(INDIRECT(RR$5)=0,1,""))</f>
        <v/>
      </c>
      <c r="RY57" s="97"/>
      <c r="RZ57" s="307"/>
      <c r="SA57" s="96" t="str">
        <f>IFERROR(IFERROR(SUBSTITUTE(FussballResultat[[#This Row],[Eingabe]],".",",")*1,SUBSTITUTE(FussballResultat[[#This Row],[Eingabe]],",",".")*1),"")</f>
        <v/>
      </c>
      <c r="SB57" s="96" t="str">
        <f>IF(OR(FussballResultat[[#This Row],[Eingabe]]=$A$2,FussballResultat[[#This Row],[Eingabe]]=$A$3),1,IF(AND(ISNUMBER(FussballResultat[[#This Row],[Resultat]]),FussballResultat[[#This Row],[Resultat]]&gt;=0),1,""))</f>
        <v/>
      </c>
      <c r="SC57" s="96"/>
      <c r="SD57" s="316" t="str" cm="1">
        <f t="array" aca="1" ref="SD57" ca="1">IF(OR(INDIRECT(SD$2)=0,INDIRECT(SD$2)=""),"",IFERROR(IF(AND(SD$25=0.5,AND(INDIRECT(SD$2)&gt;0,INDIRECT(SD$2)&lt;=0.5)),0.5,IF(AND(SD$25&lt;&gt;0.5,AND(INDIRECT(SD$2)&gt;0,INDIRECT(SD$2)&lt;=1)),1,IF(SE$25,VALUE(_xlfn.VALUETOTEXT(CEILING(INDIRECT(SD$2),SD$25))),VALUE(_xlfn.VALUETOTEXT(MROUND(INDIRECT(SD$2),SD$25)))))),""))</f>
        <v/>
      </c>
      <c r="SE57" s="96" t="str">
        <f ca="1">LEFT(Geschlecht[[#This Row],[Geschlecht (Skala)]],1)&amp;SJ$4</f>
        <v>2</v>
      </c>
      <c r="SF57" s="96" t="str">
        <f t="shared" ca="1" si="106"/>
        <v>Fussball_2[Resultat]</v>
      </c>
      <c r="SG57" s="97" t="str" cm="1">
        <f t="array" aca="1" ref="SG57" ca="1">IF(INDIRECT(SD$1)="","",IF(INDIRECT(SD$2)=0,0,IF(OR(INDIRECT(SD$1)=$A$2,INDIRECT(SD$1)=$A$3),$A$3,IFERROR(INDEX(INDIRECT(SF57),MATCH(INDIRECT(SD$3),INDIRECT(SF57),SF$25)),IFERROR(IF(SF$25=-1,MAX(INDIRECT(SF57)),IF(SF$25=1,MIN(INDIRECT(SF57)))),"")))))</f>
        <v/>
      </c>
      <c r="SI57" s="91" t="str">
        <f t="shared" ca="1" si="107"/>
        <v>Fussball_2[Note]</v>
      </c>
      <c r="SJ57" s="97" t="str" cm="1">
        <f t="array" aca="1" ref="SJ57" ca="1">IFERROR(INDEX(INDIRECT(SI57),MATCH(INDIRECT(SD$5),INDIRECT(SF57),0)),IF(INDIRECT(SD$5)=0,1,""))</f>
        <v/>
      </c>
      <c r="SK57" s="97"/>
      <c r="SL57" s="307"/>
      <c r="SM57" s="96" t="str">
        <f>IFERROR(IFERROR(SUBSTITUTE(HandballResultat[[#This Row],[Eingabe]],".",",")*1,SUBSTITUTE(HandballResultat[[#This Row],[Eingabe]],",",".")*1),"")</f>
        <v/>
      </c>
      <c r="SN57" s="96" t="str">
        <f>IF(OR(HandballResultat[[#This Row],[Eingabe]]=$A$2,HandballResultat[[#This Row],[Eingabe]]=$A$3),1,IF(AND(ISNUMBER(HandballResultat[[#This Row],[Resultat]]),HandballResultat[[#This Row],[Resultat]]&gt;=0),1,""))</f>
        <v/>
      </c>
      <c r="SO57" s="96"/>
      <c r="SP57" s="91" t="str" cm="1">
        <f t="array" aca="1" ref="SP57" ca="1">IF(OR(INDIRECT(SP$2)=0,INDIRECT(SP$2)=""),"",IFERROR(IF(AND(SP$25=0.5,AND(INDIRECT(SP$2)&gt;0,INDIRECT(SP$2)&lt;=0.5)),0.5,IF(AND(SP$25&lt;&gt;0.5,AND(INDIRECT(SP$2)&gt;0,INDIRECT(SP$2)&lt;=1)),1,IF(SQ$25,VALUE(_xlfn.VALUETOTEXT(CEILING(INDIRECT(SP$2),SP$25))),VALUE(_xlfn.VALUETOTEXT(MROUND(INDIRECT(SP$2),SP$25)))))),""))</f>
        <v/>
      </c>
      <c r="SQ57" s="96" t="str">
        <f ca="1">LEFT(Geschlecht[[#This Row],[Geschlecht (Skala)]],1)&amp;SV$4</f>
        <v>2</v>
      </c>
      <c r="SR57" s="96" t="str">
        <f t="shared" ca="1" si="108"/>
        <v>Handball_2[Resultat]</v>
      </c>
      <c r="SS57" s="97" t="str" cm="1">
        <f t="array" aca="1" ref="SS57" ca="1">IF(INDIRECT(SP$1)="","",IF(INDIRECT(SP$2)=0,0,IF(OR(INDIRECT(SP$1)=$A$2,INDIRECT(SP$1)=$A$3),$A$3,IFERROR(INDEX(INDIRECT(SR57),MATCH(INDIRECT(SP$3),INDIRECT(SR57),SR$25)),IFERROR(IF(SR$25=-1,MAX(INDIRECT(SR57)),IF(SR$25=1,MIN(INDIRECT(SR57)))),"")))))</f>
        <v/>
      </c>
      <c r="SU57" s="91" t="str">
        <f t="shared" ca="1" si="109"/>
        <v>Handball_2[Note]</v>
      </c>
      <c r="SV57" s="97" t="str" cm="1">
        <f t="array" aca="1" ref="SV57" ca="1">IFERROR(INDEX(INDIRECT(SU57),MATCH(INDIRECT(SP$5),INDIRECT(SR57),0)),IF(INDIRECT(SP$5)=0,1,""))</f>
        <v/>
      </c>
      <c r="SW57" s="97"/>
      <c r="SX57" s="307"/>
      <c r="SY57" s="96" t="str">
        <f>IFERROR(IFERROR(SUBSTITUTE(UnihockeyResultat[[#This Row],[Eingabe]],".",",")*1,SUBSTITUTE(UnihockeyResultat[[#This Row],[Eingabe]],",",".")*1),"")</f>
        <v/>
      </c>
      <c r="SZ57" s="96" t="str">
        <f>IF(OR(UnihockeyResultat[[#This Row],[Eingabe]]=$A$2,UnihockeyResultat[[#This Row],[Eingabe]]=$A$3),1,IF(AND(ISNUMBER(UnihockeyResultat[[#This Row],[Resultat]]),UnihockeyResultat[[#This Row],[Resultat]]&gt;=0),1,""))</f>
        <v/>
      </c>
      <c r="TA57" s="96"/>
      <c r="TB57" s="91" t="str" cm="1">
        <f t="array" aca="1" ref="TB57" ca="1">IF(OR(INDIRECT(TB$2)=0,INDIRECT(TB$2)=""),"",IFERROR(IF(AND(TB$25=0.5,AND(INDIRECT(TB$2)&gt;0,INDIRECT(TB$2)&lt;=0.5)),0.5,IF(AND(TB$25&lt;&gt;0.5,AND(INDIRECT(TB$2)&gt;0,INDIRECT(TB$2)&lt;=1)),1,IF(TC$25,VALUE(_xlfn.VALUETOTEXT(CEILING(INDIRECT(TB$2),TB$25))),VALUE(_xlfn.VALUETOTEXT(MROUND(INDIRECT(TB$2),TB$25)))))),""))</f>
        <v/>
      </c>
      <c r="TC57" s="96" t="str">
        <f ca="1">LEFT(Geschlecht[[#This Row],[Geschlecht (Skala)]],1)&amp;TH$4</f>
        <v>2</v>
      </c>
      <c r="TD57" s="96" t="str">
        <f t="shared" ca="1" si="110"/>
        <v>Unihockey_2[Resultat]</v>
      </c>
      <c r="TE57" s="97" t="str" cm="1">
        <f t="array" aca="1" ref="TE57" ca="1">IF(INDIRECT(TB$1)="","",IF(INDIRECT(TB$2)=0,0,IF(OR(INDIRECT(TB$1)=$A$2,INDIRECT(TB$1)=$A$3),$A$3,IFERROR(INDEX(INDIRECT(TD57),MATCH(INDIRECT(TB$3),INDIRECT(TD57),TD$25)),IFERROR(IF(TD$25=-1,MAX(INDIRECT(TD57)),IF(TD$25=1,MIN(INDIRECT(TD57)))),"")))))</f>
        <v/>
      </c>
      <c r="TG57" s="91" t="str">
        <f t="shared" ca="1" si="111"/>
        <v>Unihockey_2[Note]</v>
      </c>
      <c r="TH57" s="97" t="str" cm="1">
        <f t="array" aca="1" ref="TH57" ca="1">IFERROR(INDEX(INDIRECT(TG57),MATCH(INDIRECT(TB$5),INDIRECT(TD57),0)),IF(INDIRECT(TB$5)=0,1,""))</f>
        <v/>
      </c>
      <c r="TI57" s="97"/>
      <c r="TJ57" s="307"/>
      <c r="TK57" s="96" t="str">
        <f>IFERROR(IFERROR(SUBSTITUTE(VolleyballResultat[[#This Row],[Eingabe]],".",",")*1,SUBSTITUTE(VolleyballResultat[[#This Row],[Eingabe]],",",".")*1),"")</f>
        <v/>
      </c>
      <c r="TL57" s="96" t="e">
        <f>INT(VolleyballResultat[[#This Row],[Resultat]])=VolleyballResultat[[#This Row],[Resultat]]</f>
        <v>#VALUE!</v>
      </c>
      <c r="TM57" s="96" t="str">
        <f ca="1">IFERROR(IF(AND(VolleyballResultat[[#This Row],[GZRes]],AND(VolleyballResultat[[#This Row],[Resultat]]&gt;=0,VolleyballResultat[[#This Row],[Resultat]]&lt;=TU$23)),1),IF(OR(VolleyballResultat[[#This Row],[Eingabe]]=$A$2,VolleyballResultat[[#This Row],[Eingabe]]=$A$3),1,""))</f>
        <v/>
      </c>
      <c r="TN57" s="96"/>
      <c r="TO57" s="91" t="str" cm="1">
        <f t="array" aca="1" ref="TO57" ca="1">IF(OR(INDIRECT(TO$2)=0,INDIRECT(TO$2)=""),"",IFERROR(IF(AND(TO$25=0.5,AND(INDIRECT(TO$2)&gt;0,INDIRECT(TO$2)&lt;=0.5)),0.5,IF(AND(TO$25&lt;&gt;0.5,AND(INDIRECT(TO$2)&gt;0,INDIRECT(TO$2)&lt;=1)),1,IF(TP$25,VALUE(_xlfn.VALUETOTEXT(CEILING(INDIRECT(TO$2),TO$25))),VALUE(_xlfn.VALUETOTEXT(MROUND(INDIRECT(TO$2),TO$25)))))),""))</f>
        <v/>
      </c>
      <c r="TP57" s="96" t="str">
        <f ca="1">LEFT(Geschlecht[[#This Row],[Geschlecht (Skala)]],1)&amp;TU$4</f>
        <v>2</v>
      </c>
      <c r="TQ57" s="96" t="str">
        <f t="shared" ca="1" si="112"/>
        <v>Volleyball_2[Resultat]</v>
      </c>
      <c r="TR57" s="97" t="str" cm="1">
        <f t="array" aca="1" ref="TR57" ca="1">IF(INDIRECT(TO$1)="","",IF(INDIRECT(TO$2)=0,0,IF(OR(INDIRECT(TO$1)=$A$2,INDIRECT(TO$1)=$A$3),$A$3,IFERROR(INDEX(INDIRECT(TQ57),MATCH(INDIRECT(TO$3),INDIRECT(TQ57),TQ$25)),IFERROR(IF(TQ$25=-1,MAX(INDIRECT(TQ57)),IF(TQ$25=1,MIN(INDIRECT(TQ57)))),"")))))</f>
        <v/>
      </c>
      <c r="TT57" s="91" t="str">
        <f t="shared" ca="1" si="113"/>
        <v>Volleyball_2[Note]</v>
      </c>
      <c r="TU57" s="97" t="str" cm="1">
        <f t="array" aca="1" ref="TU57" ca="1">IFERROR(INDEX(INDIRECT(TT57),MATCH(INDIRECT(TO$5),INDIRECT(TQ57),0)),IF(INDIRECT(TO$5)=0,1,""))</f>
        <v/>
      </c>
      <c r="TV57" s="97"/>
      <c r="TW57" s="309" t="str" cm="1">
        <f t="array" aca="1" ref="TW57" ca="1">IF(AND(ISNUMBER(INDIRECT(TW$3)),INDIRECT(TW$3)&gt;1),INDIRECT(TW$3),"")</f>
        <v/>
      </c>
      <c r="TX57" s="309" t="str" cm="1">
        <f t="array" aca="1" ref="TX57" ca="1">IF(AND(ISNUMBER(INDIRECT(TX$3)),INDIRECT(TX$3)&gt;1),INDIRECT(TX$3),"")</f>
        <v/>
      </c>
      <c r="TY57" s="309" t="str" cm="1">
        <f t="array" aca="1" ref="TY57" ca="1">IF(AND(ISNUMBER(INDIRECT(TY$3)),INDIRECT(TY$3)&gt;1),INDIRECT(TY$3),"")</f>
        <v/>
      </c>
      <c r="TZ57" s="309" t="str" cm="1">
        <f t="array" aca="1" ref="TZ57" ca="1">IF(AND(ISNUMBER(INDIRECT(TZ$3)),INDIRECT(TZ$3)&gt;1),INDIRECT(TZ$3),"")</f>
        <v/>
      </c>
      <c r="UA57" s="309" t="str" cm="1">
        <f t="array" aca="1" ref="UA57" ca="1">IF(AND(ISNUMBER(INDIRECT(UA$3)),INDIRECT(UA$3)&gt;1),INDIRECT(UA$3),"")</f>
        <v/>
      </c>
      <c r="UB57" s="309" t="str">
        <f t="shared" ca="1" si="114"/>
        <v>x</v>
      </c>
      <c r="UC57" s="309" t="str">
        <f t="shared" ca="1" si="115"/>
        <v>y</v>
      </c>
      <c r="UD57" s="309" t="str">
        <f t="shared" ca="1" si="116"/>
        <v>z</v>
      </c>
      <c r="UE57" s="309" t="str">
        <f t="shared" ca="1" si="215"/>
        <v>a</v>
      </c>
      <c r="UF57" s="309" t="str" cm="1">
        <f t="array" aca="1" ref="UF57" ca="1">IF(UE57="a","",INDEX($TW$23:$UA$23,,MATCH(UE57,$TW57:$UA57,0)))</f>
        <v/>
      </c>
      <c r="UG57" s="309" t="str" cm="1">
        <f t="array" aca="1" ref="UG57" ca="1">IF(OR(UF57="",UF57&gt;=$UA$23),"",INDEX(INDIRECT(ADDRESS(ROW($TW$23),UF57+1)):$UA$23,,MATCH(UE57,INDIRECT(ADDRESS(ROW(),UF57+1)):$UA57,0)))</f>
        <v/>
      </c>
      <c r="UH57" s="309" t="str" cm="1">
        <f t="array" aca="1" ref="UH57" ca="1">IF(OR(UG57="",UG57&gt;=$UA$23),"",INDEX(INDIRECT(ADDRESS(ROW($TW$23),UG57+1)):$UA$23,,MATCH(UE57,INDIRECT(ADDRESS(ROW(),UG57+1)):$UA57,0)))</f>
        <v/>
      </c>
      <c r="UI57" s="309" t="str">
        <f t="shared" ca="1" si="216"/>
        <v>c</v>
      </c>
      <c r="UJ57" s="309" t="str" cm="1">
        <f t="array" aca="1" ref="UJ57" ca="1">IF(OR(UI57="b",UI57="c"),"",INDEX($TW$23:$UA$23,,MATCH(UI57,$TW57:$UA57,0)))</f>
        <v/>
      </c>
      <c r="UK57" s="309" t="str" cm="1">
        <f t="array" aca="1" ref="UK57" ca="1">IF(OR(UJ57="",UJ57&gt;=$UA$23),"",INDEX(INDIRECT(ADDRESS(ROW($TW$23),UJ57+1)):$UA$23,,MATCH(UI57,INDIRECT(ADDRESS(ROW(),UJ57+1)):$UA57,0)))</f>
        <v/>
      </c>
      <c r="UL57" s="309" t="str">
        <f t="shared" ca="1" si="117"/>
        <v/>
      </c>
      <c r="UM57" s="309" t="str">
        <f t="shared" ca="1" si="217"/>
        <v>e</v>
      </c>
      <c r="UN57" s="309" t="str">
        <f t="shared" ca="1" si="118"/>
        <v/>
      </c>
      <c r="UO57" s="309" t="str" cm="1">
        <f t="array" aca="1" ref="UO57" ca="1">IF(OR(UM57="d",UM57="e"),"",INDEX($TW$23:$UA$23,,MATCH(UM57,$TW57:$UA57,0)))</f>
        <v/>
      </c>
      <c r="UP57" s="309" t="str" cm="1">
        <f t="array" aca="1" ref="UP57" ca="1">IF(OR(UO57="",UO57&gt;=$UA$23),"",INDEX(INDIRECT(ADDRESS(ROW($TW$23),UO57+1)):$UA$23,,MATCH(UM57,INDIRECT(ADDRESS(ROW(),UO57+1)):$UA57,0)))</f>
        <v/>
      </c>
      <c r="UQ57" s="309" t="str" cm="1">
        <f t="array" aca="1" ref="UQ57" ca="1">IFERROR(IF(ISNUMBER(UF57),UF57,IF(ISNUMBER(UJ57),UJ57,IF(ISNUMBER(UN57),UN57,INDEX($TW$23:$UA$23,,MATCH(UB57,$TW57:$UA57,0))))),"x1")</f>
        <v>x1</v>
      </c>
      <c r="UR57" s="309" t="str" cm="1">
        <f t="array" aca="1" ref="UR57" ca="1">IFERROR(IF(ISNUMBER(UG57),UG57,IF(ISNUMBER(UK57),UK57,IF(ISNUMBER(UO57),UO57,INDEX($TW$23:$UA$23,,MATCH(UC57,$TW57:$UA57,0))))),IF(UQ57="x1","x2","x1"))</f>
        <v>x2</v>
      </c>
      <c r="US57" s="309" t="str" cm="1">
        <f t="array" aca="1" ref="US57" ca="1">IFERROR(IF(ISNUMBER(UH57),UH57,IF(ISNUMBER(UL57),UL57,IF(ISNUMBER(UP57),UP57,INDEX($TW$23:$UA$23,,MATCH(UD57,$TW57:$UA57,0))))),IF(UR57="x1","x2",IF(UR57="x2","x3","x1")))</f>
        <v>x3</v>
      </c>
      <c r="UT57" s="97" t="str" cm="1">
        <f t="array" aca="1" ref="UT57" ca="1">IF(OR(INDIRECT(UT$3)=$A$2,INDIRECT(UT$3)=$A$3),COLUMN(),"")</f>
        <v/>
      </c>
      <c r="UU57" s="97" t="str" cm="1">
        <f t="array" aca="1" ref="UU57" ca="1">IF(OR(INDIRECT(UU$3)=$A$2,INDIRECT(UU$3)=$A$3),COLUMN(),"")</f>
        <v/>
      </c>
      <c r="UV57" s="97" t="str" cm="1">
        <f t="array" aca="1" ref="UV57" ca="1">IF(OR(INDIRECT(UV$3)=$A$2,INDIRECT(UV$3)=$A$3),COLUMN(),"")</f>
        <v/>
      </c>
      <c r="UW57" s="97" t="str" cm="1">
        <f t="array" aca="1" ref="UW57" ca="1">IF(OR(INDIRECT(UW$3)=$A$2,INDIRECT(UW$3)=$A$3),COLUMN(),"")</f>
        <v/>
      </c>
      <c r="UX57" s="97" t="str" cm="1">
        <f t="array" aca="1" ref="UX57" ca="1">IF(OR(INDIRECT(UX$3)=$A$2,INDIRECT(UX$3)=$A$3),COLUMN(),"")</f>
        <v/>
      </c>
      <c r="UY57" s="97" t="str" cm="1">
        <f t="array" aca="1" ref="UY57" ca="1">IF(AND(ISNUMBER(INDIRECT(UY$3)),INDIRECT(UY$3)=0),COLUMN(),"")</f>
        <v/>
      </c>
      <c r="UZ57" s="97" t="str" cm="1">
        <f t="array" aca="1" ref="UZ57" ca="1">IF(AND(ISNUMBER(INDIRECT(UZ$3)),INDIRECT(UZ$3)=0),COLUMN(),"")</f>
        <v/>
      </c>
      <c r="VA57" s="97" t="str" cm="1">
        <f t="array" aca="1" ref="VA57" ca="1">IF(AND(ISNUMBER(INDIRECT(VA$3)),INDIRECT(VA$3)=0),COLUMN(),"")</f>
        <v/>
      </c>
      <c r="VB57" s="97" t="str" cm="1">
        <f t="array" aca="1" ref="VB57" ca="1">IF(AND(ISNUMBER(INDIRECT(VB$3)),INDIRECT(VB$3)=0),COLUMN(),"")</f>
        <v/>
      </c>
      <c r="VC57" s="97" t="str" cm="1">
        <f t="array" aca="1" ref="VC57" ca="1">IF(AND(ISNUMBER(INDIRECT(VC$3)),INDIRECT(VC$3)=0),COLUMN(),"")</f>
        <v/>
      </c>
      <c r="VD57" s="97" t="str">
        <f t="shared" ca="1" si="218"/>
        <v>x1</v>
      </c>
      <c r="VE57" s="97" t="str">
        <f t="shared" ca="1" si="219"/>
        <v>x2</v>
      </c>
      <c r="VF57" s="97" t="str">
        <f t="shared" ca="1" si="220"/>
        <v>x3</v>
      </c>
      <c r="VG57" s="97" t="str">
        <f ca="1">IFERROR(IF(ISNUMBER(VD57),VD57,SMALL($UY57:$VC57,VALUE(RIGHT(VD57,1)))),Stammdaten!$CB$17)</f>
        <v>Erste Spielsportart nicht durchgeführt</v>
      </c>
      <c r="VH57" s="97" t="str">
        <f ca="1">IFERROR(IF(ISNUMBER(VE57),VE57,SMALL($UY57:$VC57,VALUE(RIGHT(VE57,1)))),Stammdaten!$CB$18)</f>
        <v>Zweite Spielsportart nicht durchgeführt</v>
      </c>
      <c r="VI57" s="97" t="str">
        <f ca="1">IFERROR(IF(ISNUMBER(VF57),VF57,SMALL($UY57:$VC57,VALUE(RIGHT(VF57,1)))),Stammdaten!$CB$19)</f>
        <v>Dritte Spielsportart nicht durchgeführt</v>
      </c>
      <c r="VJ57" s="91" t="str" cm="1">
        <f t="array" aca="1" ref="VJ57" ca="1">IFERROR(INDIRECT(ADDRESS(ROW($TW$5),VG57)),VG57)</f>
        <v>Erste Spielsportart nicht durchgeführt</v>
      </c>
      <c r="VK57" s="97" t="str">
        <f t="shared" ca="1" si="221"/>
        <v/>
      </c>
      <c r="VL57" s="97" t="str" cm="1">
        <f t="array" aca="1" ref="VL57" ca="1">IFERROR(IF(INDIRECT(INDEX(INDIRECT(VL$5),MATCH(VJ57,INDIRECT(VL$4),0)))&lt;&gt;"",INDEX(INDIRECT(VL$5),MATCH(VJ57,INDIRECT(VL$4),0)),INDEX(INDIRECT(VL$6),MATCH(VJ57,INDIRECT(VL$4),0))),"")</f>
        <v/>
      </c>
      <c r="VM57" s="97" t="str">
        <f t="shared" ca="1" si="222"/>
        <v/>
      </c>
      <c r="VN57" s="97" t="str" cm="1">
        <f t="array" aca="1" ref="VN57" ca="1">IFERROR(INDIRECT(VL57),"")</f>
        <v/>
      </c>
      <c r="VO57" s="97" t="str">
        <f ca="1">IF(VN57="","",IF(AND(VK57=Stammdaten!$BX$20,VM57="0",VN57=1),SUBSTITUTE(TEXT(VN57,VM57)&amp;" "&amp;LEFT(VK57,LEN(VK57)-1),".",","),SUBSTITUTE(TEXT(VN57,VM57)&amp;" "&amp;VK57,".",",")))</f>
        <v/>
      </c>
      <c r="VP57" s="97" t="str">
        <f t="shared" ca="1" si="119"/>
        <v/>
      </c>
      <c r="VQ57" s="97" t="str" cm="1">
        <f t="array" aca="1" ref="VQ57" ca="1">IFERROR(LEFT(INDIRECT(VP57),1)&amp;"]","")</f>
        <v/>
      </c>
      <c r="VR57" s="97" t="str">
        <f t="shared" ca="1" si="120"/>
        <v/>
      </c>
      <c r="VS57" s="97" t="str">
        <f ca="1">IFERROR(LEFT(VJ57,FIND(Stammdaten!$CA$4,VJ57,1)-2),IFERROR(LEFT(VJ57,FIND(Stammdaten!$CC$3,VJ57,1)-2),VJ57))</f>
        <v>Erste Spielsportart</v>
      </c>
      <c r="VT57" s="97" t="str">
        <f ca="1">IF(NOT(ISERROR(FIND(Stammdaten!$CA$4,VJ57,1))),Stammdaten!$CA$4,IF(VU57&lt;&gt;Stammdaten!$CC$3,VR57,""))</f>
        <v>nicht durchgeführt</v>
      </c>
      <c r="VU57" s="91" t="str">
        <f ca="1">IF(VN57=$A$2,Stammdaten!$CC$3,VO57)</f>
        <v/>
      </c>
      <c r="VV57" s="91" t="str" cm="1">
        <f t="array" aca="1" ref="VV57" ca="1">IFERROR(INDIRECT(ADDRESS(ROW($TW$5),VH57)),VH57)</f>
        <v>Zweite Spielsportart nicht durchgeführt</v>
      </c>
      <c r="VW57" s="97" t="str">
        <f t="shared" ca="1" si="223"/>
        <v/>
      </c>
      <c r="VX57" s="97" t="str" cm="1">
        <f t="array" aca="1" ref="VX57" ca="1">IFERROR(IF(INDIRECT(INDEX(INDIRECT(VX$5),MATCH(VV57,INDIRECT(VX$4),0)))&lt;&gt;"",INDEX(INDIRECT(VX$5),MATCH(VV57,INDIRECT(VX$4),0)),INDEX(INDIRECT(VX$6),MATCH(VV57,INDIRECT(VX$4),0))),"")</f>
        <v/>
      </c>
      <c r="VY57" s="97" t="str">
        <f t="shared" ca="1" si="224"/>
        <v/>
      </c>
      <c r="VZ57" s="97" t="str" cm="1">
        <f t="array" aca="1" ref="VZ57" ca="1">IFERROR(INDIRECT(VX57),"")</f>
        <v/>
      </c>
      <c r="WA57" s="97" t="str">
        <f ca="1">IF(VZ57="","",IF(AND(VW57=Stammdaten!$BX$20,VY57="0",VZ57=1),SUBSTITUTE(TEXT(VZ57,VY57)&amp;" "&amp;LEFT(VW57,LEN(VW57)-1),".",","),SUBSTITUTE(TEXT(VZ57,VY57)&amp;" "&amp;VW57,".",",")))</f>
        <v/>
      </c>
      <c r="WB57" s="97" t="str">
        <f t="shared" ca="1" si="121"/>
        <v/>
      </c>
      <c r="WC57" s="97" t="str" cm="1">
        <f t="array" aca="1" ref="WC57" ca="1">IFERROR(LEFT(INDIRECT(WB57),1)&amp;"]","")</f>
        <v/>
      </c>
      <c r="WD57" s="97" t="str">
        <f t="shared" ca="1" si="122"/>
        <v/>
      </c>
      <c r="WE57" s="97" t="str">
        <f ca="1">IFERROR(LEFT(VV57,FIND(Stammdaten!$CA$4,VV57,1)-2),IFERROR(LEFT(VV57,FIND(Stammdaten!$CC$3,VV57,1)-2),VV57))</f>
        <v>Zweite Spielsportart</v>
      </c>
      <c r="WF57" s="97" t="str">
        <f ca="1">IF(NOT(ISERROR(FIND(Stammdaten!$CA$4,VV57,1))),Stammdaten!$CA$4,IF(WG57&lt;&gt;Stammdaten!$CC$3,WD57,""))</f>
        <v>nicht durchgeführt</v>
      </c>
      <c r="WG57" s="91" t="str">
        <f ca="1">IF(VZ57=$A$2,Stammdaten!$CC$3,WA57)</f>
        <v/>
      </c>
      <c r="WH57" s="91" t="str" cm="1">
        <f t="array" aca="1" ref="WH57" ca="1">IFERROR(INDIRECT(ADDRESS(ROW($TW$5),VI57)),VI57)</f>
        <v>Dritte Spielsportart nicht durchgeführt</v>
      </c>
      <c r="WI57" s="97" t="str">
        <f t="shared" ca="1" si="225"/>
        <v/>
      </c>
      <c r="WJ57" s="97" t="str" cm="1">
        <f t="array" aca="1" ref="WJ57" ca="1">IFERROR(IF(INDIRECT(INDEX(INDIRECT(WJ$5),MATCH(WH57,INDIRECT(WJ$4),0)))&lt;&gt;"",INDEX(INDIRECT(WJ$5),MATCH(WH57,INDIRECT(WJ$4),0)),INDEX(INDIRECT(WJ$6),MATCH(WH57,INDIRECT(WJ$4),0))),"")</f>
        <v/>
      </c>
      <c r="WK57" s="97" t="str">
        <f t="shared" ca="1" si="226"/>
        <v/>
      </c>
      <c r="WL57" s="97" t="str" cm="1">
        <f t="array" aca="1" ref="WL57" ca="1">IFERROR(INDIRECT(WJ57),"")</f>
        <v/>
      </c>
      <c r="WM57" s="97" t="str">
        <f ca="1">IF(WL57="","",IF(AND(WI57=Stammdaten!$BX$20,WK57="0",WL57=1),SUBSTITUTE(TEXT(WL57,WK57)&amp;" "&amp;LEFT(WI57,LEN(WI57)-1),".",","),SUBSTITUTE(TEXT(WL57,WK57)&amp;" "&amp;WI57,".",",")))</f>
        <v/>
      </c>
      <c r="WN57" s="97" t="str">
        <f t="shared" ca="1" si="123"/>
        <v/>
      </c>
      <c r="WO57" s="97" t="str" cm="1">
        <f t="array" aca="1" ref="WO57" ca="1">IFERROR(LEFT(INDIRECT(WN57),1)&amp;"]","")</f>
        <v/>
      </c>
      <c r="WP57" s="97" t="str">
        <f t="shared" ca="1" si="124"/>
        <v/>
      </c>
      <c r="WQ57" s="97" t="str">
        <f ca="1">IFERROR(LEFT(WH57,FIND(Stammdaten!$CA$4,WH57,1)-2),IFERROR(LEFT(WH57,FIND(Stammdaten!$CC$3,WH57,1)-2),WH57))</f>
        <v>Dritte Spielsportart</v>
      </c>
      <c r="WR57" s="97" t="str">
        <f ca="1">IF(NOT(ISERROR(FIND(Stammdaten!$CA$4,WH57,1))),Stammdaten!$CA$4,IF(WS57&lt;&gt;Stammdaten!$CC$3,WP57,""))</f>
        <v>nicht durchgeführt</v>
      </c>
      <c r="WS57" s="91" t="str">
        <f ca="1">IF(WL57=$A$2,Stammdaten!$CC$3,WM57)</f>
        <v/>
      </c>
      <c r="WT57" s="97" t="str" cm="1">
        <f t="array" aca="1" ref="WT57" ca="1">INDIRECT(WT$5)</f>
        <v/>
      </c>
      <c r="WU57" s="97" t="str" cm="1">
        <f t="array" aca="1" ref="WU57" ca="1">INDIRECT(WU$5)</f>
        <v/>
      </c>
      <c r="WV57" s="97" t="str" cm="1">
        <f t="array" aca="1" ref="WV57" ca="1">INDIRECT(WV$5)</f>
        <v/>
      </c>
      <c r="WW57" s="97" t="str" cm="1">
        <f t="array" aca="1" ref="WW57" ca="1">INDIRECT(WW$5)</f>
        <v/>
      </c>
      <c r="WX57" s="97" t="str" cm="1">
        <f t="array" aca="1" ref="WX57" ca="1">INDIRECT(WX$5)</f>
        <v/>
      </c>
      <c r="WY57" s="97" cm="1">
        <f t="array" aca="1" ref="WY57" ca="1">IF(INDIRECT(WY$5)&lt;&gt;"",INDIRECT(WY$5),0)</f>
        <v>0</v>
      </c>
      <c r="WZ57" s="97" cm="1">
        <f t="array" aca="1" ref="WZ57" ca="1">IF(INDIRECT(WZ$5)&lt;&gt;"",INDIRECT(WZ$5),0)</f>
        <v>0</v>
      </c>
      <c r="XA57" s="97" cm="1">
        <f t="array" aca="1" ref="XA57" ca="1">IF(INDIRECT(XA$5)&lt;&gt;"",INDIRECT(XA$5),0)</f>
        <v>0</v>
      </c>
      <c r="XB57" s="97" cm="1">
        <f t="array" aca="1" ref="XB57" ca="1">IF(INDIRECT(XB$5)&lt;&gt;"",INDIRECT(XB$5),0)</f>
        <v>0</v>
      </c>
      <c r="XC57" s="97" cm="1">
        <f t="array" aca="1" ref="XC57" ca="1">IF(INDIRECT(XC$5)&lt;&gt;"",INDIRECT(XC$5),0)</f>
        <v>0</v>
      </c>
      <c r="XD57" s="97">
        <f t="shared" ca="1" si="125"/>
        <v>0</v>
      </c>
      <c r="XE57" s="97">
        <f t="shared" ca="1" si="125"/>
        <v>0</v>
      </c>
      <c r="XF57" s="97">
        <f t="shared" ca="1" si="125"/>
        <v>0</v>
      </c>
      <c r="XG57" s="97">
        <f t="shared" ca="1" si="227"/>
        <v>0</v>
      </c>
      <c r="XH57" s="108">
        <f t="shared" ca="1" si="228"/>
        <v>0</v>
      </c>
      <c r="XI57" s="108">
        <f t="shared" ca="1" si="126"/>
        <v>0</v>
      </c>
      <c r="XJ57" s="108" t="str">
        <f t="shared" ca="1" si="229"/>
        <v/>
      </c>
      <c r="XK57" s="97" t="str">
        <f ca="1">IF(XJ57="",Stammdaten!$BZ$1,IF(AND(XH57=0,XI57&gt;=XJ$25),$A$3,ROUND(SUM(XG57/XJ57)/XK$25,0)*XK$25))</f>
        <v>Zu wenige Werte</v>
      </c>
      <c r="XL57" s="108">
        <f t="shared" ca="1" si="230"/>
        <v>6</v>
      </c>
      <c r="XM57" s="97" t="str">
        <f t="shared" ca="1" si="231"/>
        <v/>
      </c>
      <c r="XN57" s="97" t="str">
        <f t="shared" ca="1" si="232"/>
        <v/>
      </c>
      <c r="XO57" s="97" t="str">
        <f t="shared" ca="1" si="233"/>
        <v/>
      </c>
      <c r="XP57" s="97" t="str">
        <f t="shared" ca="1" si="234"/>
        <v/>
      </c>
      <c r="XQ57" s="97" t="str">
        <f t="shared" ca="1" si="235"/>
        <v>g</v>
      </c>
      <c r="XR57" s="97" t="str">
        <f t="shared" ca="1" si="236"/>
        <v/>
      </c>
      <c r="XS57" s="97">
        <f t="shared" ca="1" si="237"/>
        <v>1</v>
      </c>
      <c r="XT57" s="97" t="str">
        <f ca="1">IF(OR(Geschlecht[[#This Row],[Geschlecht (Skala)]]="",NOT(ISNUMBER(XJ57))),"",XS57)</f>
        <v/>
      </c>
      <c r="XU57" s="97" t="str">
        <f t="shared" ca="1" si="238"/>
        <v/>
      </c>
      <c r="XV57" s="97"/>
      <c r="XW57" s="308" t="str">
        <f t="shared" ca="1" si="127"/>
        <v>Zu wenige Werte</v>
      </c>
      <c r="XX57" s="97"/>
      <c r="XY57" s="97" t="str">
        <f t="shared" ca="1" si="128"/>
        <v>Zu wenige Werte</v>
      </c>
      <c r="XZ57" s="97" t="str">
        <f t="shared" ca="1" si="129"/>
        <v>Zu wenige Werte</v>
      </c>
      <c r="YA57" s="97" t="str">
        <f t="shared" ca="1" si="130"/>
        <v>Zu wenige Werte</v>
      </c>
      <c r="YB57" s="97" t="str">
        <f t="shared" ca="1" si="131"/>
        <v>Zu wenige Werte</v>
      </c>
      <c r="YC57" s="97">
        <f t="shared" ca="1" si="239"/>
        <v>0</v>
      </c>
      <c r="YD57" s="108">
        <f t="shared" ca="1" si="240"/>
        <v>0</v>
      </c>
      <c r="YE57" s="108">
        <f t="shared" ca="1" si="241"/>
        <v>0</v>
      </c>
      <c r="YF57" s="108" t="str">
        <f t="shared" ca="1" si="242"/>
        <v/>
      </c>
      <c r="YG57" s="97" t="str">
        <f ca="1">IF(YF57="",Stammdaten!$BZ$1,IF(YE57=YF$25,$A$3,ROUND(SUM(YC57/YF57)/YG$25,0)*YG$25))</f>
        <v>Zu wenige Werte</v>
      </c>
      <c r="YH57" s="97" t="str">
        <f ca="1">IF(NOT(ISNUMBER(XY57)),"",IF(YH$11&lt;&gt;"2+",TEXT(XY57,YH$11)&amp;" / ",IF(RIGHT(XY57*100,2)="00",TEXT(XY57,"0"&amp;Stammdaten!$AZ$3&amp;"0")&amp;" / ",XY57&amp;" / ")))</f>
        <v/>
      </c>
      <c r="YI57" s="97" t="str">
        <f ca="1">IF(NOT(ISNUMBER(XZ57)),"",IF(YI$11&lt;&gt;"2+",TEXT(XZ57,YI$11)&amp;" / ",IF(RIGHT(XZ57*100,2)="00",TEXT(XZ57,"0"&amp;Stammdaten!$AZ$3&amp;"0")&amp;" / ",XZ57&amp;" / ")))</f>
        <v/>
      </c>
      <c r="YJ57" s="97" t="str">
        <f ca="1">IF(NOT(ISNUMBER(YA57)),"",IF(YJ$11&lt;&gt;"2+",TEXT(YA57,YJ$11)&amp;" / ",IF(RIGHT(YA57*100,2)="00",TEXT(YA57,"0"&amp;Stammdaten!$AZ$3&amp;"0")&amp;" / ",YA57&amp;" / ")))</f>
        <v/>
      </c>
      <c r="YK57" s="97" t="str">
        <f ca="1">IF(NOT(ISNUMBER(YB57)),"",IF(YK$11&lt;&gt;"2+",TEXT(YB57,YK$11)&amp;" / ",IF(RIGHT(YB57*100,2)="00",TEXT(YB57,"0"&amp;Stammdaten!$AZ$3&amp;"0")&amp;" / ",YB57&amp;" / ")))</f>
        <v/>
      </c>
      <c r="YL57" s="97" t="str">
        <f t="shared" ca="1" si="243"/>
        <v/>
      </c>
      <c r="YM57" s="97" t="str">
        <f>IF(Geschlecht[[#This Row],[Geschlecht (Skala)]]="","",IF(ISNUMBER(XY57),1,IF(XY57=$A$3,$A$2,"R")))</f>
        <v/>
      </c>
      <c r="YN57" s="97" t="str">
        <f>IF(Geschlecht[[#This Row],[Geschlecht (Skala)]]="","",IF(ISNUMBER(XZ57),1,IF(XZ57=$A$3,$A$2,"R")))</f>
        <v/>
      </c>
      <c r="YO57" s="97" t="str">
        <f>IF(Geschlecht[[#This Row],[Geschlecht (Skala)]]="","",IF(ISNUMBER(YA57),1,IF(YA57=$A$3,$A$2,"R")))</f>
        <v/>
      </c>
      <c r="YP57" s="97" t="str">
        <f>IF(Geschlecht[[#This Row],[Geschlecht (Skala)]]="","",IF(ISNUMBER(YB57),1,IF(YB57=$A$3,$A$2,"R")))</f>
        <v/>
      </c>
      <c r="YQ57" s="97" t="str">
        <f t="shared" si="244"/>
        <v>g</v>
      </c>
      <c r="YR57" s="97" t="str">
        <f t="shared" ca="1" si="245"/>
        <v/>
      </c>
      <c r="YS57" s="97">
        <f t="shared" ca="1" si="246"/>
        <v>1</v>
      </c>
      <c r="YT57" s="97" t="str">
        <f ca="1">IF(OR(Geschlecht[[#This Row],[Geschlecht (Skala)]]="",NOT(ISNUMBER(YG57))),"",YS57)</f>
        <v/>
      </c>
      <c r="YU57" s="97"/>
      <c r="YV57" s="311" t="str">
        <f t="shared" si="247"/>
        <v>D</v>
      </c>
      <c r="YW57" s="302"/>
      <c r="YX57" s="311" t="str">
        <f t="shared" si="248"/>
        <v>D</v>
      </c>
      <c r="YY57" s="302"/>
      <c r="YZ57" s="311" t="str">
        <f t="shared" si="249"/>
        <v>D</v>
      </c>
      <c r="ZA57" s="302"/>
      <c r="ZB57" s="311" t="str">
        <f t="shared" si="250"/>
        <v>D</v>
      </c>
      <c r="ZC57" s="97"/>
      <c r="ZD57" s="97" t="str">
        <f t="shared" ca="1" si="132"/>
        <v/>
      </c>
      <c r="ZE57" s="97"/>
      <c r="ZF57" s="308" t="str">
        <f t="shared" ca="1" si="251"/>
        <v>Zu wenige Werte</v>
      </c>
      <c r="ZH57" s="317" t="s">
        <v>134</v>
      </c>
      <c r="ZJ57" s="91" t="str" cm="1">
        <f t="array" ref="ZJ57">IF(OR(Geschlecht[[#This Row],[Geschlecht (Skala)]]="",ZH57="",ZH57=Stammdaten!$BZ$5),"",REPLACE(INDEX(StdDisziplinen[TabÜberschriftNote],ZH$3),FIND("X",INDEX(StdDisziplinen[TabÜberschriftNote],ZH$3),1),1,Geschlecht[[#This Row],[Geschlecht (Skala)]]))</f>
        <v/>
      </c>
      <c r="ZK57" s="314"/>
      <c r="ZM57" s="315"/>
      <c r="ZN57" s="97" t="str">
        <f>IFERROR(IFERROR(SUBSTITUTE(SchwimmenResultatMin[[#This Row],[Min]],".",",")*1,SUBSTITUTE(SchwimmenResultatMin[[#This Row],[Min]],",",".")*1),"")</f>
        <v/>
      </c>
      <c r="ZO57" s="91" t="e">
        <f>INT(SchwimmenResultatMin[[#This Row],[Resultat]])=SchwimmenResultatMin[[#This Row],[Resultat]]</f>
        <v>#VALUE!</v>
      </c>
      <c r="ZP57" s="108" t="str">
        <f>IFERROR(IF(AND(SchwimmenResultatMin[[#This Row],[GZMin]],SchwimmenResultatMin[[#This Row],[Resultat]]&gt;=0),1),IF(OR(SchwimmenResultatMin[[#This Row],[Min]]=$A$2,SchwimmenResultatMin[[#This Row],[Min]]=$A$3),1,""))</f>
        <v/>
      </c>
      <c r="ZR57" s="315"/>
      <c r="ZS57" s="97" t="str">
        <f>IFERROR(IFERROR(SUBSTITUTE(SchwimmenResultatSek[[#This Row],[Sek]],".",",")*1,SUBSTITUTE(SchwimmenResultatSek[[#This Row],[Sek]],",",".")*1),"")</f>
        <v/>
      </c>
      <c r="ZT57" s="108" t="e">
        <f>INT(SchwimmenResultatSek[[#This Row],[Resultat]])=SchwimmenResultatSek[[#This Row],[Resultat]]</f>
        <v>#VALUE!</v>
      </c>
      <c r="ZU57" s="108" t="str">
        <f>IFERROR(IF(AND(SchwimmenResultatSek[[#This Row],[GZSek]],AND(SchwimmenResultatSek[[#This Row],[Resultat]]&gt;=0,SchwimmenResultatSek[[#This Row],[Resultat]]&lt;=59),NOT(OR(SchwimmenResultatMin[[#This Row],[Min]]=$A$2,SchwimmenResultatMin[[#This Row],[Min]]=$A$3))),1),"")</f>
        <v/>
      </c>
      <c r="ZW57" s="97" t="str" cm="1">
        <f t="array" aca="1" ref="ZW57" ca="1">IF(AND(INDIRECT(ZW$2)="",INDIRECT(ZX$2)=""),"",IFERROR((INDIRECT(ZW$2)*$ZW$25)+INDIRECT(ZX$2),""))</f>
        <v/>
      </c>
      <c r="ZX57" s="91" t="str">
        <f ca="1">REPLACE(ZW$4,ZX$6,1,Geschlecht[[#This Row],[Geschlecht (Skala)]])</f>
        <v>Schwimmen_[Resultat]</v>
      </c>
      <c r="ZY57" s="91" t="str">
        <f ca="1">IFERROR(REPLACE($ZX57,FIND(Stammdaten!$V$2,$ZX57,1),LEN(Stammdaten!$V$2),Stammdaten!$BZ$9),"")</f>
        <v>Schwimmen_[Anzeige]</v>
      </c>
      <c r="ZZ57" s="97" t="str" cm="1">
        <f t="array" aca="1" ref="ZZ57" ca="1">IF(INDIRECT(ZW$3)="","",IF(INDIRECT(ZW$3)=0,0,IF(OR(INDIRECT(ZW$1)=$A$2,INDIRECT(ZW$1)=$A$3),$A$3,IFERROR(INDEX(INDIRECT(ZX57),MATCH(INDIRECT(ZW$3),INDIRECT(ZX57),ZY$25)),IFERROR(IF(ZY$25=-1,MAX(INDIRECT(ZX57)),IF(ZY$25=1,MIN(INDIRECT(ZX57)))),"")))))</f>
        <v/>
      </c>
      <c r="AAA57" s="97" t="str" cm="1">
        <f t="array" aca="1" ref="AAA57" ca="1">IF(INDIRECT(ZX$5)=0,0,IF(OR(INDIRECT(ZW$1)=$A$2,INDIRECT(ZW$1)=$A$3),$A$3,IFERROR(INDEX(INDIRECT($ZY57),MATCH(INDIRECT(ZX$5),INDIRECT($ZX57),0)),"")))</f>
        <v/>
      </c>
      <c r="AAC57" s="91" t="str">
        <f ca="1">REPLACE(ZW$6,ZX$6,1,Geschlecht[[#This Row],[Geschlecht (Skala)]])</f>
        <v>Schwimmen_[Note]</v>
      </c>
      <c r="AAD57" s="97" t="str" cm="1">
        <f t="array" aca="1" ref="AAD57" ca="1">IFERROR(INDEX(INDIRECT(AAC57),MATCH(INDIRECT(ZX$5),INDIRECT(ZX57),0)),IF(INDIRECT(ZX$5)=0,1,""))</f>
        <v/>
      </c>
      <c r="AAE57" s="97"/>
      <c r="AAF57" s="96" t="str">
        <f>ZwölfMinLaufHalleResultat[[#This Row],[Resultat]]</f>
        <v/>
      </c>
      <c r="AAG57" s="96"/>
      <c r="AAH57" s="97" t="str">
        <f ca="1">ZwölfMinLaufHalleSkalawert[[#This Row],[Skala-Wert]]</f>
        <v/>
      </c>
      <c r="AAJ57" s="97" t="str">
        <f ca="1">ZwölfMinLaufHalleNote[[#This Row],[Note]]</f>
        <v/>
      </c>
      <c r="AAK57" s="97"/>
      <c r="AAL57" s="96" t="str">
        <f>ZwölfMinLaufimFreienResultat[[#This Row],[Resultat]]</f>
        <v/>
      </c>
      <c r="AAM57" s="96"/>
      <c r="AAN57" s="97" t="str">
        <f ca="1">ZwölfMinLaufimFreienSkalawert[[#This Row],[Skala-Wert]]</f>
        <v/>
      </c>
      <c r="AAP57" s="97" t="str">
        <f ca="1">ZwölfMinLaufimFreienNote[[#This Row],[Note]]</f>
        <v/>
      </c>
      <c r="AAQ57" s="97"/>
      <c r="AAR57" s="307"/>
      <c r="AAS57" s="96" t="str">
        <f>IFERROR(IFERROR(SUBSTITUTE(BeweglichkeitResultat[[#This Row],[Eingabe]],".",",")*1,SUBSTITUTE(BeweglichkeitResultat[[#This Row],[Eingabe]],",",".")*1),"")</f>
        <v/>
      </c>
      <c r="AAT57" s="96" t="e">
        <f>INT(BeweglichkeitResultat[[#This Row],[Resultat]])=BeweglichkeitResultat[[#This Row],[Resultat]]</f>
        <v>#VALUE!</v>
      </c>
      <c r="AAU57" s="96" t="str">
        <f>IFERROR(IF(OR(BeweglichkeitResultat[[#This Row],[Eingabe]]=$A$2,BeweglichkeitResultat[[#This Row],[Eingabe]]=$A$3),1,IF(OR(AND(BeweglichkeitResultat[[#This Row],[GZRes]],AND(OR(Geschlecht[[#This Row],[Geschlecht (Skala)]]=Stammdaten!$D$6,Geschlecht[[#This Row],[Geschlecht (Skala)]]=""),BeweglichkeitResultat[[#This Row],[Resultat]]&gt;=-1)),AND(BeweglichkeitResultat[[#This Row],[GZRes]],AND(Geschlecht[[#This Row],[Geschlecht (Skala)]]=Stammdaten!$D$7,BeweglichkeitResultat[[#This Row],[Resultat]]&gt;=0))),1,"")),"")</f>
        <v/>
      </c>
      <c r="AAV57" s="96"/>
      <c r="AAW57" s="91" t="str" cm="1">
        <f t="array" aca="1" ref="AAW57" ca="1">IF(OR(INDIRECT(AAW$2)="",AND(Geschlecht[[#This Row],[Geschlecht (Skala)]]=Stammdaten!$D$7,INDIRECT(AAW$2)&lt;0)),"",IFERROR(IF(AAW$25,VALUE(_xlfn.VALUETOTEXT(CEILING(INDIRECT(AAW$2),AAU$25))),VALUE(_xlfn.VALUETOTEXT(ROUNDDOWN(INDIRECT(AAW$2),AAU$25)))),""))</f>
        <v/>
      </c>
      <c r="AAX57" s="96" t="str">
        <f ca="1">REPLACE(AAW$4,AAX$6,1,Geschlecht[[#This Row],[Geschlecht (Skala)]])</f>
        <v>Beweglichkeit_[Resultat]</v>
      </c>
      <c r="AAY57" s="96" t="str" cm="1">
        <f t="array" aca="1" ref="AAY57" ca="1">IF(OR(INDIRECT(AAW$1)=$A$2,INDIRECT(AAW$1)=$A$3),$A$3,IF(OR(INDIRECT(AAW$2)="",AND(Geschlecht[[#This Row],[Geschlecht (Skala)]]=Stammdaten!$D$7,INDIRECT(AAW$2)&lt;0)),"",IFERROR(INDEX(INDIRECT(AAX57),MATCH(INDIRECT(AAW$3),INDIRECT(AAX57),AAX$25)),IFERROR(IF(AAX$25=-1,MAX(INDIRECT(AAX57)),IF(AAX$25=1,MIN(INDIRECT(AAX57)))),""))))</f>
        <v/>
      </c>
      <c r="AAZ57" s="97" t="str" cm="1">
        <f t="array" aca="1" ref="AAZ57" ca="1">IF(INDIRECT(AAW$1)="","",IF(INDIRECT(AAW$1)=0,0,IF(OR(INDIRECT(AAW$1)=$A$2,INDIRECT(AAW$1)=$A$3),$A$3,IFERROR(INDEX(INDIRECT(AAY57),MATCH(INDIRECT(AAW$3),INDIRECT(AAY57),AAY$27)),IFERROR(IF(AAY$27=-1,MAX(INDIRECT(AAY57)),IF(AAY$27=1,MIN(INDIRECT(AAY57)))),"")))))</f>
        <v/>
      </c>
      <c r="ABA57" s="96" t="str">
        <f ca="1">REPLACE(AAW$6,AAX$6,1,Geschlecht[[#This Row],[Geschlecht (Skala)]])</f>
        <v>Beweglichkeit_[Note]</v>
      </c>
      <c r="ABB57" s="91" t="str" cm="1">
        <f t="array" aca="1" ref="ABB57" ca="1">IFERROR(INDEX(INDIRECT(ABA57),MATCH(INDIRECT(AAW$5),INDIRECT(AAX57),0)),"")</f>
        <v/>
      </c>
      <c r="ABC57" s="97" t="str" cm="1">
        <f t="array" aca="1" ref="ABC57" ca="1">IFERROR(INDEX(INDIRECT(ABB57),MATCH(INDIRECT(AAW$5),INDIRECT(AAY57),0)),"")</f>
        <v/>
      </c>
      <c r="ABD57" s="307"/>
      <c r="ABE57" s="96" t="str">
        <f>IFERROR(IFERROR(SUBSTITUTE(RumpfkraftResultat[[#This Row],[Eingabe]],".",",")*1,SUBSTITUTE(RumpfkraftResultat[[#This Row],[Eingabe]],",",".")*1),"")</f>
        <v/>
      </c>
      <c r="ABF57" s="96" t="e">
        <f>INT(RumpfkraftResultat[[#This Row],[Resultat]])=RumpfkraftResultat[[#This Row],[Resultat]]</f>
        <v>#VALUE!</v>
      </c>
      <c r="ABG57" s="96" t="str">
        <f>IFERROR(IF(AND(RumpfkraftResultat[[#This Row],[GZRes]],RumpfkraftResultat[[#This Row],[Resultat]]&gt;=0),1),IF(OR(RumpfkraftResultat[[#This Row],[Eingabe]]=$A$2,RumpfkraftResultat[[#This Row],[Eingabe]]=$A$3),1,""))</f>
        <v/>
      </c>
      <c r="ABH57" s="96"/>
      <c r="ABI57" s="91" t="str" cm="1">
        <f t="array" aca="1" ref="ABI57" ca="1">IF(INDIRECT(ABI$2)="","",IFERROR(IF(AND(ABG$25=0.5,AND(INDIRECT(ABI$2)&gt;0,INDIRECT(ABI$2)&lt;=0.5)),0.5,IF(AND(ABG$25&lt;&gt;0.5,AND(INDIRECT(ABI$2)&gt;0,INDIRECT(ABI$2)&lt;=1)),1,IF(ABI$25,VALUE(_xlfn.VALUETOTEXT(CEILING(INDIRECT(ABI$2),ABG$25))),VALUE(_xlfn.VALUETOTEXT(MROUND(INDIRECT(ABI$2),ABG$25)))))),""))</f>
        <v/>
      </c>
      <c r="ABJ57" s="96" t="str">
        <f ca="1">REPLACE(ABI$4,ABJ$6,1,Geschlecht[[#This Row],[Geschlecht (Skala)]])</f>
        <v>Rumpfkraft_[Resultat]</v>
      </c>
      <c r="ABK57" s="97" t="str" cm="1">
        <f t="array" aca="1" ref="ABK57" ca="1">IF(INDIRECT(ABI$1)="","",IF(OR(INDIRECT(ABI$1)=$A$2,INDIRECT(ABI$1)=$A$3),$A$3,IFERROR(INDEX(INDIRECT(ABJ57),MATCH(INDIRECT(ABI$3),INDIRECT(ABJ57),ABJ$25)),IFERROR(IF(ABJ$25=-1,MAX(INDIRECT(ABJ57)),IF(ABJ$25=1,MIN(INDIRECT(ABJ57)))),""))))</f>
        <v/>
      </c>
      <c r="ABM57" s="91" t="str">
        <f ca="1">REPLACE(ABI$6,ABJ$6,1,Geschlecht[[#This Row],[Geschlecht (Skala)]])</f>
        <v>Rumpfkraft_[Note]</v>
      </c>
      <c r="ABN57" s="97" t="str" cm="1">
        <f t="array" aca="1" ref="ABN57" ca="1">IFERROR(INDEX(INDIRECT(ABM57),MATCH(INDIRECT(ABI$5),INDIRECT(ABJ57),0)),"")</f>
        <v/>
      </c>
      <c r="ABO57" s="97"/>
      <c r="ABP57" s="96" t="str">
        <f>SechzigmLaufResultat[[#This Row],[Resultat]]</f>
        <v/>
      </c>
      <c r="ABQ57" s="96"/>
      <c r="ABR57" s="97" t="str">
        <f ca="1">SechzigmLaufSkalawert[[#This Row],[Skala-Wert]]</f>
        <v/>
      </c>
      <c r="ABT57" s="97" t="str">
        <f ca="1">SechzigmLaufNote[[#This Row],[Note]]</f>
        <v/>
      </c>
      <c r="ABU57" s="97"/>
      <c r="ABV57" s="96" t="str">
        <f>AchtzigmLaufResultat[[#This Row],[Resultat]]</f>
        <v/>
      </c>
      <c r="ABW57" s="96"/>
      <c r="ABX57" s="97" t="str">
        <f ca="1">AchtzigmLaufSkalawert[[#This Row],[Skala-Wert]]</f>
        <v/>
      </c>
      <c r="ABZ57" s="97" t="str">
        <f ca="1">AchtzigmLaufNote[[#This Row],[Note]]</f>
        <v/>
      </c>
      <c r="ACA57" s="97"/>
      <c r="ACB57" s="307"/>
      <c r="ACC57" s="96" t="str">
        <f>IFERROR(IFERROR(SUBSTITUTE(KonditionsparcoursResultat[[#This Row],[Eingabe]],".",",")*1,SUBSTITUTE(KonditionsparcoursResultat[[#This Row],[Eingabe]],",",".")*1),"")</f>
        <v/>
      </c>
      <c r="ACD57" s="96" t="e">
        <f>INT(KonditionsparcoursResultat[[#This Row],[Resultat]])=KonditionsparcoursResultat[[#This Row],[Resultat]]</f>
        <v>#VALUE!</v>
      </c>
      <c r="ACE57" s="96" t="str">
        <f>IFERROR(IF(AND(KonditionsparcoursResultat[[#This Row],[GZRes]],KonditionsparcoursResultat[[#This Row],[Resultat]]&gt;=0),1),IF(OR(KonditionsparcoursResultat[[#This Row],[Eingabe]]=$A$2,KonditionsparcoursResultat[[#This Row],[Eingabe]]=$A$3),1,""))</f>
        <v/>
      </c>
      <c r="ACF57" s="96"/>
      <c r="ACG57" s="91" t="str" cm="1">
        <f t="array" aca="1" ref="ACG57" ca="1">IF(INDIRECT(ACG$2)="","",IFERROR(IF(AND(ACG$25=0.5,AND(INDIRECT(ACG$2)&gt;0,INDIRECT(ACG$2)&lt;=0.5)),0.5,IF(AND(ACG$25&lt;&gt;0.5,AND(INDIRECT(ACG$2)&gt;0,INDIRECT(ACG$2)&lt;=1)),1,IF(ACH$25,VALUE(_xlfn.VALUETOTEXT(CEILING(INDIRECT(ACG$2),ACG$25))),VALUE(_xlfn.VALUETOTEXT(MROUND(INDIRECT(ACG$2),ACG$25)))))),""))</f>
        <v/>
      </c>
      <c r="ACH57" s="96" t="str">
        <f ca="1">LEFT(Geschlecht[[#This Row],[Geschlecht (Skala)]],1)&amp;ACM$4</f>
        <v>2</v>
      </c>
      <c r="ACI57" s="96" t="str">
        <f t="shared" ca="1" si="133"/>
        <v>Konditionsparcours_2[Resultat]</v>
      </c>
      <c r="ACJ57" s="97" t="str" cm="1">
        <f t="array" aca="1" ref="ACJ57" ca="1">IF(INDIRECT(ACG$1)="","",IF(OR(INDIRECT(ACG$1)=$A$2,INDIRECT(ACG$1)=$A$3),$A$3,IFERROR(INDEX(INDIRECT(ACI57),MATCH(INDIRECT(ACG$3),INDIRECT(ACI57),ACI$25)),IFERROR(IF(ACI$25=-1,MAX(INDIRECT(ACI57)),IF(ACI$25=1,MIN(INDIRECT(ACI57)))),""))))</f>
        <v/>
      </c>
      <c r="ACL57" s="91" t="str">
        <f t="shared" ca="1" si="134"/>
        <v>Konditionsparcours_2[Note]</v>
      </c>
      <c r="ACM57" s="97" t="str" cm="1">
        <f t="array" aca="1" ref="ACM57" ca="1">IFERROR(INDEX(INDIRECT(ACL57),MATCH(INDIRECT(ACG$5),INDIRECT(ACI57),0)),"")</f>
        <v/>
      </c>
      <c r="ACN57" s="102"/>
    </row>
    <row r="58" spans="1:768" ht="30" customHeight="1">
      <c r="A58" s="102"/>
      <c r="B58" s="318" t="s">
        <v>460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319"/>
      <c r="T58" s="319"/>
      <c r="U58" s="319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/>
      <c r="CW58" s="102"/>
      <c r="CX58" s="102"/>
      <c r="CY58" s="102"/>
      <c r="CZ58" s="102"/>
      <c r="DA58" s="102"/>
      <c r="DB58" s="102"/>
      <c r="DC58" s="102"/>
      <c r="DD58" s="102"/>
      <c r="DE58" s="102"/>
      <c r="DF58" s="102"/>
      <c r="DG58" s="102"/>
      <c r="DH58" s="102"/>
      <c r="DI58" s="102"/>
      <c r="DJ58" s="102"/>
      <c r="DK58" s="102"/>
      <c r="DL58" s="102"/>
      <c r="DM58" s="102"/>
      <c r="DN58" s="102"/>
      <c r="DO58" s="102"/>
      <c r="DP58" s="102"/>
      <c r="DQ58" s="320"/>
      <c r="DR58" s="320"/>
      <c r="DS58" s="320"/>
      <c r="DT58" s="102"/>
      <c r="DU58" s="102"/>
      <c r="DV58" s="102"/>
      <c r="DW58" s="102"/>
      <c r="DX58" s="102"/>
      <c r="DY58" s="102"/>
      <c r="DZ58" s="102"/>
      <c r="EA58" s="102"/>
      <c r="EB58" s="102"/>
      <c r="EC58" s="102"/>
      <c r="ED58" s="102"/>
      <c r="EE58" s="102"/>
      <c r="EF58" s="102"/>
      <c r="EG58" s="102"/>
      <c r="EH58" s="102"/>
      <c r="EI58" s="102"/>
      <c r="EJ58" s="102"/>
      <c r="EK58" s="102"/>
      <c r="EL58" s="320"/>
      <c r="EM58" s="320"/>
      <c r="EN58" s="320"/>
      <c r="EO58" s="102"/>
      <c r="EP58" s="102"/>
      <c r="EQ58" s="102"/>
      <c r="ER58" s="102"/>
      <c r="ES58" s="102"/>
      <c r="ET58" s="102"/>
      <c r="EU58" s="102"/>
      <c r="EV58" s="102"/>
      <c r="EW58" s="102"/>
      <c r="EX58" s="102"/>
      <c r="EY58" s="102"/>
      <c r="EZ58" s="102"/>
      <c r="FA58" s="102"/>
      <c r="FB58" s="102"/>
      <c r="FC58" s="102"/>
      <c r="FD58" s="102"/>
      <c r="FE58" s="102"/>
      <c r="FF58" s="102"/>
      <c r="FG58" s="320"/>
      <c r="FH58" s="320"/>
      <c r="FI58" s="320"/>
      <c r="FJ58" s="102"/>
      <c r="FK58" s="102"/>
      <c r="FL58" s="102"/>
      <c r="FM58" s="102"/>
      <c r="FN58" s="102"/>
      <c r="FO58" s="102"/>
      <c r="FP58" s="102"/>
      <c r="FQ58" s="102"/>
      <c r="FR58" s="102"/>
      <c r="FS58" s="102"/>
      <c r="FT58" s="102"/>
      <c r="FU58" s="102"/>
      <c r="FV58" s="102"/>
      <c r="FW58" s="102"/>
      <c r="FX58" s="102"/>
      <c r="FY58" s="102"/>
      <c r="FZ58" s="102"/>
      <c r="GA58" s="102"/>
      <c r="GB58" s="102"/>
      <c r="GC58" s="102"/>
      <c r="GD58" s="320"/>
      <c r="GE58" s="320"/>
      <c r="GF58" s="320"/>
      <c r="GG58" s="102"/>
      <c r="GH58" s="102"/>
      <c r="GI58" s="102"/>
      <c r="GJ58" s="102"/>
      <c r="GK58" s="102"/>
      <c r="GL58" s="102"/>
      <c r="GM58" s="102"/>
      <c r="GN58" s="102"/>
      <c r="GO58" s="102"/>
      <c r="GP58" s="102"/>
      <c r="GQ58" s="102"/>
      <c r="GR58" s="102"/>
      <c r="GS58" s="102"/>
      <c r="GT58" s="102"/>
      <c r="GU58" s="102"/>
      <c r="GV58" s="102"/>
      <c r="GW58" s="102"/>
      <c r="GX58" s="320"/>
      <c r="GY58" s="320"/>
      <c r="GZ58" s="320"/>
      <c r="HA58" s="102"/>
      <c r="HB58" s="102"/>
      <c r="HC58" s="102"/>
      <c r="HD58" s="102"/>
      <c r="HE58" s="102"/>
      <c r="HF58" s="102"/>
      <c r="HG58" s="102"/>
      <c r="HH58" s="102"/>
      <c r="HI58" s="102"/>
      <c r="HJ58" s="102"/>
      <c r="HK58" s="102"/>
      <c r="HL58" s="102"/>
      <c r="HM58" s="102"/>
      <c r="HN58" s="320"/>
      <c r="HO58" s="102"/>
      <c r="HP58" s="102"/>
      <c r="HQ58" s="102"/>
      <c r="HR58" s="245"/>
      <c r="HS58" s="245"/>
      <c r="HT58" s="245"/>
      <c r="HU58" s="245"/>
      <c r="HV58" s="245"/>
      <c r="HW58" s="245"/>
      <c r="HX58" s="102"/>
      <c r="HY58" s="102"/>
      <c r="HZ58" s="102"/>
      <c r="IA58" s="245"/>
      <c r="IB58" s="245"/>
      <c r="IC58" s="245"/>
      <c r="ID58" s="245"/>
      <c r="IE58" s="245"/>
      <c r="IF58" s="245"/>
      <c r="IG58" s="102"/>
      <c r="IH58" s="102"/>
      <c r="II58" s="102"/>
      <c r="IJ58" s="245"/>
      <c r="IK58" s="245"/>
      <c r="IL58" s="245"/>
      <c r="IM58" s="245"/>
      <c r="IN58" s="245"/>
      <c r="IO58" s="245"/>
      <c r="IP58" s="102"/>
      <c r="IQ58" s="102"/>
      <c r="IR58" s="102"/>
      <c r="IS58" s="245"/>
      <c r="IT58" s="245"/>
      <c r="IU58" s="245"/>
      <c r="IV58" s="245"/>
      <c r="IW58" s="245"/>
      <c r="IX58" s="245"/>
      <c r="IY58" s="102"/>
      <c r="IZ58" s="321"/>
      <c r="JA58" s="321"/>
      <c r="JB58" s="321"/>
      <c r="JC58" s="321"/>
      <c r="JD58" s="245"/>
      <c r="JE58" s="245"/>
      <c r="JF58" s="245"/>
      <c r="JG58" s="245"/>
      <c r="JH58" s="102"/>
      <c r="JI58" s="102"/>
      <c r="JJ58" s="102"/>
      <c r="JK58" s="245"/>
      <c r="JL58" s="245"/>
      <c r="JM58" s="245"/>
      <c r="JN58" s="245"/>
      <c r="JO58" s="245"/>
      <c r="JP58" s="245"/>
      <c r="JQ58" s="102"/>
      <c r="JR58" s="102"/>
      <c r="JS58" s="102"/>
      <c r="JT58" s="102"/>
      <c r="JU58" s="102"/>
      <c r="JV58" s="102"/>
      <c r="JW58" s="102"/>
      <c r="JX58" s="102"/>
      <c r="JY58" s="102"/>
      <c r="JZ58" s="102"/>
      <c r="KA58" s="102"/>
      <c r="KB58" s="102"/>
      <c r="KC58" s="102"/>
      <c r="KD58" s="102"/>
      <c r="KE58" s="102"/>
      <c r="KF58" s="102"/>
      <c r="KG58" s="102"/>
      <c r="KH58" s="102"/>
      <c r="KI58" s="102"/>
      <c r="KJ58" s="102"/>
      <c r="KK58" s="102"/>
      <c r="KL58" s="102"/>
      <c r="KM58" s="102"/>
      <c r="KN58" s="102"/>
      <c r="KO58" s="102"/>
      <c r="KP58" s="102"/>
      <c r="KQ58" s="102"/>
      <c r="KR58" s="102"/>
      <c r="KS58" s="102"/>
      <c r="KT58" s="102"/>
      <c r="KU58" s="102"/>
      <c r="KV58" s="102"/>
      <c r="KW58" s="102"/>
      <c r="KX58" s="102"/>
      <c r="KY58" s="102"/>
      <c r="KZ58" s="102"/>
      <c r="LA58" s="102"/>
      <c r="LB58" s="102"/>
      <c r="LC58" s="102"/>
      <c r="LD58" s="102"/>
      <c r="LE58" s="102"/>
      <c r="LF58" s="102"/>
      <c r="LG58" s="102"/>
      <c r="LH58" s="102"/>
      <c r="LI58" s="102"/>
      <c r="LJ58" s="102"/>
      <c r="LK58" s="102"/>
      <c r="LL58" s="102"/>
      <c r="LM58" s="102"/>
      <c r="LN58" s="102"/>
      <c r="LO58" s="102"/>
      <c r="LP58" s="102"/>
      <c r="LQ58" s="102"/>
      <c r="LR58" s="102"/>
      <c r="LS58" s="102"/>
      <c r="LT58" s="102"/>
      <c r="LU58" s="102"/>
      <c r="LV58" s="102"/>
      <c r="LW58" s="102"/>
      <c r="LX58" s="102"/>
      <c r="LY58" s="102"/>
      <c r="LZ58" s="102"/>
      <c r="MA58" s="102"/>
      <c r="MB58" s="102"/>
      <c r="MC58" s="102"/>
      <c r="MD58" s="102"/>
      <c r="ME58" s="102"/>
      <c r="MF58" s="102"/>
      <c r="MG58" s="102"/>
      <c r="MH58" s="102"/>
      <c r="MI58" s="102"/>
      <c r="MJ58" s="102"/>
      <c r="MK58" s="102"/>
      <c r="ML58" s="102"/>
      <c r="MM58" s="102"/>
      <c r="MN58" s="102"/>
      <c r="MO58" s="102"/>
      <c r="MP58" s="102"/>
      <c r="MQ58" s="102"/>
      <c r="MR58" s="102"/>
      <c r="MS58" s="320"/>
      <c r="MT58" s="320"/>
      <c r="MU58" s="320"/>
      <c r="MV58" s="320"/>
      <c r="MW58" s="102"/>
      <c r="MX58" s="102"/>
      <c r="MY58" s="102"/>
      <c r="MZ58" s="102"/>
      <c r="NA58" s="102"/>
      <c r="NB58" s="102"/>
      <c r="NC58" s="102"/>
      <c r="ND58" s="102"/>
      <c r="NE58" s="102"/>
      <c r="NF58" s="102"/>
      <c r="NG58" s="102"/>
      <c r="NH58" s="102"/>
      <c r="NI58" s="245"/>
      <c r="NJ58" s="245"/>
      <c r="NK58" s="102"/>
      <c r="NL58" s="102"/>
      <c r="NM58" s="102"/>
      <c r="NN58" s="102"/>
      <c r="NO58" s="102"/>
      <c r="NP58" s="102"/>
      <c r="NQ58" s="102"/>
      <c r="NR58" s="102"/>
      <c r="NS58" s="102"/>
      <c r="NT58" s="102"/>
      <c r="NU58" s="102"/>
      <c r="NV58" s="102"/>
      <c r="NW58" s="102"/>
      <c r="NX58" s="102"/>
      <c r="NY58" s="102"/>
      <c r="NZ58" s="102"/>
      <c r="OA58" s="102"/>
      <c r="OB58" s="102"/>
      <c r="OC58" s="102"/>
      <c r="OD58" s="102"/>
      <c r="OE58" s="102"/>
      <c r="OF58" s="102"/>
      <c r="OG58" s="102"/>
      <c r="OH58" s="102"/>
      <c r="OI58" s="102"/>
      <c r="OJ58" s="102"/>
      <c r="OK58" s="102"/>
      <c r="OL58" s="102"/>
      <c r="OM58" s="320"/>
      <c r="ON58" s="320"/>
      <c r="OO58" s="320"/>
      <c r="OP58" s="102"/>
      <c r="OQ58" s="102"/>
      <c r="OR58" s="102"/>
      <c r="OS58" s="102"/>
      <c r="OT58" s="102"/>
      <c r="OU58" s="102"/>
      <c r="OV58" s="102"/>
      <c r="OW58" s="102"/>
      <c r="OX58" s="102"/>
      <c r="OY58" s="102"/>
      <c r="OZ58" s="102"/>
      <c r="PA58" s="320"/>
      <c r="PB58" s="102"/>
      <c r="PC58" s="102"/>
      <c r="PD58" s="102"/>
      <c r="PE58" s="245"/>
      <c r="PF58" s="102"/>
      <c r="PG58" s="102"/>
      <c r="PH58" s="102"/>
      <c r="PI58" s="102"/>
      <c r="PJ58" s="102"/>
      <c r="PK58" s="102"/>
      <c r="PL58" s="102"/>
      <c r="PM58" s="102"/>
      <c r="PN58" s="102"/>
      <c r="PO58" s="102"/>
      <c r="PP58" s="102"/>
      <c r="PQ58" s="245"/>
      <c r="PR58" s="245"/>
      <c r="PS58" s="102"/>
      <c r="PT58" s="102"/>
      <c r="PU58" s="102"/>
      <c r="PV58" s="102"/>
      <c r="PW58" s="102"/>
      <c r="PX58" s="102"/>
      <c r="PY58" s="102"/>
      <c r="PZ58" s="102"/>
      <c r="QA58" s="102"/>
      <c r="QB58" s="102"/>
      <c r="QC58" s="102"/>
      <c r="QD58" s="245"/>
      <c r="QE58" s="102"/>
      <c r="QF58" s="102"/>
      <c r="QG58" s="102"/>
      <c r="QH58" s="102"/>
      <c r="QI58" s="102"/>
      <c r="QJ58" s="102"/>
      <c r="QK58" s="102"/>
      <c r="QL58" s="102"/>
      <c r="QM58" s="102"/>
      <c r="QN58" s="102"/>
      <c r="QO58" s="102"/>
      <c r="QP58" s="102"/>
      <c r="QQ58" s="102"/>
      <c r="QR58" s="102"/>
      <c r="QS58" s="102"/>
      <c r="QT58" s="102"/>
      <c r="QU58" s="320"/>
      <c r="QV58" s="320"/>
      <c r="QW58" s="320"/>
      <c r="QX58" s="102"/>
      <c r="QY58" s="102"/>
      <c r="QZ58" s="102"/>
      <c r="RA58" s="102"/>
      <c r="RB58" s="102"/>
      <c r="RC58" s="102"/>
      <c r="RD58" s="102"/>
      <c r="RE58" s="102"/>
      <c r="RF58" s="102"/>
      <c r="RG58" s="102"/>
      <c r="RH58" s="102"/>
      <c r="RI58" s="102"/>
      <c r="RJ58" s="102"/>
      <c r="RK58" s="102"/>
      <c r="RL58" s="102"/>
      <c r="RM58" s="102"/>
      <c r="RN58" s="102"/>
      <c r="RO58" s="102"/>
      <c r="RP58" s="102"/>
      <c r="RQ58" s="102"/>
      <c r="RR58" s="102"/>
      <c r="RS58" s="102"/>
      <c r="RT58" s="102"/>
      <c r="RU58" s="102"/>
      <c r="RV58" s="102"/>
      <c r="RW58" s="102"/>
      <c r="RX58" s="102"/>
      <c r="RY58" s="102"/>
      <c r="RZ58" s="102"/>
      <c r="SA58" s="102"/>
      <c r="SB58" s="102"/>
      <c r="SC58" s="102"/>
      <c r="SD58" s="102"/>
      <c r="SE58" s="102"/>
      <c r="SF58" s="102"/>
      <c r="SG58" s="102"/>
      <c r="SH58" s="102"/>
      <c r="SI58" s="102"/>
      <c r="SJ58" s="102"/>
      <c r="SK58" s="102"/>
      <c r="SL58" s="102"/>
      <c r="SM58" s="102"/>
      <c r="SN58" s="102"/>
      <c r="SO58" s="102"/>
      <c r="SP58" s="102"/>
      <c r="SQ58" s="102"/>
      <c r="SR58" s="102"/>
      <c r="SS58" s="102"/>
      <c r="ST58" s="102"/>
      <c r="SU58" s="102"/>
      <c r="SV58" s="102"/>
      <c r="SW58" s="102"/>
      <c r="SX58" s="102"/>
      <c r="SY58" s="102"/>
      <c r="SZ58" s="102"/>
      <c r="TA58" s="102"/>
      <c r="TB58" s="102"/>
      <c r="TC58" s="102"/>
      <c r="TD58" s="102"/>
      <c r="TE58" s="102"/>
      <c r="TF58" s="102"/>
      <c r="TG58" s="102"/>
      <c r="TH58" s="102"/>
      <c r="TI58" s="102"/>
      <c r="TJ58" s="102"/>
      <c r="TK58" s="102"/>
      <c r="TL58" s="245"/>
      <c r="TM58" s="245"/>
      <c r="TN58" s="102"/>
      <c r="TO58" s="102"/>
      <c r="TP58" s="102"/>
      <c r="TQ58" s="102"/>
      <c r="TR58" s="102"/>
      <c r="TS58" s="102"/>
      <c r="TT58" s="102"/>
      <c r="TU58" s="102"/>
      <c r="TV58" s="102"/>
      <c r="TW58" s="102"/>
      <c r="TX58" s="102"/>
      <c r="TY58" s="102"/>
      <c r="TZ58" s="102"/>
      <c r="UA58" s="102"/>
      <c r="UB58" s="102"/>
      <c r="UC58" s="102"/>
      <c r="UD58" s="102"/>
      <c r="UE58" s="102"/>
      <c r="UF58" s="102"/>
      <c r="UG58" s="102"/>
      <c r="UH58" s="102"/>
      <c r="UI58" s="102"/>
      <c r="UJ58" s="102"/>
      <c r="UK58" s="102"/>
      <c r="UL58" s="102"/>
      <c r="UM58" s="102"/>
      <c r="UN58" s="102"/>
      <c r="UO58" s="102"/>
      <c r="UP58" s="102"/>
      <c r="UQ58" s="102"/>
      <c r="UR58" s="102"/>
      <c r="US58" s="102"/>
      <c r="UT58" s="102"/>
      <c r="UU58" s="102"/>
      <c r="UV58" s="102"/>
      <c r="UW58" s="102"/>
      <c r="UX58" s="102"/>
      <c r="UY58" s="102"/>
      <c r="UZ58" s="102"/>
      <c r="VA58" s="102"/>
      <c r="VB58" s="102"/>
      <c r="VC58" s="102"/>
      <c r="VD58" s="102"/>
      <c r="VE58" s="102"/>
      <c r="VF58" s="102"/>
      <c r="VG58" s="102"/>
      <c r="VH58" s="102"/>
      <c r="VI58" s="102"/>
      <c r="VJ58" s="102"/>
      <c r="VK58" s="102"/>
      <c r="VL58" s="102"/>
      <c r="VM58" s="102"/>
      <c r="VN58" s="102"/>
      <c r="VO58" s="102"/>
      <c r="VP58" s="102"/>
      <c r="VQ58" s="102"/>
      <c r="VR58" s="102"/>
      <c r="VS58" s="102"/>
      <c r="VT58" s="102"/>
      <c r="VU58" s="102"/>
      <c r="VV58" s="102"/>
      <c r="VW58" s="102"/>
      <c r="VX58" s="102"/>
      <c r="VY58" s="102"/>
      <c r="VZ58" s="102"/>
      <c r="WA58" s="102"/>
      <c r="WB58" s="102"/>
      <c r="WC58" s="102"/>
      <c r="WD58" s="102"/>
      <c r="WE58" s="102"/>
      <c r="WF58" s="102"/>
      <c r="WG58" s="102"/>
      <c r="WH58" s="102"/>
      <c r="WI58" s="102"/>
      <c r="WJ58" s="102"/>
      <c r="WK58" s="102"/>
      <c r="WL58" s="102"/>
      <c r="WM58" s="102"/>
      <c r="WN58" s="102"/>
      <c r="WO58" s="102"/>
      <c r="WP58" s="102"/>
      <c r="WQ58" s="102"/>
      <c r="WR58" s="102"/>
      <c r="WS58" s="102"/>
      <c r="WT58" s="102"/>
      <c r="WU58" s="102"/>
      <c r="WV58" s="102"/>
      <c r="WW58" s="102"/>
      <c r="WX58" s="102"/>
      <c r="WY58" s="102"/>
      <c r="WZ58" s="102"/>
      <c r="XA58" s="102"/>
      <c r="XB58" s="102"/>
      <c r="XC58" s="102"/>
      <c r="XD58" s="102"/>
      <c r="XE58" s="102"/>
      <c r="XF58" s="102"/>
      <c r="XG58" s="102"/>
      <c r="XH58" s="320"/>
      <c r="XI58" s="320"/>
      <c r="XJ58" s="320"/>
      <c r="XK58" s="322"/>
      <c r="XL58" s="102"/>
      <c r="XM58" s="322"/>
      <c r="XN58" s="322"/>
      <c r="XO58" s="322"/>
      <c r="XP58" s="102"/>
      <c r="XQ58" s="102"/>
      <c r="XR58" s="102"/>
      <c r="XS58" s="102"/>
      <c r="XT58" s="102"/>
      <c r="XU58" s="102"/>
      <c r="XV58" s="102"/>
      <c r="XW58" s="320"/>
      <c r="XX58" s="102"/>
      <c r="XY58" s="102"/>
      <c r="XZ58" s="102"/>
      <c r="YA58" s="102"/>
      <c r="YB58" s="102"/>
      <c r="YC58" s="102"/>
      <c r="YD58" s="320"/>
      <c r="YE58" s="320"/>
      <c r="YF58" s="320"/>
      <c r="YG58" s="102"/>
      <c r="YH58" s="102"/>
      <c r="YI58" s="102"/>
      <c r="YJ58" s="102"/>
      <c r="YK58" s="102"/>
      <c r="YL58" s="102"/>
      <c r="YM58" s="102"/>
      <c r="YN58" s="102"/>
      <c r="YO58" s="102"/>
      <c r="YP58" s="102"/>
      <c r="YQ58" s="102"/>
      <c r="YR58" s="102"/>
      <c r="YS58" s="102"/>
      <c r="YT58" s="102"/>
      <c r="YU58" s="102"/>
      <c r="YV58" s="102"/>
      <c r="YW58" s="102"/>
      <c r="YX58" s="102"/>
      <c r="YY58" s="102"/>
      <c r="YZ58" s="102"/>
      <c r="ZA58" s="102"/>
      <c r="ZB58" s="102"/>
      <c r="ZC58" s="102"/>
      <c r="ZD58" s="102"/>
      <c r="ZE58" s="102"/>
      <c r="ZF58" s="320"/>
      <c r="ZG58" s="102"/>
      <c r="ZH58" s="102"/>
      <c r="ZI58" s="102"/>
      <c r="ZJ58" s="102"/>
      <c r="ZK58" s="102"/>
      <c r="ZL58" s="102"/>
      <c r="ZM58" s="102"/>
      <c r="ZN58" s="102"/>
      <c r="ZO58" s="102"/>
      <c r="ZP58" s="102"/>
      <c r="ZQ58" s="102"/>
      <c r="ZR58" s="102"/>
      <c r="ZS58" s="102"/>
      <c r="ZT58" s="102"/>
      <c r="ZU58" s="102"/>
      <c r="ZV58" s="102"/>
      <c r="ZW58" s="102"/>
      <c r="ZX58" s="102"/>
      <c r="ZY58" s="102"/>
      <c r="ZZ58" s="102"/>
      <c r="AAA58" s="102"/>
      <c r="AAB58" s="102"/>
      <c r="AAC58" s="102"/>
      <c r="AAD58" s="102"/>
      <c r="AAE58" s="102"/>
      <c r="AAF58" s="102"/>
      <c r="AAG58" s="102"/>
      <c r="AAH58" s="102"/>
      <c r="AAI58" s="102"/>
      <c r="AAJ58" s="102"/>
      <c r="AAK58" s="102"/>
      <c r="AAL58" s="102"/>
      <c r="AAM58" s="102"/>
      <c r="AAN58" s="102"/>
      <c r="AAO58" s="102"/>
      <c r="AAP58" s="102"/>
      <c r="AAQ58" s="102"/>
      <c r="AAR58" s="102"/>
      <c r="AAS58" s="102"/>
      <c r="AAT58" s="245"/>
      <c r="AAU58" s="245"/>
      <c r="AAV58" s="102"/>
      <c r="AAW58" s="102"/>
      <c r="AAX58" s="102"/>
      <c r="AAY58" s="102"/>
      <c r="AAZ58" s="102"/>
      <c r="ABA58" s="102"/>
      <c r="ABB58" s="102"/>
      <c r="ABC58" s="102"/>
      <c r="ABD58" s="102"/>
      <c r="ABE58" s="102"/>
      <c r="ABF58" s="245"/>
      <c r="ABG58" s="245"/>
      <c r="ABH58" s="102"/>
      <c r="ABI58" s="102"/>
      <c r="ABJ58" s="102"/>
      <c r="ABK58" s="102"/>
      <c r="ABL58" s="102"/>
      <c r="ABM58" s="102"/>
      <c r="ABN58" s="102"/>
      <c r="ABO58" s="102"/>
      <c r="ABP58" s="102"/>
      <c r="ABQ58" s="102"/>
      <c r="ABR58" s="102"/>
      <c r="ABS58" s="102"/>
      <c r="ABT58" s="102"/>
      <c r="ABU58" s="102"/>
      <c r="ABV58" s="102"/>
      <c r="ABW58" s="102"/>
      <c r="ABX58" s="102"/>
      <c r="ABY58" s="102"/>
      <c r="ABZ58" s="102"/>
      <c r="ACA58" s="102"/>
      <c r="ACB58" s="102"/>
      <c r="ACC58" s="102"/>
      <c r="ACD58" s="245"/>
      <c r="ACE58" s="245"/>
      <c r="ACF58" s="102"/>
      <c r="ACG58" s="102"/>
      <c r="ACH58" s="102"/>
      <c r="ACI58" s="102"/>
      <c r="ACJ58" s="102"/>
      <c r="ACK58" s="102"/>
      <c r="ACL58" s="102"/>
      <c r="ACM58" s="102"/>
      <c r="ACN58" s="102"/>
    </row>
    <row r="60" spans="1:768" hidden="1">
      <c r="B60" s="91" t="s">
        <v>452</v>
      </c>
      <c r="C60" s="91" t="s">
        <v>458</v>
      </c>
    </row>
    <row r="61" spans="1:768" hidden="1">
      <c r="B61" s="91" t="s">
        <v>453</v>
      </c>
      <c r="C61" s="91" t="s">
        <v>459</v>
      </c>
    </row>
  </sheetData>
  <sheetProtection algorithmName="SHA-512" hashValue="RO9ppc59dDHl6Q5Li88mHuQu7/0Yw8tRR9n9OJ57vSQZ1T4Ov6e5ZfALoKramkpiS3CIclZFkCTlNjsYLLfrBQ==" saltValue="mJbzU3vH1VLzqhUlR+RnHg==" spinCount="100000" sheet="1" objects="1" scenarios="1" selectLockedCells="1" autoFilter="0"/>
  <protectedRanges>
    <protectedRange sqref="B28:C57" name="Bereich3"/>
    <protectedRange sqref="E17" name="Neu2"/>
    <protectedRange sqref="C17:C21" name="Neu1"/>
  </protectedRanges>
  <dataConsolidate/>
  <mergeCells count="248">
    <mergeCell ref="YM17:YP18"/>
    <mergeCell ref="YM19:YM20"/>
    <mergeCell ref="YN19:YN20"/>
    <mergeCell ref="YO19:YO20"/>
    <mergeCell ref="YP19:YP20"/>
    <mergeCell ref="OJ17:OK20"/>
    <mergeCell ref="OL17:OL20"/>
    <mergeCell ref="OP17:OP20"/>
    <mergeCell ref="WB19:WD20"/>
    <mergeCell ref="WN19:WP20"/>
    <mergeCell ref="VX19:VX20"/>
    <mergeCell ref="VZ19:VZ20"/>
    <mergeCell ref="VD20:VF20"/>
    <mergeCell ref="VG20:VI20"/>
    <mergeCell ref="VS19:VU19"/>
    <mergeCell ref="VP19:VR20"/>
    <mergeCell ref="VN19:VN20"/>
    <mergeCell ref="VW19:VW20"/>
    <mergeCell ref="RZ17:SJ19"/>
    <mergeCell ref="VV18:WG18"/>
    <mergeCell ref="VJ18:VU18"/>
    <mergeCell ref="UB18:UD19"/>
    <mergeCell ref="TW18:UA19"/>
    <mergeCell ref="VL19:VL20"/>
    <mergeCell ref="YC16:YT16"/>
    <mergeCell ref="YQ17:YT20"/>
    <mergeCell ref="HP17:NE17"/>
    <mergeCell ref="RN16:XW16"/>
    <mergeCell ref="XD18:XD20"/>
    <mergeCell ref="XE18:XE20"/>
    <mergeCell ref="XF18:XF20"/>
    <mergeCell ref="VD18:VI19"/>
    <mergeCell ref="UY18:VC19"/>
    <mergeCell ref="UT18:UX19"/>
    <mergeCell ref="UQ18:US19"/>
    <mergeCell ref="UE18:UP19"/>
    <mergeCell ref="XU17:XU20"/>
    <mergeCell ref="WE19:WG19"/>
    <mergeCell ref="WQ19:WS19"/>
    <mergeCell ref="VK19:VK20"/>
    <mergeCell ref="QX18:RI18"/>
    <mergeCell ref="OD19:OF20"/>
    <mergeCell ref="RD19:RF20"/>
    <mergeCell ref="XQ17:XT20"/>
    <mergeCell ref="QQ18:QS19"/>
    <mergeCell ref="QT18:QT20"/>
    <mergeCell ref="OY17:OY20"/>
    <mergeCell ref="OR17:OT20"/>
    <mergeCell ref="IZ21:JG21"/>
    <mergeCell ref="NX19:NX20"/>
    <mergeCell ref="NY19:NY20"/>
    <mergeCell ref="NZ19:NZ20"/>
    <mergeCell ref="OB19:OB20"/>
    <mergeCell ref="LI19:LI20"/>
    <mergeCell ref="LJ19:LJ20"/>
    <mergeCell ref="LL19:LL20"/>
    <mergeCell ref="LU19:LU20"/>
    <mergeCell ref="LV19:LV20"/>
    <mergeCell ref="LX19:LX20"/>
    <mergeCell ref="MG19:MG20"/>
    <mergeCell ref="MH19:MH20"/>
    <mergeCell ref="MJ19:MJ20"/>
    <mergeCell ref="LB20:LD20"/>
    <mergeCell ref="LE20:LG20"/>
    <mergeCell ref="NG17:NR19"/>
    <mergeCell ref="MW21:MW27"/>
    <mergeCell ref="MY18:NE20"/>
    <mergeCell ref="MF18:MQ18"/>
    <mergeCell ref="LQ19:LS19"/>
    <mergeCell ref="ML19:MN20"/>
    <mergeCell ref="MO19:MQ19"/>
    <mergeCell ref="ZD17:ZD20"/>
    <mergeCell ref="TW17:XF17"/>
    <mergeCell ref="WH18:WS18"/>
    <mergeCell ref="RL21:RL27"/>
    <mergeCell ref="SX21:TH21"/>
    <mergeCell ref="TJ21:TU21"/>
    <mergeCell ref="NG21:NR21"/>
    <mergeCell ref="PO21:PZ21"/>
    <mergeCell ref="PC21:PM21"/>
    <mergeCell ref="QB17:QL19"/>
    <mergeCell ref="OG19:OI19"/>
    <mergeCell ref="RG19:RI19"/>
    <mergeCell ref="QB21:QL21"/>
    <mergeCell ref="SL21:SV21"/>
    <mergeCell ref="RN21:RX21"/>
    <mergeCell ref="TJ17:TU19"/>
    <mergeCell ref="RN17:RX19"/>
    <mergeCell ref="QY19:QY20"/>
    <mergeCell ref="QZ19:QZ20"/>
    <mergeCell ref="RB19:RB20"/>
    <mergeCell ref="RZ21:SJ21"/>
    <mergeCell ref="NX18:OI18"/>
    <mergeCell ref="NX17:OI17"/>
    <mergeCell ref="QN17:RI17"/>
    <mergeCell ref="DX19:DX20"/>
    <mergeCell ref="DT19:DT20"/>
    <mergeCell ref="AE17:BA17"/>
    <mergeCell ref="ABX25:ABZ25"/>
    <mergeCell ref="AAH25:AAJ25"/>
    <mergeCell ref="AAN25:AAP25"/>
    <mergeCell ref="ABR25:ABT25"/>
    <mergeCell ref="XU21:XU27"/>
    <mergeCell ref="ZF21:ZF27"/>
    <mergeCell ref="WI19:WI20"/>
    <mergeCell ref="WJ19:WJ20"/>
    <mergeCell ref="WL19:WL20"/>
    <mergeCell ref="XK17:XK20"/>
    <mergeCell ref="XM17:XP20"/>
    <mergeCell ref="WT18:WX19"/>
    <mergeCell ref="WY18:XC19"/>
    <mergeCell ref="XY17:YB20"/>
    <mergeCell ref="YC17:YC20"/>
    <mergeCell ref="YG17:YG20"/>
    <mergeCell ref="YH17:YL20"/>
    <mergeCell ref="YV17:YV20"/>
    <mergeCell ref="YX17:YX20"/>
    <mergeCell ref="YZ17:YZ20"/>
    <mergeCell ref="ZB17:ZB20"/>
    <mergeCell ref="YV16:ZF16"/>
    <mergeCell ref="OY21:OY27"/>
    <mergeCell ref="AQ21:BA21"/>
    <mergeCell ref="G17:AC17"/>
    <mergeCell ref="AQ18:BA19"/>
    <mergeCell ref="HP16:PA16"/>
    <mergeCell ref="MW18:MW20"/>
    <mergeCell ref="CA17:DI17"/>
    <mergeCell ref="CA18:CK19"/>
    <mergeCell ref="SX17:TH19"/>
    <mergeCell ref="PC17:PM19"/>
    <mergeCell ref="PO17:PZ19"/>
    <mergeCell ref="EJ18:EJ20"/>
    <mergeCell ref="SL17:SV19"/>
    <mergeCell ref="FY18:GA19"/>
    <mergeCell ref="MC19:ME19"/>
    <mergeCell ref="BO18:BY19"/>
    <mergeCell ref="QX19:QX20"/>
    <mergeCell ref="DZ19:EB20"/>
    <mergeCell ref="EU19:EW20"/>
    <mergeCell ref="FP19:FR20"/>
    <mergeCell ref="FA18:FB19"/>
    <mergeCell ref="FC18:FD19"/>
    <mergeCell ref="FE18:FE20"/>
    <mergeCell ref="ZH15:ACM15"/>
    <mergeCell ref="ZM21:AAD21"/>
    <mergeCell ref="AAR21:ABB21"/>
    <mergeCell ref="AAR18:ABB19"/>
    <mergeCell ref="ABD18:ABN19"/>
    <mergeCell ref="ABD21:ABN21"/>
    <mergeCell ref="ABV19:ABZ19"/>
    <mergeCell ref="AAF19:AAJ19"/>
    <mergeCell ref="AAL19:AAP19"/>
    <mergeCell ref="AAF18:AAP18"/>
    <mergeCell ref="AAF17:ABZ17"/>
    <mergeCell ref="ZH16:ZK16"/>
    <mergeCell ref="AAF16:ACM16"/>
    <mergeCell ref="ACB17:ACM19"/>
    <mergeCell ref="ACB21:ACM21"/>
    <mergeCell ref="ABP19:ABT19"/>
    <mergeCell ref="ABP18:ABZ18"/>
    <mergeCell ref="ZM16:AAD16"/>
    <mergeCell ref="ZM17:AAD19"/>
    <mergeCell ref="ZH17:ZK20"/>
    <mergeCell ref="G18:Q19"/>
    <mergeCell ref="S18:AC19"/>
    <mergeCell ref="BC18:BM19"/>
    <mergeCell ref="CM18:CW19"/>
    <mergeCell ref="G21:Q21"/>
    <mergeCell ref="DO18:DO20"/>
    <mergeCell ref="HP18:HW19"/>
    <mergeCell ref="HY18:IF19"/>
    <mergeCell ref="JI21:JP21"/>
    <mergeCell ref="GB18:GB20"/>
    <mergeCell ref="GG19:GG20"/>
    <mergeCell ref="GH19:GH20"/>
    <mergeCell ref="GI19:GI20"/>
    <mergeCell ref="GK19:GK20"/>
    <mergeCell ref="FV18:FX19"/>
    <mergeCell ref="HP21:HW21"/>
    <mergeCell ref="HY21:IF21"/>
    <mergeCell ref="CM21:CW21"/>
    <mergeCell ref="CY18:DI19"/>
    <mergeCell ref="CY21:DI21"/>
    <mergeCell ref="EQ19:EQ20"/>
    <mergeCell ref="IH21:IO21"/>
    <mergeCell ref="DT18:EE18"/>
    <mergeCell ref="AE18:AO19"/>
    <mergeCell ref="BC17:BY17"/>
    <mergeCell ref="AE21:AO21"/>
    <mergeCell ref="S21:AC21"/>
    <mergeCell ref="HL21:HL27"/>
    <mergeCell ref="BC21:BM21"/>
    <mergeCell ref="JI18:JP19"/>
    <mergeCell ref="HL17:HL20"/>
    <mergeCell ref="IZ18:JG19"/>
    <mergeCell ref="GS17:GV20"/>
    <mergeCell ref="GW17:GW20"/>
    <mergeCell ref="BO21:BY21"/>
    <mergeCell ref="DM18:DN19"/>
    <mergeCell ref="DV19:DV20"/>
    <mergeCell ref="IQ21:IX21"/>
    <mergeCell ref="CA21:CK21"/>
    <mergeCell ref="IH18:IO19"/>
    <mergeCell ref="IQ18:IX19"/>
    <mergeCell ref="HA17:HA20"/>
    <mergeCell ref="DU19:DU20"/>
    <mergeCell ref="DK18:DL19"/>
    <mergeCell ref="FJ19:FJ20"/>
    <mergeCell ref="FK19:FK20"/>
    <mergeCell ref="FL19:FL20"/>
    <mergeCell ref="FN19:FN20"/>
    <mergeCell ref="GP19:GR19"/>
    <mergeCell ref="EF18:EG19"/>
    <mergeCell ref="EH18:EI19"/>
    <mergeCell ref="EO19:EO20"/>
    <mergeCell ref="FA17:FU17"/>
    <mergeCell ref="FJ18:FU18"/>
    <mergeCell ref="GG18:GR18"/>
    <mergeCell ref="LT18:ME18"/>
    <mergeCell ref="EX19:EZ19"/>
    <mergeCell ref="LN19:LP20"/>
    <mergeCell ref="LZ19:MB20"/>
    <mergeCell ref="HC17:HG20"/>
    <mergeCell ref="GM19:GO20"/>
    <mergeCell ref="OU17:OX20"/>
    <mergeCell ref="HH17:HK20"/>
    <mergeCell ref="PC16:RL16"/>
    <mergeCell ref="NT17:NW17"/>
    <mergeCell ref="NT18:NU19"/>
    <mergeCell ref="NV18:NW19"/>
    <mergeCell ref="FV17:GR17"/>
    <mergeCell ref="EP19:EP20"/>
    <mergeCell ref="FS19:FU19"/>
    <mergeCell ref="QN18:QP19"/>
    <mergeCell ref="G16:HN16"/>
    <mergeCell ref="JR18:JW19"/>
    <mergeCell ref="JX18:JZ19"/>
    <mergeCell ref="KA18:KL19"/>
    <mergeCell ref="KM18:KO19"/>
    <mergeCell ref="KP18:KU19"/>
    <mergeCell ref="KV18:LA19"/>
    <mergeCell ref="LB18:LG19"/>
    <mergeCell ref="LH18:LS18"/>
    <mergeCell ref="DK17:EE17"/>
    <mergeCell ref="EO18:EZ18"/>
    <mergeCell ref="EF17:EZ17"/>
    <mergeCell ref="ES19:ES20"/>
    <mergeCell ref="EC19:EE19"/>
  </mergeCells>
  <phoneticPr fontId="56" type="noConversion"/>
  <conditionalFormatting sqref="A13:ACM13">
    <cfRule type="containsText" dxfId="512" priority="241" operator="containsText" text="*">
      <formula>NOT(ISERROR(SEARCH("*",A13)))</formula>
    </cfRule>
  </conditionalFormatting>
  <conditionalFormatting sqref="A1:XFD1048576">
    <cfRule type="containsText" dxfId="511" priority="1" operator="containsText" text="[">
      <formula>NOT(ISERROR(SEARCH("[",A1)))</formula>
    </cfRule>
  </conditionalFormatting>
  <conditionalFormatting sqref="E28:E57">
    <cfRule type="expression" dxfId="507" priority="210">
      <formula>IF(LEFT($E28,1)="M",1)</formula>
    </cfRule>
  </conditionalFormatting>
  <conditionalFormatting sqref="G28:ACM57">
    <cfRule type="expression" dxfId="505" priority="218">
      <formula>IF(AND(OR(RIGHT(G$12,3)="Res",RIGHT(G$12,3)="Ein"),LEFT($E28,1)="M"),1)</formula>
    </cfRule>
    <cfRule type="expression" dxfId="503" priority="221">
      <formula>IF(AND(G$7="Ein",OR(G28=$A$2,G28=LOWER($A$2))),1)</formula>
    </cfRule>
    <cfRule type="expression" dxfId="502" priority="222">
      <formula>IF(G$11=0,1)</formula>
    </cfRule>
    <cfRule type="expression" dxfId="501" priority="223">
      <formula>IF(G$11=1,1)</formula>
    </cfRule>
    <cfRule type="expression" dxfId="500" priority="225">
      <formula>IF(AND(G$11="2+",MOD(G28,1)=0),1)</formula>
    </cfRule>
    <cfRule type="expression" dxfId="499" priority="226">
      <formula>IF(G$11=2,1)</formula>
    </cfRule>
    <cfRule type="expression" dxfId="498" priority="227">
      <formula>IF(AND(OR(G$7="Ein",G$7="Res",G$7="Min",G$7="Sek"),G28&lt;&gt;"",$E28=""),1)</formula>
    </cfRule>
    <cfRule type="expression" dxfId="497" priority="231">
      <formula>IF(AND(OR(G$12="1Res",G$12="1Ein"),ISEVEN(ROW(G28))),1)</formula>
    </cfRule>
  </conditionalFormatting>
  <conditionalFormatting sqref="HN28:HN57">
    <cfRule type="expression" dxfId="496" priority="1412">
      <formula>IF(HK28=4,1)</formula>
    </cfRule>
    <cfRule type="expression" dxfId="495" priority="278">
      <formula>IF(HK28=2,1)</formula>
    </cfRule>
    <cfRule type="expression" dxfId="494" priority="1411">
      <formula>IF(HK28=3,1)</formula>
    </cfRule>
  </conditionalFormatting>
  <conditionalFormatting sqref="MW28:MW57">
    <cfRule type="expression" dxfId="493" priority="251">
      <formula>IF(AND(ISNUMBER(MW28),AND(MU28&gt;0,MU28&lt;$MV$25)),1)</formula>
    </cfRule>
  </conditionalFormatting>
  <conditionalFormatting sqref="NE28:NE57">
    <cfRule type="cellIs" dxfId="492" priority="249" operator="lessThan">
      <formula>4</formula>
    </cfRule>
  </conditionalFormatting>
  <conditionalFormatting sqref="PA28:PA57">
    <cfRule type="expression" dxfId="491" priority="1414">
      <formula>IF(OX28=3,1)</formula>
    </cfRule>
    <cfRule type="expression" dxfId="490" priority="1413">
      <formula>IF(OX28=2,1)</formula>
    </cfRule>
    <cfRule type="expression" dxfId="489" priority="1415">
      <formula>IF(OX28=4,1)</formula>
    </cfRule>
  </conditionalFormatting>
  <conditionalFormatting sqref="RL28:RL57">
    <cfRule type="cellIs" dxfId="488" priority="250" operator="lessThan">
      <formula>4</formula>
    </cfRule>
  </conditionalFormatting>
  <conditionalFormatting sqref="XW28:XW57">
    <cfRule type="expression" dxfId="487" priority="1416">
      <formula>IF(XT28=2,1)</formula>
    </cfRule>
    <cfRule type="expression" dxfId="486" priority="1417">
      <formula>IF(XT28=3,1)</formula>
    </cfRule>
    <cfRule type="expression" dxfId="485" priority="1418">
      <formula>IF(XT28=4,1)</formula>
    </cfRule>
  </conditionalFormatting>
  <conditionalFormatting sqref="YV28:YV57">
    <cfRule type="expression" dxfId="484" priority="1567">
      <formula>IF(YM28=1,1)</formula>
    </cfRule>
    <cfRule type="expression" dxfId="483" priority="1568">
      <formula>IF(YM28="R",1)</formula>
    </cfRule>
    <cfRule type="expression" dxfId="482" priority="1569">
      <formula>IF(YM28=$A$2,1)</formula>
    </cfRule>
  </conditionalFormatting>
  <conditionalFormatting sqref="YX28:YX57">
    <cfRule type="expression" dxfId="481" priority="1572">
      <formula>IF(YN28=$A$2,1)</formula>
    </cfRule>
    <cfRule type="expression" dxfId="480" priority="1570">
      <formula>IF(YN28=1,1)</formula>
    </cfRule>
    <cfRule type="expression" dxfId="479" priority="1571">
      <formula>IF(YN28="R",1)</formula>
    </cfRule>
  </conditionalFormatting>
  <conditionalFormatting sqref="YZ28:YZ57">
    <cfRule type="expression" dxfId="478" priority="1573">
      <formula>IF(YO28=1,1)</formula>
    </cfRule>
    <cfRule type="expression" dxfId="477" priority="1574">
      <formula>IF(YO28="R",1)</formula>
    </cfRule>
    <cfRule type="expression" dxfId="476" priority="1575">
      <formula>IF(YO28=$A$2,1)</formula>
    </cfRule>
  </conditionalFormatting>
  <conditionalFormatting sqref="ZB28:ZB57">
    <cfRule type="expression" dxfId="475" priority="1578">
      <formula>IF(YP28=$A$2,1)</formula>
    </cfRule>
    <cfRule type="expression" dxfId="474" priority="1576">
      <formula>IF(YP28=1,1)</formula>
    </cfRule>
    <cfRule type="expression" dxfId="473" priority="1577">
      <formula>IF(YP28="R",1)</formula>
    </cfRule>
  </conditionalFormatting>
  <conditionalFormatting sqref="ZF28:ZF57">
    <cfRule type="expression" dxfId="472" priority="1419">
      <formula>IF(YT28=2,1)</formula>
    </cfRule>
    <cfRule type="expression" dxfId="471" priority="1551">
      <formula>IF(YT28=3,1)</formula>
    </cfRule>
    <cfRule type="expression" dxfId="470" priority="1566">
      <formula>IF(YT28=4,1)</formula>
    </cfRule>
  </conditionalFormatting>
  <conditionalFormatting sqref="ZH28:ZH57">
    <cfRule type="expression" dxfId="468" priority="240">
      <formula>IF(ZH28&lt;&gt;ZH$27,1)</formula>
    </cfRule>
  </conditionalFormatting>
  <dataValidations count="40">
    <dataValidation type="list" allowBlank="1" showInputMessage="1" showErrorMessage="1" sqref="ZK28:ZK57" xr:uid="{C5952AC8-1945-4BD2-8A29-EFC7C427AE09}">
      <formula1>INDIRECT(ZJ28)</formula1>
    </dataValidation>
    <dataValidation type="list" allowBlank="1" showInputMessage="1" showErrorMessage="1" sqref="AAF25" xr:uid="{7702FA88-EF59-4E66-B279-2341FD9C1A1A}">
      <formula1>INDIRECT($BA$25)</formula1>
    </dataValidation>
    <dataValidation type="list" allowBlank="1" showInputMessage="1" showErrorMessage="1" sqref="AAR25 ABD25 SL25 G25 S25 AE25 AQ25 BC25 BO25 CA25 TJ25 CY25 HP25 HY25 IQ25:IR25 IH25 NG25 PO25 JI25 PC25 CM25 QB25 RN25 RZ25 IZ25 ZK25 ZM25 SX25 ACB25" xr:uid="{8B0E9347-EF62-4897-AFFA-D755FD40AFB1}">
      <formula1>INDIRECT($A$1)</formula1>
    </dataValidation>
    <dataValidation type="list" allowBlank="1" showInputMessage="1" showErrorMessage="1" sqref="C18" xr:uid="{457F4E20-2F05-47D1-B4CE-A040DBEADB39}">
      <formula1>INDIRECT($C$1)</formula1>
    </dataValidation>
    <dataValidation type="custom" allowBlank="1" showInputMessage="1" showErrorMessage="1" error="Bitte eine Ganzzahl ≥0 und ≤59 eingeben_x000a__x000a_(«D» für «Dispensation» in Spalte «Min.»)" sqref="ZR29:ZR57" xr:uid="{C3EA8CC7-5259-4079-BAB2-89C5A28E7C21}">
      <formula1>INDIRECT($ZT$25)=1</formula1>
    </dataValidation>
    <dataValidation type="custom" allowBlank="1" showInputMessage="1" showErrorMessage="1" error="Bitte eine Ganzzahl ≥0 und ≤ Maximalwert eingeben_x000a_oder &quot;D&quot; für &quot;Dispensiert&quot;" sqref="PO28:PO57" xr:uid="{C0B5DE00-0F8B-4CDD-B6B7-7571B429AE80}">
      <formula1>INDIRECT($PQ$25)=1</formula1>
    </dataValidation>
    <dataValidation type="custom" allowBlank="1" showInputMessage="1" showErrorMessage="1" error="Bitte eine Zahl ≥0 und ≤ Maximalwert eingeben_x000a_oder &quot;D&quot; für &quot;Dispensiert&quot;" sqref="QB28:QB57" xr:uid="{0ED91B88-1AEE-4469-98C5-F3951258321B}">
      <formula1>INDIRECT($QD$25)=1</formula1>
    </dataValidation>
    <dataValidation type="list" allowBlank="1" showInputMessage="1" showErrorMessage="1" sqref="E28:E57" xr:uid="{DEC3209B-78B4-4FB2-9655-F33750F412D6}">
      <formula1>INDIRECT($E$1)</formula1>
    </dataValidation>
    <dataValidation type="custom" allowBlank="1" showInputMessage="1" showErrorMessage="1" errorTitle="Eingabebeschränkung" error="Bitte eine Zahl ≥0 eingeben_x000a_oder &quot;D&quot; für &quot;Dispensiert&quot;" sqref="S28:S57" xr:uid="{2CD051C3-DFDF-4ED7-8C05-5287FE9527CA}">
      <formula1>INDIRECT($U$25)=1</formula1>
    </dataValidation>
    <dataValidation type="custom" allowBlank="1" showInputMessage="1" showErrorMessage="1" errorTitle="Eingabebeschränkung" error="Bitte eine Zahl ≥0 eingeben_x000a_oder &quot;D&quot; für &quot;Dispensiert&quot;" sqref="AE28:AE57" xr:uid="{484CA13F-B822-44CC-8A1F-2A7C8EC1684E}">
      <formula1>INDIRECT($AG$25)=1</formula1>
    </dataValidation>
    <dataValidation type="custom" allowBlank="1" showInputMessage="1" showErrorMessage="1" errorTitle="Eingabebeschränkung" error="Bitte eine Ganzzahl ≥0 eingeben_x000a_oder &quot;D&quot; für &quot;Dispensiert&quot;" sqref="ACB28:ACB57" xr:uid="{40079048-DAD4-4145-8224-F6BED2617700}">
      <formula1>INDIRECT($ACD$25)=1</formula1>
    </dataValidation>
    <dataValidation type="custom" allowBlank="1" showInputMessage="1" showErrorMessage="1" errorTitle="Eingabebeschränkung" error="Bitte eine Zahl ≥0 eingeben_x000a_oder &quot;D&quot; für &quot;Dispensiert&quot;" sqref="AQ28:AQ57" xr:uid="{A7158345-1A74-48E1-8A39-4BD963BC8543}">
      <formula1>INDIRECT($AS$25)=1</formula1>
    </dataValidation>
    <dataValidation type="custom" allowBlank="1" showInputMessage="1" showErrorMessage="1" errorTitle="Eingabebeschränkung" error="Bitte eine Zahl ≥0 eingeben_x000a_oder &quot;D&quot; für &quot;Dispensiert&quot;" sqref="BC28:BC57" xr:uid="{E2A65835-C95C-4DD9-8CBC-D41F03225503}">
      <formula1>INDIRECT($BE$25)=1</formula1>
    </dataValidation>
    <dataValidation type="custom" allowBlank="1" showInputMessage="1" showErrorMessage="1" errorTitle="Eingabebeschränkung" error="Bitte eine Zahl ≥0 eingeben_x000a_oder &quot;D&quot; für &quot;Dispensiert&quot;" sqref="BO28:BO57" xr:uid="{0F632684-5BE8-49DD-ADC3-A9C6C0FC8A3C}">
      <formula1>INDIRECT($BQ$25)=1</formula1>
    </dataValidation>
    <dataValidation type="custom" allowBlank="1" showInputMessage="1" showErrorMessage="1" errorTitle="Eingabebeschränkung" error="Bitte eine Zahl ≥0 eingeben_x000a_oder &quot;D&quot; für &quot;Dispensiert&quot;" sqref="CA28:CA57" xr:uid="{9C683F3E-E2DE-408C-9345-CCC5E3CE78F7}">
      <formula1>INDIRECT($CC$25)=1</formula1>
    </dataValidation>
    <dataValidation type="custom" allowBlank="1" showInputMessage="1" showErrorMessage="1" errorTitle="Eingabebeschränkung" error="Bitte eine Zahl ≥0 eingeben_x000a_oder &quot;D&quot; für &quot;Dispensiert&quot;" sqref="CM28:CM57" xr:uid="{21ABB1F8-94A2-4E1B-9410-DE19A6AB333F}">
      <formula1>INDIRECT($CO$25)=1</formula1>
    </dataValidation>
    <dataValidation type="custom" allowBlank="1" showInputMessage="1" showErrorMessage="1" errorTitle="Eingabebeschränkung" error="Bitte eine Zahl ≥0 eingeben_x000a_oder &quot;D&quot; für &quot;Dispensiert&quot;" sqref="CY28:CY57" xr:uid="{B0A11CF6-CD2D-4B17-9CE0-8111B75D5E79}">
      <formula1>INDIRECT($DA$25)=1</formula1>
    </dataValidation>
    <dataValidation type="custom" allowBlank="1" showInputMessage="1" showErrorMessage="1" error="Bitte eine Ganzzahl ≥0 und ≤ Maximalwert eingeben_x000a_oder &quot;D&quot; für &quot;Dispensiert&quot;" sqref="HP28:HP57" xr:uid="{B054B5D1-588E-4C32-B0AD-1FBC19BB509C}">
      <formula1>INDIRECT($HR$25)=1</formula1>
    </dataValidation>
    <dataValidation type="custom" allowBlank="1" showInputMessage="1" showErrorMessage="1" error="Bitte eine Ganzzahl ≥0 und ≤ Maximalwert eingeben_x000a_oder &quot;D&quot; für &quot;Dispensiert&quot;" sqref="HY28:HY57" xr:uid="{C10F1398-1320-4670-AA8B-CF8473A88693}">
      <formula1>INDIRECT($IA$25)=1</formula1>
    </dataValidation>
    <dataValidation type="custom" allowBlank="1" showInputMessage="1" showErrorMessage="1" error="Bitte eine Ganzzahl ≥0 und ≤ Maximalwert eingeben_x000a_oder &quot;D&quot; für &quot;Dispensiert&quot;" sqref="IH28:IH57" xr:uid="{657ABA1C-6F0B-4FCE-BB66-13904A95109A}">
      <formula1>INDIRECT($IJ$25)=1</formula1>
    </dataValidation>
    <dataValidation type="custom" allowBlank="1" showInputMessage="1" showErrorMessage="1" error="Bitte eine Ganzzahl ≥0 und ≤ Maximalwert eingeben_x000a_oder &quot;D&quot; für &quot;Dispensiert&quot;" sqref="IQ28:IR57" xr:uid="{DC681D62-EF64-4055-80F0-827638744110}">
      <formula1>INDIRECT($IS$25)=1</formula1>
    </dataValidation>
    <dataValidation type="custom" allowBlank="1" showInputMessage="1" showErrorMessage="1" error="Bitte eine Ganzzahl ≥0 und ≤ Maximalwert eingeben_x000a_oder &quot;D&quot; für &quot;Dispensiert&quot;" sqref="IZ28:JA57" xr:uid="{27C7AEAA-95ED-44A9-89BA-DCA27F2387C5}">
      <formula1>INDIRECT($JB$25)=1</formula1>
    </dataValidation>
    <dataValidation type="custom" allowBlank="1" showInputMessage="1" showErrorMessage="1" error="Bitte eine Ganzzahl ≥0 und ≤ Maximalwert eingeben_x000a_oder &quot;D&quot; für &quot;Dispensiert&quot;" sqref="JI28:JJ57" xr:uid="{5E173F91-BCFC-490C-8FB3-11B36830AFD3}">
      <formula1>INDIRECT($JK$25)=1</formula1>
    </dataValidation>
    <dataValidation type="custom" allowBlank="1" showInputMessage="1" showErrorMessage="1" error="Bitte eine Ganzzahl ≥0 und ≤ Maximalwert eingeben_x000a_oder &quot;D&quot; für &quot;Dispensiert&quot;" sqref="NG28:NH57" xr:uid="{FAAC4322-BA17-46A7-A054-984B0ABD4987}">
      <formula1>INDIRECT($NI$25)=1</formula1>
    </dataValidation>
    <dataValidation type="custom" allowBlank="1" showInputMessage="1" showErrorMessage="1" error="Bitte eine Zahl ≥0 und ≤ Maximalwert eingeben_x000a_oder &quot;D&quot; für &quot;Dispensiert&quot;" sqref="PC28:PC57" xr:uid="{F163308D-AFB6-45B2-9F1F-47B90000CCB7}">
      <formula1>INDIRECT($PE$25)=1</formula1>
    </dataValidation>
    <dataValidation type="custom" allowBlank="1" showInputMessage="1" showErrorMessage="1" errorTitle="Eingabebeschränkung" error="Bitte eine Zahl ≥0 eingeben_x000a_oder &quot;D&quot; für &quot;Dispensiert&quot;" sqref="RN28:RN57" xr:uid="{CC32400C-CE0E-4890-9E40-2898B0EAD439}">
      <formula1>INDIRECT($RP$25)=1</formula1>
    </dataValidation>
    <dataValidation type="custom" allowBlank="1" showInputMessage="1" showErrorMessage="1" errorTitle="Eingabebeschränkung" error="Bitte eine Zahl ≥0 eingeben_x000a_oder &quot;D&quot; für &quot;Dispensiert&quot;" sqref="RZ28:RZ57" xr:uid="{607865AD-E953-418F-9312-7C5BADE5A9A4}">
      <formula1>INDIRECT($SB$25)=1</formula1>
    </dataValidation>
    <dataValidation type="custom" allowBlank="1" showInputMessage="1" showErrorMessage="1" errorTitle="Eingabebeschränkung" error="Bitte eine Zahl ≥0 eingeben_x000a_oder &quot;D&quot; für &quot;Dispensiert&quot;" sqref="SL28:SL57" xr:uid="{ADEAAEFF-8649-4464-9445-C777EF092D95}">
      <formula1>INDIRECT($SN$25)=1</formula1>
    </dataValidation>
    <dataValidation type="custom" allowBlank="1" showInputMessage="1" showErrorMessage="1" sqref="SX28:SX57" xr:uid="{073CDBA0-EA18-4AEF-8FFF-505E0E3DF0CC}">
      <formula1>INDIRECT($SZ$25)=1</formula1>
    </dataValidation>
    <dataValidation type="custom" allowBlank="1" showInputMessage="1" showErrorMessage="1" error="Bitte eine Ganzzahl ≥0 und ≤ Maximalwert eingeben_x000a_oder &quot;D&quot; für &quot;Dispensiert&quot;" sqref="TJ28:TJ57" xr:uid="{E07449FE-F1BA-4F72-90DA-1C4793412809}">
      <formula1>INDIRECT($TL$25)=1</formula1>
    </dataValidation>
    <dataValidation type="custom" allowBlank="1" showInputMessage="1" showErrorMessage="1" errorTitle="Eingabebeschränkung" error="Bitte eine Ganzzahl ≥0 eingeben_x000a_oder &quot;D&quot; für &quot;Dispensiert&quot;" sqref="ABD28:ABD57" xr:uid="{4A713AD4-96A1-4278-8A15-7E1C1E5B0165}">
      <formula1>INDIRECT($ABF$25)=1</formula1>
    </dataValidation>
    <dataValidation type="custom" allowBlank="1" showInputMessage="1" showErrorMessage="1" errorTitle="Eingabebeschränkung" error="Bitte eine Zahl ≥0 eingeben_x000a_oder &quot;D&quot; für &quot;Dispensiert&quot;" sqref="G28:G57" xr:uid="{8ECEC274-4CC8-460C-94CB-E7F5EDA98A0C}">
      <formula1>INDIRECT($I$25)=1</formula1>
    </dataValidation>
    <dataValidation type="custom" allowBlank="1" showInputMessage="1" showErrorMessage="1" errorTitle="Eingabebeschränkung" error="Bitte eine Zahl ≤ 20 eingeben_x000a_oder &quot;D&quot; für &quot;Dispensiert&quot;" sqref="HR28:HS57 IA28:IB57 IJ28:IK57 IS28:IT57 JB28:JC57 JK28:JL57 NI28:NJ28" xr:uid="{FC2534EE-9F57-4BA1-A9DD-CF059275F177}">
      <formula1>OR(AND(ISNUMBER(HR28),HR28&lt;=HR$4),HR28=$A$2,HR28=$A$3)</formula1>
    </dataValidation>
    <dataValidation type="custom" allowBlank="1" showInputMessage="1" showErrorMessage="1" errorTitle="Eingabebeschränkung" error="Bitte eine Zahl &lt; 20 eingeben_x000a_oder &quot;D&quot; für &quot;Dispensiert&quot;" sqref="HX28:HX57" xr:uid="{563281CC-8E0D-4695-8D80-4214EFFF75E9}">
      <formula1>OR(AND(ISNUMBER(HX28),HX$4&lt;20),HX28=$A$2,HX28=$A$3)</formula1>
    </dataValidation>
    <dataValidation type="custom" allowBlank="1" showInputMessage="1" showErrorMessage="1" errorTitle="Eingabebeschränkung" error="Bitte eine Zahl ≤ 26 eingeben_x000a_oder &quot;D&quot; für &quot;Dispensiert&quot;" sqref="NI29:NJ57" xr:uid="{9178F53F-51CA-4145-B8AA-8E922C806F3F}">
      <formula1>OR(AND(ISNUMBER(NI29),NI29&lt;=NI$4),NI29=$A$2,NI29=$A$3)</formula1>
    </dataValidation>
    <dataValidation type="custom" allowBlank="1" showInputMessage="1" showErrorMessage="1" error="Bitte eine Ganzzahl ≥0 eingeben_x000a_oder &quot;D&quot; für &quot;Dispensiert&quot;" sqref="ZM28:ZM57" xr:uid="{189A676D-5AC3-40F6-9003-A92DAC440D3F}">
      <formula1>INDIRECT($ZO$25)=1</formula1>
    </dataValidation>
    <dataValidation type="custom" allowBlank="1" showInputMessage="1" showErrorMessage="1" error="Bitte eine Ganzzahl ≥0 und ≤59 eingeben_x000a__x000a_(«D» für «Dispensation» in Spalte «Min»)" sqref="ZR28" xr:uid="{B0A6ED19-1B12-4F3A-A5BC-CCA4057D5422}">
      <formula1>INDIRECT($ZT$25)=1</formula1>
    </dataValidation>
    <dataValidation type="custom" allowBlank="1" showInputMessage="1" showErrorMessage="1" errorTitle="Eingabebeschränkung" error="Bitte eine Ganzzahl ≥ –1 (Knaben) bzw. ≥0 (Mädchen) eingeben_x000a_oder &quot;D&quot; für &quot;Dispensiert&quot;" sqref="AAR28:AAR57" xr:uid="{B4C1F3CC-23C6-4F4D-BAB0-662004573566}">
      <formula1>INDIRECT($AAT$25)=1</formula1>
    </dataValidation>
    <dataValidation type="list" allowBlank="1" showInputMessage="1" sqref="ZH27" xr:uid="{0A18406F-0EEC-471C-852E-B76BC415F559}">
      <formula1>$ZJ$1:$ZJ$2</formula1>
    </dataValidation>
    <dataValidation type="list" allowBlank="1" showInputMessage="1" sqref="ZH28:ZH57" xr:uid="{6B76DA25-01A2-4F83-9603-64E827240512}">
      <formula1>$ZJ$4:$ZJ$5</formula1>
    </dataValidation>
  </dataValidations>
  <pageMargins left="0.70866141732283472" right="0.70866141732283472" top="0.78740157480314965" bottom="0.78740157480314965" header="0.31496062992125984" footer="0.31496062992125984"/>
  <pageSetup paperSize="8" scale="10" orientation="landscape" r:id="rId1"/>
  <headerFooter>
    <oddHeader>&amp;LSchulsportprüfung NW OW SZ UR</oddHeader>
    <oddFooter>&amp;L&amp;D&amp;C&amp;A&amp;R&amp;P / &amp;N</oddFooter>
  </headerFooter>
  <tableParts count="1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4C12E246-15AB-40B7-9B08-3621D644512B}">
            <xm:f>NOT(ISERROR(SEARCH(Stammdaten!$CA$4,A1)))</xm:f>
            <xm:f>Stammdaten!$CA$4</xm:f>
            <x14:dxf>
              <font>
                <color theme="2" tint="-0.24994659260841701"/>
              </font>
            </x14:dxf>
          </x14:cfRule>
          <x14:cfRule type="containsText" priority="3" operator="containsText" id="{A59E1DD7-441C-42DB-BBF7-2E782EDA31A9}">
            <xm:f>NOT(ISERROR(SEARCH(Stammdaten!$BZ$1,A1)))</xm:f>
            <xm:f>Stammdaten!$BZ$1</xm:f>
            <x14:dxf>
              <font>
                <color theme="2" tint="-0.24994659260841701"/>
              </font>
            </x14:dxf>
          </x14:cfRule>
          <x14:cfRule type="containsText" priority="230" operator="containsText" id="{95214571-43B9-42F1-B25B-325B999BBFA2}">
            <xm:f>NOT(ISERROR(SEARCH(Stammdaten!$B$6,A1)))</xm:f>
            <xm:f>Stammdaten!$B$6</xm:f>
            <x14:dxf>
              <fill>
                <patternFill>
                  <bgColor theme="9" tint="0.79998168889431442"/>
                </patternFill>
              </fill>
            </x14:dxf>
          </x14:cfRule>
          <xm:sqref>A1:XFD1048576</xm:sqref>
        </x14:conditionalFormatting>
        <x14:conditionalFormatting xmlns:xm="http://schemas.microsoft.com/office/excel/2006/main">
          <x14:cfRule type="expression" priority="205" id="{978B59E2-73B3-47A3-956F-21D1BD19B064}">
            <xm:f>IF(AND(G28=Stammdaten!$BZ$1,$E28=""),1)</xm:f>
            <x14:dxf>
              <font>
                <color theme="0"/>
              </font>
            </x14:dxf>
          </x14:cfRule>
          <x14:cfRule type="containsText" priority="219" operator="containsText" id="{DCFDA4E1-4155-43D7-AD78-DCF62C2FCF57}">
            <xm:f>NOT(ISERROR(SEARCH(Stammdaten!$CC$3,G28)))</xm:f>
            <xm:f>Stammdaten!$CC$3</xm:f>
            <x14:dxf>
              <font>
                <color rgb="FFFF66FF"/>
              </font>
            </x14:dxf>
          </x14:cfRule>
          <xm:sqref>G28:ACM57</xm:sqref>
        </x14:conditionalFormatting>
        <x14:conditionalFormatting xmlns:xm="http://schemas.microsoft.com/office/excel/2006/main">
          <x14:cfRule type="beginsWith" priority="232" operator="beginsWith" id="{35F880E6-A6B7-411A-AAD2-5EE8F972126A}">
            <xm:f>LEFT(ZH27,LEN(Stammdaten!$BZ$5))=Stammdaten!$BZ$5</xm:f>
            <xm:f>Stammdaten!$BZ$5</xm:f>
            <x14:dxf>
              <font>
                <b/>
                <i val="0"/>
                <color rgb="FF00B050"/>
              </font>
            </x14:dxf>
          </x14:cfRule>
          <xm:sqref>ZH27</xm:sqref>
        </x14:conditionalFormatting>
        <x14:conditionalFormatting xmlns:xm="http://schemas.microsoft.com/office/excel/2006/main">
          <x14:cfRule type="beginsWith" priority="239" operator="beginsWith" id="{EFB23893-641D-41DB-9DC8-B85290D4C0B3}">
            <xm:f>LEFT(ZH28,LEN(Stammdaten!$BZ$5))=Stammdaten!$BZ$5</xm:f>
            <xm:f>Stammdaten!$BZ$5</xm:f>
            <x14:dxf>
              <font>
                <color theme="2" tint="-0.24994659260841701"/>
              </font>
            </x14:dxf>
          </x14:cfRule>
          <xm:sqref>ZH28:ZH57</xm:sqref>
        </x14:conditionalFormatting>
        <x14:conditionalFormatting xmlns:xm="http://schemas.microsoft.com/office/excel/2006/main">
          <x14:cfRule type="expression" priority="228" id="{F14E69E2-0AD1-41D6-A9C1-8528B8F1A16D}">
            <xm:f>IF(AND($ZH28&lt;&gt;Stammdaten!$BZ$5,$E28=""),1)</xm:f>
            <x14:dxf>
              <fill>
                <patternFill>
                  <bgColor theme="7" tint="0.59996337778862885"/>
                </patternFill>
              </fill>
            </x14:dxf>
          </x14:cfRule>
          <xm:sqref>ZK28:ZK57</xm:sqref>
        </x14:conditionalFormatting>
        <x14:conditionalFormatting xmlns:xm="http://schemas.microsoft.com/office/excel/2006/main">
          <x14:cfRule type="expression" priority="229" id="{0E5DE9D5-0247-4E8E-93A6-962156A593BC}">
            <xm:f>IF(AND(OR(AAR$7="Ein",AAR$7="Res"),VALUE(AAR28)=-1,$E28=Stammdaten!$D$7),1)</xm:f>
            <x14:dxf>
              <font>
                <color auto="1"/>
              </font>
              <fill>
                <patternFill>
                  <bgColor rgb="FFFFF1C5"/>
                </patternFill>
              </fill>
            </x14:dxf>
          </x14:cfRule>
          <xm:sqref>AAR28:AAS57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AA81"/>
  <sheetViews>
    <sheetView showGridLines="0" showRowColHeaders="0" topLeftCell="I1" zoomScale="90" zoomScaleNormal="90" workbookViewId="0">
      <selection activeCell="K12" sqref="K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0" defaultRowHeight="15" zeroHeight="1"/>
  <cols>
    <col min="1" max="2" width="16.7109375" style="95" hidden="1" customWidth="1"/>
    <col min="3" max="7" width="16.7109375" style="91" hidden="1" customWidth="1"/>
    <col min="8" max="8" width="3.7109375" style="97" hidden="1" customWidth="1"/>
    <col min="9" max="9" width="5.28515625" style="323" customWidth="1"/>
    <col min="10" max="10" width="38.7109375" style="340" customWidth="1"/>
    <col min="11" max="11" width="5.42578125" style="325" customWidth="1"/>
    <col min="12" max="12" width="1.140625" style="325" customWidth="1"/>
    <col min="13" max="13" width="5.42578125" style="325" customWidth="1"/>
    <col min="14" max="14" width="35.28515625" style="326" customWidth="1"/>
    <col min="15" max="15" width="19.7109375" style="326" customWidth="1"/>
    <col min="16" max="16" width="12.7109375" style="326" customWidth="1"/>
    <col min="17" max="18" width="21.5703125" style="326" customWidth="1"/>
    <col min="19" max="19" width="5.42578125" style="326" customWidth="1"/>
    <col min="20" max="20" width="1.140625" style="326" customWidth="1"/>
    <col min="21" max="26" width="11.5703125" style="326" hidden="1" customWidth="1"/>
    <col min="27" max="27" width="15.5703125" style="326" hidden="1" customWidth="1"/>
    <col min="28" max="16384" width="11.5703125" style="326" hidden="1"/>
  </cols>
  <sheetData>
    <row r="1" spans="1:22" ht="15" customHeight="1" thickBot="1">
      <c r="A1" s="91" t="str">
        <f>Stammdaten!$CA$4</f>
        <v>nicht durchgeführt</v>
      </c>
      <c r="B1" s="91"/>
      <c r="J1" s="324" t="s">
        <v>309</v>
      </c>
    </row>
    <row r="2" spans="1:22" ht="15.6" customHeight="1" thickTop="1">
      <c r="A2" s="95" t="str">
        <f>Stammdaten!$G$17</f>
        <v>Schulgemeinden[Position]</v>
      </c>
      <c r="B2" s="91" t="str">
        <f>Stammdaten!$E$17</f>
        <v>Schulgemeinden[Schulgemeinde]</v>
      </c>
      <c r="H2" s="108">
        <f ca="1">INDEX(INDIRECT($A$2),MATCH(Resultatmappe!$C$18,INDIRECT($B$2),0))</f>
        <v>1</v>
      </c>
      <c r="J2" s="324"/>
      <c r="M2" s="327"/>
      <c r="N2" s="328"/>
      <c r="O2" s="329"/>
      <c r="P2" s="329"/>
      <c r="Q2" s="330"/>
      <c r="R2" s="329"/>
      <c r="S2" s="331"/>
      <c r="T2" s="91"/>
    </row>
    <row r="3" spans="1:22" ht="29.1" customHeight="1">
      <c r="J3" s="332" t="s">
        <v>306</v>
      </c>
      <c r="M3" s="333"/>
      <c r="N3" s="334" t="s">
        <v>210</v>
      </c>
      <c r="O3" s="334"/>
      <c r="Q3" s="91"/>
      <c r="S3" s="335"/>
      <c r="T3" s="91"/>
    </row>
    <row r="4" spans="1:22" ht="29.1" customHeight="1">
      <c r="J4" s="332"/>
      <c r="M4" s="333"/>
      <c r="N4" s="336" t="s">
        <v>214</v>
      </c>
      <c r="O4" s="336"/>
      <c r="Q4" s="91"/>
      <c r="S4" s="335"/>
      <c r="T4" s="91"/>
    </row>
    <row r="5" spans="1:22" ht="18.600000000000001" customHeight="1">
      <c r="J5" s="332"/>
      <c r="M5" s="333"/>
      <c r="N5" s="337"/>
      <c r="O5" s="338"/>
      <c r="Q5" s="91"/>
      <c r="S5" s="335"/>
      <c r="T5" s="91"/>
    </row>
    <row r="6" spans="1:22" ht="10.15" customHeight="1">
      <c r="J6" s="332"/>
      <c r="M6" s="333"/>
      <c r="N6" s="337"/>
      <c r="O6" s="338"/>
      <c r="Q6" s="91"/>
      <c r="S6" s="335"/>
      <c r="T6" s="91"/>
    </row>
    <row r="7" spans="1:22" ht="58.5">
      <c r="A7" s="91"/>
      <c r="J7" s="332"/>
      <c r="M7" s="333"/>
      <c r="N7" s="339" t="s">
        <v>301</v>
      </c>
      <c r="O7" s="339"/>
      <c r="P7" s="339"/>
      <c r="Q7" s="339"/>
      <c r="R7" s="339"/>
      <c r="S7" s="335"/>
      <c r="V7" s="325"/>
    </row>
    <row r="8" spans="1:22" ht="10.15" customHeight="1">
      <c r="M8" s="333"/>
      <c r="S8" s="335"/>
      <c r="V8" s="91"/>
    </row>
    <row r="9" spans="1:22" ht="19.5">
      <c r="A9" s="91" t="str">
        <f>Stammdaten!$A$17</f>
        <v>Schuljahre[Schuljahr]</v>
      </c>
      <c r="B9" s="91"/>
      <c r="J9" s="341"/>
      <c r="M9" s="333"/>
      <c r="N9" s="342" t="s">
        <v>209</v>
      </c>
      <c r="O9" s="342"/>
      <c r="P9" s="343" t="s">
        <v>419</v>
      </c>
      <c r="Q9" s="343"/>
      <c r="R9" s="344"/>
      <c r="S9" s="335"/>
    </row>
    <row r="10" spans="1:22" ht="15.6" customHeight="1">
      <c r="B10" s="95" t="str">
        <f>Stammdaten!$BR$24</f>
        <v>StdSpezBer[SpezBer_Adr]</v>
      </c>
      <c r="M10" s="333"/>
      <c r="O10" s="345"/>
      <c r="P10" s="345"/>
      <c r="S10" s="335"/>
      <c r="T10" s="91"/>
    </row>
    <row r="11" spans="1:22">
      <c r="B11" s="95" t="str">
        <f>Stammdaten!$BM$24</f>
        <v>StdSpezBer[SpezBer_Name]</v>
      </c>
      <c r="C11" s="211"/>
      <c r="D11" s="211"/>
      <c r="E11" s="211"/>
      <c r="G11" s="96"/>
      <c r="H11" s="96"/>
      <c r="I11" s="346"/>
      <c r="J11" s="347"/>
      <c r="K11" s="348"/>
      <c r="L11" s="348"/>
      <c r="M11" s="349"/>
      <c r="S11" s="335"/>
    </row>
    <row r="12" spans="1:22" ht="20.45" customHeight="1">
      <c r="A12" s="91" t="s">
        <v>354</v>
      </c>
      <c r="B12" s="91" t="str">
        <f ca="1">INDEX(INDIRECT($B$10),MATCH($A$12,INDIRECT($B$11),0))</f>
        <v>Resultatmappe!$A$28:$A$57</v>
      </c>
      <c r="C12" s="91" t="s">
        <v>366</v>
      </c>
      <c r="D12" s="91" t="str">
        <f ca="1">INDEX(INDIRECT($B$10),MATCH($C$12,INDIRECT($B$11),0))</f>
        <v>Resultatmappe!$B$28:$C$57</v>
      </c>
      <c r="E12" s="108">
        <v>1</v>
      </c>
      <c r="F12" s="108">
        <v>2</v>
      </c>
      <c r="H12" s="96"/>
      <c r="I12" s="346"/>
      <c r="J12" s="350" t="s">
        <v>312</v>
      </c>
      <c r="K12" s="351">
        <v>1</v>
      </c>
      <c r="L12" s="352"/>
      <c r="M12" s="353"/>
      <c r="N12" s="354" cm="1">
        <f t="array" aca="1" ref="N12" ca="1">INDEX(INDIRECT($D$12),$K$12,$F$12)</f>
        <v>0</v>
      </c>
      <c r="O12" s="354"/>
      <c r="P12" s="355" cm="1">
        <f t="array" aca="1" ref="P12" ca="1">INDEX(INDIRECT($D$12),$K$12,$E$12)</f>
        <v>0</v>
      </c>
      <c r="Q12" s="355"/>
      <c r="R12" s="355"/>
      <c r="S12" s="335"/>
    </row>
    <row r="13" spans="1:22" ht="19.5">
      <c r="E13" s="95"/>
      <c r="F13" s="96"/>
      <c r="G13" s="96"/>
      <c r="H13" s="96"/>
      <c r="I13" s="346"/>
      <c r="J13" s="350"/>
      <c r="K13" s="356"/>
      <c r="L13" s="356"/>
      <c r="M13" s="357"/>
      <c r="N13" s="358"/>
      <c r="O13" s="358"/>
      <c r="P13" s="358"/>
      <c r="Q13" s="358"/>
      <c r="R13" s="358"/>
      <c r="S13" s="335"/>
      <c r="T13" s="359"/>
    </row>
    <row r="14" spans="1:22" ht="14.45" customHeight="1">
      <c r="E14" s="95"/>
      <c r="F14" s="96"/>
      <c r="G14" s="96"/>
      <c r="H14" s="96"/>
      <c r="I14" s="346"/>
      <c r="J14" s="350"/>
      <c r="K14" s="356"/>
      <c r="L14" s="356"/>
      <c r="M14" s="357"/>
      <c r="N14" s="360"/>
      <c r="O14" s="360"/>
      <c r="P14" s="360"/>
      <c r="Q14" s="360"/>
      <c r="R14" s="360"/>
      <c r="S14" s="335"/>
      <c r="T14" s="359"/>
    </row>
    <row r="15" spans="1:22">
      <c r="J15" s="350"/>
      <c r="M15" s="333"/>
      <c r="S15" s="335"/>
      <c r="T15" s="91"/>
    </row>
    <row r="16" spans="1:22" ht="22.5">
      <c r="M16" s="333"/>
      <c r="N16" s="361" t="s">
        <v>302</v>
      </c>
      <c r="S16" s="335"/>
    </row>
    <row r="17" spans="1:23" ht="15.6" customHeight="1">
      <c r="B17" s="91" t="str">
        <f>Stammdaten!$BZ$11&amp;" "&amp;Stammdaten!$BZ$26&amp;"n "&amp;Stammdaten!$CB$10</f>
        <v>Anz. Spalten Diplomausgabe</v>
      </c>
      <c r="E17" s="91" t="str">
        <f>Stammdaten!$BZ$26&amp;"n Resultatmappe"</f>
        <v>Spalten Resultatmappe</v>
      </c>
      <c r="M17" s="333"/>
      <c r="S17" s="335"/>
      <c r="T17" s="91"/>
    </row>
    <row r="18" spans="1:23" ht="4.1500000000000004" customHeight="1">
      <c r="A18" s="91"/>
      <c r="B18" s="91"/>
      <c r="H18" s="91"/>
      <c r="M18" s="333"/>
      <c r="N18" s="362"/>
      <c r="O18" s="362"/>
      <c r="P18" s="362"/>
      <c r="Q18" s="362"/>
      <c r="R18" s="345"/>
      <c r="S18" s="335"/>
      <c r="T18" s="91"/>
      <c r="U18" s="91"/>
      <c r="V18" s="91"/>
      <c r="W18" s="91"/>
    </row>
    <row r="19" spans="1:23" ht="15.6" customHeight="1">
      <c r="A19" s="91"/>
      <c r="B19" s="108">
        <f>$D$21</f>
        <v>3</v>
      </c>
      <c r="G19" s="91" t="s">
        <v>361</v>
      </c>
      <c r="H19" s="108" cm="1">
        <f t="array" aca="1" ref="H19" ca="1">INDEX(INDIRECT(G19),$K$12)</f>
        <v>6</v>
      </c>
      <c r="M19" s="333"/>
      <c r="N19" s="363" t="str">
        <f>Stammdaten!$BO$6</f>
        <v>BS.1   Laufen, Springen, Werfen</v>
      </c>
      <c r="R19" s="345"/>
      <c r="S19" s="335"/>
      <c r="T19" s="91"/>
      <c r="U19" s="91"/>
      <c r="V19" s="91"/>
      <c r="W19" s="91"/>
    </row>
    <row r="20" spans="1:23" ht="3" customHeight="1">
      <c r="A20" s="91"/>
      <c r="B20" s="91"/>
      <c r="H20" s="91"/>
      <c r="M20" s="333"/>
      <c r="N20" s="363"/>
      <c r="R20" s="345"/>
      <c r="S20" s="335"/>
      <c r="T20" s="91"/>
      <c r="U20" s="91"/>
      <c r="V20" s="91"/>
      <c r="W20" s="91"/>
    </row>
    <row r="21" spans="1:23" ht="15.6" customHeight="1">
      <c r="A21" s="364"/>
      <c r="B21" s="108">
        <v>1</v>
      </c>
      <c r="C21" s="108">
        <v>2</v>
      </c>
      <c r="D21" s="108">
        <v>3</v>
      </c>
      <c r="H21" s="108">
        <f ca="1">IF(AND(O22=$A$1,O23=$A$1,O24=$A$1,O25=$A$1),1,"")</f>
        <v>1</v>
      </c>
      <c r="I21" s="365"/>
      <c r="J21" s="347"/>
      <c r="M21" s="333"/>
      <c r="N21" s="345"/>
      <c r="Q21" s="366" t="s">
        <v>234</v>
      </c>
      <c r="S21" s="335"/>
      <c r="T21" s="91"/>
    </row>
    <row r="22" spans="1:23" ht="15.6" customHeight="1">
      <c r="A22" s="367">
        <v>1</v>
      </c>
      <c r="B22" s="368">
        <f>B$21+(($A22-1)*$B$19)</f>
        <v>1</v>
      </c>
      <c r="C22" s="368">
        <f t="shared" ref="C22:D25" si="0">C$21+(($A22-1)*$B$19)</f>
        <v>2</v>
      </c>
      <c r="D22" s="368">
        <f t="shared" si="0"/>
        <v>3</v>
      </c>
      <c r="E22" s="108">
        <f t="shared" ref="E22:G25" ca="1" si="1">SMALL(_Spaltenindizes,B22)</f>
        <v>133</v>
      </c>
      <c r="F22" s="108">
        <f t="shared" ca="1" si="1"/>
        <v>134</v>
      </c>
      <c r="G22" s="108">
        <f t="shared" ca="1" si="1"/>
        <v>135</v>
      </c>
      <c r="H22" s="91"/>
      <c r="I22" s="91"/>
      <c r="M22" s="333"/>
      <c r="N22" s="345" t="str" cm="1">
        <f t="array" aca="1" ref="N22" ca="1">INDEX(_Diplom,$K$12,E22)</f>
        <v>Sprintdisziplinen</v>
      </c>
      <c r="O22" s="345" t="str" cm="1">
        <f t="array" aca="1" ref="O22" ca="1">INDEX(_Diplom,$K$12,F22)</f>
        <v>nicht durchgeführt</v>
      </c>
      <c r="P22" s="345"/>
      <c r="Q22" s="345" t="str" cm="1">
        <f t="array" aca="1" ref="Q22" ca="1">INDEX(_Diplom,$K$12,G22)</f>
        <v/>
      </c>
      <c r="S22" s="335"/>
      <c r="T22" s="91"/>
    </row>
    <row r="23" spans="1:23" ht="15.6" customHeight="1">
      <c r="A23" s="369">
        <v>2</v>
      </c>
      <c r="B23" s="108">
        <f t="shared" ref="B23:B25" si="2">B$21+(($A23-1)*$B$19)</f>
        <v>4</v>
      </c>
      <c r="C23" s="108">
        <f t="shared" si="0"/>
        <v>5</v>
      </c>
      <c r="D23" s="108">
        <f t="shared" si="0"/>
        <v>6</v>
      </c>
      <c r="E23" s="108">
        <f t="shared" ca="1" si="1"/>
        <v>154</v>
      </c>
      <c r="F23" s="108">
        <f t="shared" ca="1" si="1"/>
        <v>155</v>
      </c>
      <c r="G23" s="108">
        <f t="shared" ca="1" si="1"/>
        <v>156</v>
      </c>
      <c r="H23" s="91"/>
      <c r="I23" s="91"/>
      <c r="M23" s="333"/>
      <c r="N23" s="345" t="str" cm="1">
        <f t="array" aca="1" ref="N23" ca="1">INDEX(_Diplom,$K$12,E23)</f>
        <v>Ausdauerdisziplinen</v>
      </c>
      <c r="O23" s="345" t="str" cm="1">
        <f t="array" aca="1" ref="O23" ca="1">INDEX(_Diplom,$K$12,F23)</f>
        <v>nicht durchgeführt</v>
      </c>
      <c r="P23" s="345"/>
      <c r="Q23" s="345" t="str" cm="1">
        <f t="array" aca="1" ref="Q23" ca="1">INDEX(_Diplom,$K$12,G23)</f>
        <v/>
      </c>
      <c r="S23" s="335"/>
      <c r="T23" s="91"/>
      <c r="U23" s="91"/>
    </row>
    <row r="24" spans="1:23" ht="15.6" customHeight="1">
      <c r="A24" s="369">
        <v>3</v>
      </c>
      <c r="B24" s="108">
        <f t="shared" si="2"/>
        <v>7</v>
      </c>
      <c r="C24" s="108">
        <f t="shared" si="0"/>
        <v>8</v>
      </c>
      <c r="D24" s="108">
        <f t="shared" si="0"/>
        <v>9</v>
      </c>
      <c r="E24" s="108">
        <f t="shared" ca="1" si="1"/>
        <v>175</v>
      </c>
      <c r="F24" s="108">
        <f t="shared" ca="1" si="1"/>
        <v>176</v>
      </c>
      <c r="G24" s="108">
        <f t="shared" ca="1" si="1"/>
        <v>177</v>
      </c>
      <c r="H24" s="91"/>
      <c r="I24" s="91"/>
      <c r="M24" s="333"/>
      <c r="N24" s="345" t="str" cm="1">
        <f t="array" aca="1" ref="N24" ca="1">INDEX(_Diplom,$K$12,E24)</f>
        <v>Sprungdisziplinen</v>
      </c>
      <c r="O24" s="345" t="str" cm="1">
        <f t="array" aca="1" ref="O24" ca="1">INDEX(_Diplom,$K$12,F24)</f>
        <v>nicht durchgeführt</v>
      </c>
      <c r="P24" s="345"/>
      <c r="Q24" s="345" t="str" cm="1">
        <f t="array" aca="1" ref="Q24" ca="1">INDEX(_Diplom,$K$12,G24)</f>
        <v/>
      </c>
      <c r="S24" s="335"/>
    </row>
    <row r="25" spans="1:23" ht="15.6" customHeight="1">
      <c r="A25" s="369">
        <v>4</v>
      </c>
      <c r="B25" s="108">
        <f t="shared" si="2"/>
        <v>10</v>
      </c>
      <c r="C25" s="108">
        <f t="shared" si="0"/>
        <v>11</v>
      </c>
      <c r="D25" s="108">
        <f t="shared" si="0"/>
        <v>12</v>
      </c>
      <c r="E25" s="108">
        <f t="shared" ca="1" si="1"/>
        <v>198</v>
      </c>
      <c r="F25" s="108">
        <f t="shared" ca="1" si="1"/>
        <v>199</v>
      </c>
      <c r="G25" s="108">
        <f t="shared" ca="1" si="1"/>
        <v>200</v>
      </c>
      <c r="H25" s="91"/>
      <c r="I25" s="91"/>
      <c r="M25" s="333"/>
      <c r="N25" s="345" t="str" cm="1">
        <f t="array" aca="1" ref="N25" ca="1">INDEX(_Diplom,$K$12,E25)</f>
        <v>Wurfdisziplinen</v>
      </c>
      <c r="O25" s="345" t="str" cm="1">
        <f t="array" aca="1" ref="O25" ca="1">INDEX(_Diplom,$K$12,F25)</f>
        <v>nicht durchgeführt</v>
      </c>
      <c r="P25" s="345"/>
      <c r="Q25" s="345" t="str" cm="1">
        <f t="array" aca="1" ref="Q25" ca="1">INDEX(_Diplom,$K$12,G25)</f>
        <v/>
      </c>
      <c r="S25" s="335"/>
    </row>
    <row r="26" spans="1:23" ht="3" customHeight="1">
      <c r="A26" s="97"/>
      <c r="B26" s="91"/>
      <c r="H26" s="91"/>
      <c r="M26" s="333"/>
      <c r="N26" s="345"/>
      <c r="O26" s="370"/>
      <c r="P26" s="370"/>
      <c r="Q26" s="370"/>
      <c r="S26" s="335"/>
    </row>
    <row r="27" spans="1:23" ht="15.6" customHeight="1">
      <c r="A27" s="97"/>
      <c r="B27" s="91"/>
      <c r="H27" s="91"/>
      <c r="M27" s="333"/>
      <c r="S27" s="335"/>
    </row>
    <row r="28" spans="1:23" ht="4.1500000000000004" customHeight="1">
      <c r="A28" s="97"/>
      <c r="B28" s="91"/>
      <c r="H28" s="91"/>
      <c r="M28" s="333"/>
      <c r="N28" s="362"/>
      <c r="O28" s="362"/>
      <c r="P28" s="362"/>
      <c r="Q28" s="362"/>
      <c r="R28" s="345"/>
      <c r="S28" s="335"/>
    </row>
    <row r="29" spans="1:23" ht="15.6" customHeight="1">
      <c r="A29" s="97"/>
      <c r="B29" s="91"/>
      <c r="G29" s="91" t="s">
        <v>364</v>
      </c>
      <c r="H29" s="108" cm="1">
        <f t="array" aca="1" ref="H29" ca="1">INDEX(INDIRECT(G29),$K$12)</f>
        <v>6</v>
      </c>
      <c r="M29" s="333"/>
      <c r="N29" s="363" t="str">
        <f>Stammdaten!$BO$7</f>
        <v>BS.2   Bewegen an Geräten</v>
      </c>
      <c r="R29" s="345"/>
      <c r="S29" s="335"/>
    </row>
    <row r="30" spans="1:23" ht="3" customHeight="1">
      <c r="A30" s="97"/>
      <c r="B30" s="91"/>
      <c r="H30" s="91"/>
      <c r="M30" s="333"/>
      <c r="N30" s="363"/>
      <c r="R30" s="345"/>
      <c r="S30" s="335"/>
    </row>
    <row r="31" spans="1:23" ht="15.6" customHeight="1">
      <c r="A31" s="97"/>
      <c r="B31" s="91"/>
      <c r="H31" s="108">
        <f ca="1">IF(AND(O32=$A$1,O33=$A$1,O34=$A$1,O35=$A$1),1,"")</f>
        <v>1</v>
      </c>
      <c r="I31" s="365"/>
      <c r="M31" s="333"/>
      <c r="N31" s="345"/>
      <c r="O31" s="91"/>
      <c r="P31" s="345"/>
      <c r="Q31" s="366" t="str">
        <f>$Q$21</f>
        <v>Erreichter Wert</v>
      </c>
      <c r="S31" s="335"/>
      <c r="T31" s="91"/>
    </row>
    <row r="32" spans="1:23" ht="15.6" customHeight="1">
      <c r="A32" s="97">
        <v>5</v>
      </c>
      <c r="B32" s="371">
        <f>B$21+(($A32-1)*$B$19)</f>
        <v>13</v>
      </c>
      <c r="C32" s="108">
        <f t="shared" ref="C32:D35" si="3">C$21+(($A32-1)*$B$19)</f>
        <v>14</v>
      </c>
      <c r="D32" s="108">
        <f t="shared" si="3"/>
        <v>15</v>
      </c>
      <c r="E32" s="108">
        <f t="shared" ref="E32:G35" ca="1" si="4">SMALL(_Spaltenindizes,B32)</f>
        <v>329</v>
      </c>
      <c r="F32" s="108">
        <f t="shared" ca="1" si="4"/>
        <v>330</v>
      </c>
      <c r="G32" s="108">
        <f t="shared" ca="1" si="4"/>
        <v>331</v>
      </c>
      <c r="H32" s="91"/>
      <c r="M32" s="333"/>
      <c r="N32" s="345" t="str" cm="1">
        <f t="array" aca="1" ref="N32" ca="1">INDEX(_Diplom,$K$12,E32)</f>
        <v>Erstes Gerät</v>
      </c>
      <c r="O32" s="345" t="str" cm="1">
        <f t="array" aca="1" ref="O32" ca="1">INDEX(_Diplom,$K$12,F32)</f>
        <v>nicht durchgeführt</v>
      </c>
      <c r="P32" s="345"/>
      <c r="Q32" s="345" t="str" cm="1">
        <f t="array" aca="1" ref="Q32" ca="1">INDEX(_Diplom,$K$12,G32)</f>
        <v/>
      </c>
      <c r="S32" s="335"/>
    </row>
    <row r="33" spans="1:20" ht="15.6" customHeight="1">
      <c r="A33" s="97">
        <v>6</v>
      </c>
      <c r="B33" s="371">
        <f t="shared" ref="B33:B35" si="5">B$21+(($A33-1)*$B$19)</f>
        <v>16</v>
      </c>
      <c r="C33" s="108">
        <f t="shared" si="3"/>
        <v>17</v>
      </c>
      <c r="D33" s="108">
        <f t="shared" si="3"/>
        <v>18</v>
      </c>
      <c r="E33" s="108">
        <f t="shared" ca="1" si="4"/>
        <v>341</v>
      </c>
      <c r="F33" s="108">
        <f t="shared" ca="1" si="4"/>
        <v>342</v>
      </c>
      <c r="G33" s="108">
        <f t="shared" ca="1" si="4"/>
        <v>343</v>
      </c>
      <c r="H33" s="91"/>
      <c r="M33" s="333"/>
      <c r="N33" s="345" t="str" cm="1">
        <f t="array" aca="1" ref="N33" ca="1">INDEX(_Diplom,$K$12,E33)</f>
        <v>Zweites Gerät</v>
      </c>
      <c r="O33" s="345" t="str" cm="1">
        <f t="array" aca="1" ref="O33" ca="1">INDEX(_Diplom,$K$12,F33)</f>
        <v>nicht durchgeführt</v>
      </c>
      <c r="P33" s="345"/>
      <c r="Q33" s="345" t="str" cm="1">
        <f t="array" aca="1" ref="Q33" ca="1">INDEX(_Diplom,$K$12,G33)</f>
        <v/>
      </c>
      <c r="S33" s="335"/>
    </row>
    <row r="34" spans="1:20" ht="15.6" customHeight="1">
      <c r="A34" s="97">
        <v>7</v>
      </c>
      <c r="B34" s="371">
        <f t="shared" si="5"/>
        <v>19</v>
      </c>
      <c r="C34" s="108">
        <f t="shared" si="3"/>
        <v>20</v>
      </c>
      <c r="D34" s="108">
        <f t="shared" si="3"/>
        <v>21</v>
      </c>
      <c r="E34" s="108">
        <f t="shared" ca="1" si="4"/>
        <v>353</v>
      </c>
      <c r="F34" s="108">
        <f t="shared" ca="1" si="4"/>
        <v>354</v>
      </c>
      <c r="G34" s="108">
        <f t="shared" ca="1" si="4"/>
        <v>355</v>
      </c>
      <c r="H34" s="91"/>
      <c r="M34" s="333"/>
      <c r="N34" s="345" t="str" cm="1">
        <f t="array" aca="1" ref="N34" ca="1">INDEX(_Diplom,$K$12,E34)</f>
        <v>Drittes Gerät</v>
      </c>
      <c r="O34" s="345" t="str" cm="1">
        <f t="array" aca="1" ref="O34" ca="1">INDEX(_Diplom,$K$12,F34)</f>
        <v>nicht durchgeführt</v>
      </c>
      <c r="P34" s="345"/>
      <c r="Q34" s="345" t="str" cm="1">
        <f t="array" aca="1" ref="Q34" ca="1">INDEX(_Diplom,$K$12,G34)</f>
        <v/>
      </c>
      <c r="S34" s="335"/>
    </row>
    <row r="35" spans="1:20" ht="15.6" customHeight="1">
      <c r="A35" s="97">
        <v>8</v>
      </c>
      <c r="B35" s="371">
        <f t="shared" si="5"/>
        <v>22</v>
      </c>
      <c r="C35" s="108">
        <f t="shared" si="3"/>
        <v>23</v>
      </c>
      <c r="D35" s="108">
        <f t="shared" si="3"/>
        <v>24</v>
      </c>
      <c r="E35" s="108">
        <f t="shared" ca="1" si="4"/>
        <v>397</v>
      </c>
      <c r="F35" s="108">
        <f t="shared" ca="1" si="4"/>
        <v>398</v>
      </c>
      <c r="G35" s="108">
        <f t="shared" ca="1" si="4"/>
        <v>399</v>
      </c>
      <c r="H35" s="91"/>
      <c r="M35" s="333"/>
      <c r="N35" s="345" t="str" cm="1">
        <f t="array" aca="1" ref="N35" ca="1">INDEX(_Diplom,$K$12,E35)</f>
        <v>Parkour</v>
      </c>
      <c r="O35" s="345" t="str" cm="1">
        <f t="array" aca="1" ref="O35" ca="1">INDEX(_Diplom,$K$12,F35)</f>
        <v>nicht durchgeführt</v>
      </c>
      <c r="P35" s="345"/>
      <c r="Q35" s="345" t="str" cm="1">
        <f t="array" aca="1" ref="Q35" ca="1">INDEX(_Diplom,$K$12,G35)</f>
        <v/>
      </c>
      <c r="S35" s="335"/>
      <c r="T35" s="91"/>
    </row>
    <row r="36" spans="1:20" ht="3" customHeight="1">
      <c r="A36" s="97"/>
      <c r="B36" s="91"/>
      <c r="H36" s="91"/>
      <c r="M36" s="333"/>
      <c r="N36" s="345"/>
      <c r="O36" s="370"/>
      <c r="P36" s="370"/>
      <c r="Q36" s="370"/>
      <c r="S36" s="335"/>
    </row>
    <row r="37" spans="1:20" ht="15.6" customHeight="1">
      <c r="A37" s="97"/>
      <c r="B37" s="91"/>
      <c r="H37" s="91"/>
      <c r="M37" s="333"/>
      <c r="S37" s="335"/>
    </row>
    <row r="38" spans="1:20" ht="4.1500000000000004" customHeight="1">
      <c r="A38" s="97"/>
      <c r="B38" s="91"/>
      <c r="H38" s="91"/>
      <c r="M38" s="333"/>
      <c r="N38" s="362"/>
      <c r="O38" s="362"/>
      <c r="P38" s="362"/>
      <c r="Q38" s="362"/>
      <c r="R38" s="345"/>
      <c r="S38" s="335"/>
    </row>
    <row r="39" spans="1:20" ht="15.6" customHeight="1">
      <c r="A39" s="97"/>
      <c r="B39" s="91"/>
      <c r="G39" s="91" t="s">
        <v>363</v>
      </c>
      <c r="H39" s="108" cm="1">
        <f t="array" aca="1" ref="H39" ca="1">INDEX(INDIRECT(G39),$K$12)</f>
        <v>6</v>
      </c>
      <c r="M39" s="333"/>
      <c r="N39" s="363" t="str">
        <f>Stammdaten!$BO$8</f>
        <v>BS.3   Darstellen und Tanzen</v>
      </c>
      <c r="R39" s="345"/>
      <c r="S39" s="335"/>
    </row>
    <row r="40" spans="1:20" ht="3" customHeight="1">
      <c r="A40" s="97"/>
      <c r="B40" s="91"/>
      <c r="H40" s="91"/>
      <c r="M40" s="333"/>
      <c r="N40" s="363"/>
      <c r="R40" s="345"/>
      <c r="S40" s="335"/>
    </row>
    <row r="41" spans="1:20" ht="15.6" customHeight="1">
      <c r="A41" s="97"/>
      <c r="B41" s="91"/>
      <c r="H41" s="108">
        <f ca="1">IF(O42=$A$1,1,"")</f>
        <v>1</v>
      </c>
      <c r="I41" s="365"/>
      <c r="M41" s="333"/>
      <c r="N41" s="345"/>
      <c r="O41" s="345"/>
      <c r="P41" s="345"/>
      <c r="Q41" s="366" t="str">
        <f>$Q$21</f>
        <v>Erreichter Wert</v>
      </c>
      <c r="S41" s="335"/>
    </row>
    <row r="42" spans="1:20" ht="15.6" customHeight="1">
      <c r="A42" s="97">
        <v>9</v>
      </c>
      <c r="B42" s="371">
        <f>B$21+(($A42-1)*$B$19)</f>
        <v>25</v>
      </c>
      <c r="C42" s="108">
        <f t="shared" ref="C42:D42" si="6">C$21+(($A42-1)*$B$19)</f>
        <v>26</v>
      </c>
      <c r="D42" s="108">
        <f t="shared" si="6"/>
        <v>27</v>
      </c>
      <c r="E42" s="108">
        <f ca="1">SMALL(_Spaltenindizes,B42)</f>
        <v>475</v>
      </c>
      <c r="F42" s="108">
        <f ca="1">SMALL(_Spaltenindizes,C42)</f>
        <v>476</v>
      </c>
      <c r="G42" s="108">
        <f ca="1">SMALL(_Spaltenindizes,D42)</f>
        <v>477</v>
      </c>
      <c r="H42" s="91"/>
      <c r="J42" s="91"/>
      <c r="M42" s="333"/>
      <c r="N42" s="345" t="str" cm="1">
        <f t="array" aca="1" ref="N42" ca="1">INDEX(_Diplom,$K$12,E42)</f>
        <v>Darstellen und Tanzen</v>
      </c>
      <c r="O42" s="345" t="str" cm="1">
        <f t="array" aca="1" ref="O42" ca="1">INDEX(_Diplom,$K$12,F42)</f>
        <v>nicht durchgeführt</v>
      </c>
      <c r="P42" s="345"/>
      <c r="Q42" s="345" t="str" cm="1">
        <f t="array" aca="1" ref="Q42" ca="1">INDEX(_Diplom,$K$12,G42)</f>
        <v/>
      </c>
      <c r="S42" s="335"/>
    </row>
    <row r="43" spans="1:20" ht="15.6" customHeight="1">
      <c r="A43" s="97"/>
      <c r="B43" s="91"/>
      <c r="H43" s="91"/>
      <c r="J43" s="91"/>
      <c r="M43" s="333"/>
      <c r="N43" s="345"/>
      <c r="O43" s="370"/>
      <c r="P43" s="370"/>
      <c r="Q43" s="370"/>
      <c r="S43" s="335"/>
    </row>
    <row r="44" spans="1:20" ht="15.6" customHeight="1">
      <c r="A44" s="97"/>
      <c r="B44" s="91"/>
      <c r="H44" s="91"/>
      <c r="J44" s="91"/>
      <c r="M44" s="333"/>
      <c r="N44" s="345"/>
      <c r="O44" s="370"/>
      <c r="P44" s="370"/>
      <c r="Q44" s="370"/>
      <c r="S44" s="335"/>
    </row>
    <row r="45" spans="1:20" ht="15.6" customHeight="1">
      <c r="A45" s="97"/>
      <c r="B45" s="91"/>
      <c r="H45" s="91"/>
      <c r="J45" s="91"/>
      <c r="M45" s="333"/>
      <c r="N45" s="345"/>
      <c r="O45" s="370"/>
      <c r="P45" s="370"/>
      <c r="Q45" s="370"/>
      <c r="S45" s="335"/>
    </row>
    <row r="46" spans="1:20" ht="3" customHeight="1">
      <c r="A46" s="97"/>
      <c r="B46" s="91"/>
      <c r="H46" s="91"/>
      <c r="L46" s="372"/>
      <c r="M46" s="373"/>
      <c r="N46" s="345"/>
      <c r="O46" s="370"/>
      <c r="P46" s="370"/>
      <c r="Q46" s="370"/>
      <c r="S46" s="335"/>
    </row>
    <row r="47" spans="1:20" ht="15.6" customHeight="1">
      <c r="A47" s="97"/>
      <c r="B47" s="91"/>
      <c r="H47" s="91"/>
      <c r="M47" s="333"/>
      <c r="S47" s="335"/>
    </row>
    <row r="48" spans="1:20" ht="4.1500000000000004" customHeight="1">
      <c r="A48" s="97"/>
      <c r="B48" s="91"/>
      <c r="H48" s="91"/>
      <c r="M48" s="333"/>
      <c r="N48" s="362"/>
      <c r="O48" s="362"/>
      <c r="P48" s="362"/>
      <c r="Q48" s="362"/>
      <c r="R48" s="345"/>
      <c r="S48" s="335"/>
    </row>
    <row r="49" spans="1:23" ht="15.6" customHeight="1">
      <c r="A49" s="97"/>
      <c r="B49" s="91"/>
      <c r="G49" s="91" t="s">
        <v>362</v>
      </c>
      <c r="H49" s="108" cm="1">
        <f t="array" aca="1" ref="H49" ca="1">INDEX(INDIRECT(G49),$K$12)</f>
        <v>6</v>
      </c>
      <c r="M49" s="333"/>
      <c r="N49" s="363" t="str">
        <f>Stammdaten!$BO$9</f>
        <v>BS.4   Spielen</v>
      </c>
      <c r="R49" s="345"/>
      <c r="S49" s="335"/>
    </row>
    <row r="50" spans="1:23" ht="3" customHeight="1">
      <c r="A50" s="97"/>
      <c r="B50" s="91"/>
      <c r="H50" s="91"/>
      <c r="M50" s="333"/>
      <c r="N50" s="363"/>
      <c r="R50" s="345"/>
      <c r="S50" s="335"/>
    </row>
    <row r="51" spans="1:23" ht="15.6" customHeight="1">
      <c r="A51" s="97"/>
      <c r="B51" s="91"/>
      <c r="H51" s="108">
        <f ca="1">IF(AND(O52=$A$1,O53=$A$1,O54=$A$1),1,"")</f>
        <v>1</v>
      </c>
      <c r="I51" s="365"/>
      <c r="M51" s="333"/>
      <c r="N51" s="345"/>
      <c r="O51" s="345"/>
      <c r="P51" s="345"/>
      <c r="Q51" s="366" t="str">
        <f>$Q$21</f>
        <v>Erreichter Wert</v>
      </c>
      <c r="S51" s="335"/>
      <c r="T51" s="91"/>
      <c r="U51" s="91"/>
    </row>
    <row r="52" spans="1:23" ht="15.6" customHeight="1">
      <c r="A52" s="97">
        <v>10</v>
      </c>
      <c r="B52" s="371">
        <f>B$21+(($A52-1)*$B$19)</f>
        <v>28</v>
      </c>
      <c r="C52" s="108">
        <f t="shared" ref="C52:D54" si="7">C$21+(($A52-1)*$B$19)</f>
        <v>29</v>
      </c>
      <c r="D52" s="108">
        <f t="shared" si="7"/>
        <v>30</v>
      </c>
      <c r="E52" s="108">
        <f t="shared" ref="E52:G54" ca="1" si="8">SMALL(_Spaltenindizes,B52)</f>
        <v>591</v>
      </c>
      <c r="F52" s="108">
        <f t="shared" ca="1" si="8"/>
        <v>592</v>
      </c>
      <c r="G52" s="108">
        <f t="shared" ca="1" si="8"/>
        <v>593</v>
      </c>
      <c r="H52" s="91"/>
      <c r="J52" s="91"/>
      <c r="M52" s="333"/>
      <c r="N52" s="345" t="str" cm="1">
        <f t="array" aca="1" ref="N52" ca="1">INDEX(_Diplom,$K$12,E52)</f>
        <v>Erste Spielsportart</v>
      </c>
      <c r="O52" s="345" t="str" cm="1">
        <f t="array" aca="1" ref="O52" ca="1">INDEX(_Diplom,$K$12,F52)</f>
        <v>nicht durchgeführt</v>
      </c>
      <c r="P52" s="345"/>
      <c r="Q52" s="345" t="str" cm="1">
        <f t="array" aca="1" ref="Q52" ca="1">INDEX(_Diplom,$K$12,G52)</f>
        <v/>
      </c>
      <c r="S52" s="335"/>
    </row>
    <row r="53" spans="1:23" ht="15.6" customHeight="1">
      <c r="A53" s="97">
        <v>11</v>
      </c>
      <c r="B53" s="371">
        <f t="shared" ref="B53:B54" si="9">B$21+(($A53-1)*$B$19)</f>
        <v>31</v>
      </c>
      <c r="C53" s="108">
        <f t="shared" si="7"/>
        <v>32</v>
      </c>
      <c r="D53" s="108">
        <f t="shared" si="7"/>
        <v>33</v>
      </c>
      <c r="E53" s="108">
        <f t="shared" ca="1" si="8"/>
        <v>603</v>
      </c>
      <c r="F53" s="108">
        <f t="shared" ca="1" si="8"/>
        <v>604</v>
      </c>
      <c r="G53" s="108">
        <f t="shared" ca="1" si="8"/>
        <v>605</v>
      </c>
      <c r="H53" s="91"/>
      <c r="J53" s="91"/>
      <c r="M53" s="333"/>
      <c r="N53" s="345" t="str" cm="1">
        <f t="array" aca="1" ref="N53" ca="1">INDEX(_Diplom,$K$12,E53)</f>
        <v>Zweite Spielsportart</v>
      </c>
      <c r="O53" s="345" t="str" cm="1">
        <f t="array" aca="1" ref="O53" ca="1">INDEX(_Diplom,$K$12,F53)</f>
        <v>nicht durchgeführt</v>
      </c>
      <c r="P53" s="345"/>
      <c r="Q53" s="345" t="str" cm="1">
        <f t="array" aca="1" ref="Q53" ca="1">INDEX(_Diplom,$K$12,G53)</f>
        <v/>
      </c>
      <c r="S53" s="335"/>
    </row>
    <row r="54" spans="1:23" ht="15.6" customHeight="1">
      <c r="A54" s="97">
        <v>12</v>
      </c>
      <c r="B54" s="371">
        <f t="shared" si="9"/>
        <v>34</v>
      </c>
      <c r="C54" s="108">
        <f t="shared" si="7"/>
        <v>35</v>
      </c>
      <c r="D54" s="108">
        <f t="shared" si="7"/>
        <v>36</v>
      </c>
      <c r="E54" s="108">
        <f t="shared" ca="1" si="8"/>
        <v>615</v>
      </c>
      <c r="F54" s="108">
        <f t="shared" ca="1" si="8"/>
        <v>616</v>
      </c>
      <c r="G54" s="108">
        <f t="shared" ca="1" si="8"/>
        <v>617</v>
      </c>
      <c r="H54" s="91"/>
      <c r="J54" s="91"/>
      <c r="M54" s="333"/>
      <c r="N54" s="345" t="str" cm="1">
        <f t="array" aca="1" ref="N54" ca="1">INDEX(_Diplom,$K$12,E54)</f>
        <v>Dritte Spielsportart</v>
      </c>
      <c r="O54" s="345" t="str" cm="1">
        <f t="array" aca="1" ref="O54" ca="1">INDEX(_Diplom,$K$12,F54)</f>
        <v>nicht durchgeführt</v>
      </c>
      <c r="P54" s="345"/>
      <c r="Q54" s="345" t="str" cm="1">
        <f t="array" aca="1" ref="Q54" ca="1">INDEX(_Diplom,$K$12,G54)</f>
        <v/>
      </c>
      <c r="S54" s="335"/>
    </row>
    <row r="55" spans="1:23" ht="15.6" customHeight="1">
      <c r="A55" s="91"/>
      <c r="B55" s="91"/>
      <c r="H55" s="91"/>
      <c r="J55" s="91"/>
      <c r="M55" s="333"/>
      <c r="N55" s="345"/>
      <c r="O55" s="370"/>
      <c r="P55" s="370"/>
      <c r="Q55" s="370"/>
      <c r="S55" s="335"/>
    </row>
    <row r="56" spans="1:23" ht="15.6" customHeight="1">
      <c r="A56" s="91"/>
      <c r="B56" s="91"/>
      <c r="H56" s="91"/>
      <c r="M56" s="333"/>
      <c r="S56" s="335"/>
    </row>
    <row r="57" spans="1:23" ht="15.6" customHeight="1">
      <c r="A57" s="91"/>
      <c r="B57" s="91"/>
      <c r="H57" s="91"/>
      <c r="M57" s="333"/>
      <c r="S57" s="335"/>
    </row>
    <row r="58" spans="1:23" ht="22.5">
      <c r="M58" s="333"/>
      <c r="N58" s="361" t="s">
        <v>303</v>
      </c>
      <c r="S58" s="335"/>
    </row>
    <row r="59" spans="1:23" ht="15.6" customHeight="1">
      <c r="J59" s="374" t="s">
        <v>310</v>
      </c>
      <c r="M59" s="333"/>
      <c r="S59" s="335"/>
    </row>
    <row r="60" spans="1:23" ht="15.6" customHeight="1">
      <c r="A60" s="95" t="str">
        <f>Stammdaten!$I$32</f>
        <v>Form_Beurt[Beurteilung]</v>
      </c>
      <c r="B60" s="91" t="str">
        <f>Stammdaten!$J$32</f>
        <v>Form_Beurt[Position]</v>
      </c>
      <c r="D60" s="211"/>
      <c r="E60" s="211"/>
      <c r="F60" s="95"/>
      <c r="G60" s="95"/>
      <c r="H60" s="276">
        <f ca="1">INDEX(INDIRECT($B$60),MATCH($N$60,INDIRECT($A$60),0))</f>
        <v>2</v>
      </c>
      <c r="I60" s="346"/>
      <c r="J60" s="374"/>
      <c r="K60" s="348"/>
      <c r="L60" s="348"/>
      <c r="M60" s="349"/>
      <c r="N60" s="375" t="s">
        <v>225</v>
      </c>
      <c r="R60" s="91"/>
      <c r="S60" s="335"/>
      <c r="T60" s="91"/>
      <c r="U60" s="91"/>
      <c r="V60" s="91"/>
      <c r="W60" s="91"/>
    </row>
    <row r="61" spans="1:23" ht="15.6" customHeight="1">
      <c r="C61" s="211"/>
      <c r="D61" s="211"/>
      <c r="E61" s="211"/>
      <c r="F61" s="211"/>
      <c r="G61" s="211"/>
      <c r="H61" s="302"/>
      <c r="I61" s="376"/>
      <c r="J61" s="377"/>
      <c r="K61" s="348"/>
      <c r="L61" s="348"/>
      <c r="M61" s="349"/>
      <c r="S61" s="335"/>
    </row>
    <row r="62" spans="1:23" ht="17.45" customHeight="1">
      <c r="J62" s="350" t="s">
        <v>311</v>
      </c>
      <c r="M62" s="333"/>
      <c r="N62" s="363" t="s">
        <v>218</v>
      </c>
      <c r="S62" s="335"/>
    </row>
    <row r="63" spans="1:23" ht="15.6" customHeight="1">
      <c r="J63" s="350"/>
      <c r="M63" s="333"/>
      <c r="N63" s="378"/>
      <c r="O63" s="378"/>
      <c r="P63" s="378"/>
      <c r="Q63" s="378"/>
      <c r="R63" s="379"/>
      <c r="S63" s="335"/>
      <c r="T63" s="91"/>
      <c r="W63" s="91"/>
    </row>
    <row r="64" spans="1:23" ht="15.6" customHeight="1">
      <c r="J64" s="350"/>
      <c r="M64" s="333"/>
      <c r="N64" s="378"/>
      <c r="O64" s="378"/>
      <c r="P64" s="378"/>
      <c r="Q64" s="378"/>
      <c r="R64" s="379"/>
      <c r="S64" s="335"/>
    </row>
    <row r="65" spans="10:20" ht="15.6" customHeight="1">
      <c r="J65" s="350"/>
      <c r="M65" s="333"/>
      <c r="N65" s="380"/>
      <c r="O65" s="380"/>
      <c r="P65" s="380"/>
      <c r="Q65" s="380"/>
      <c r="R65" s="379"/>
      <c r="S65" s="335"/>
      <c r="T65" s="91"/>
    </row>
    <row r="66" spans="10:20" ht="15.6" customHeight="1">
      <c r="J66" s="350"/>
      <c r="M66" s="333"/>
      <c r="N66" s="381"/>
      <c r="O66" s="381"/>
      <c r="P66" s="381"/>
      <c r="Q66" s="381"/>
      <c r="R66" s="379"/>
      <c r="S66" s="335"/>
      <c r="T66" s="91"/>
    </row>
    <row r="67" spans="10:20" ht="3" customHeight="1">
      <c r="J67" s="382"/>
      <c r="M67" s="333"/>
      <c r="N67" s="383"/>
      <c r="O67" s="383"/>
      <c r="P67" s="383"/>
      <c r="Q67" s="383"/>
      <c r="R67" s="383"/>
      <c r="S67" s="335"/>
      <c r="T67" s="91"/>
    </row>
    <row r="68" spans="10:20" ht="15.6" customHeight="1">
      <c r="J68" s="332" t="s">
        <v>412</v>
      </c>
      <c r="M68" s="333"/>
      <c r="N68" s="384">
        <f ca="1">TODAY()</f>
        <v>46251</v>
      </c>
      <c r="S68" s="335"/>
    </row>
    <row r="69" spans="10:20" ht="15.6" customHeight="1">
      <c r="J69" s="332"/>
      <c r="M69" s="333"/>
      <c r="N69" s="379"/>
      <c r="O69" s="379"/>
      <c r="S69" s="335"/>
    </row>
    <row r="70" spans="10:20" ht="15.6" customHeight="1">
      <c r="J70" s="332"/>
      <c r="M70" s="333"/>
      <c r="N70" s="379"/>
      <c r="O70" s="379"/>
      <c r="S70" s="335"/>
    </row>
    <row r="71" spans="10:20" ht="15.6" customHeight="1">
      <c r="J71" s="332"/>
      <c r="M71" s="333"/>
      <c r="N71" s="385"/>
      <c r="O71" s="385"/>
      <c r="S71" s="335"/>
      <c r="T71" s="91"/>
    </row>
    <row r="72" spans="10:20" ht="7.15" customHeight="1">
      <c r="J72" s="332"/>
      <c r="M72" s="333"/>
      <c r="S72" s="335"/>
      <c r="T72" s="91"/>
    </row>
    <row r="73" spans="10:20" ht="15.6" customHeight="1">
      <c r="J73" s="332"/>
      <c r="M73" s="333"/>
      <c r="N73" s="345" t="str">
        <f>Resultatmappe!E17&amp;" "&amp;Resultatmappe!C17</f>
        <v xml:space="preserve"> </v>
      </c>
      <c r="R73" s="386" t="str">
        <f>MID(Resultatmappe!B58,10,3)</f>
        <v>4.0</v>
      </c>
      <c r="S73" s="335"/>
      <c r="T73" s="91"/>
    </row>
    <row r="74" spans="10:20" ht="15.6" customHeight="1" thickBot="1">
      <c r="J74" s="332"/>
      <c r="M74" s="387"/>
      <c r="N74" s="388"/>
      <c r="O74" s="388"/>
      <c r="P74" s="388"/>
      <c r="Q74" s="388"/>
      <c r="R74" s="388"/>
      <c r="S74" s="389"/>
      <c r="T74" s="91"/>
    </row>
    <row r="75" spans="10:20" ht="6.6" customHeight="1" thickTop="1">
      <c r="J75" s="332"/>
    </row>
    <row r="76" spans="10:20" ht="72" customHeight="1">
      <c r="J76" s="332"/>
      <c r="N76" s="390" t="s">
        <v>308</v>
      </c>
      <c r="Q76" s="332" t="s">
        <v>307</v>
      </c>
      <c r="R76" s="332"/>
    </row>
    <row r="77" spans="10:20" ht="15.6" customHeight="1">
      <c r="J77" s="390"/>
      <c r="N77" s="390"/>
      <c r="Q77" s="390"/>
      <c r="R77" s="390"/>
    </row>
    <row r="78" spans="10:20" hidden="1">
      <c r="N78" s="391"/>
    </row>
    <row r="79" spans="10:20" hidden="1">
      <c r="N79" s="391"/>
    </row>
    <row r="80" spans="10:20" hidden="1">
      <c r="N80" s="391"/>
    </row>
    <row r="81" spans="14:14" hidden="1">
      <c r="N81" s="391"/>
    </row>
  </sheetData>
  <sheetProtection algorithmName="SHA-512" hashValue="0v2VRWmLXG44lsIdRy3o4A/nfVA0y3AtSKGOJx3ORJbO4jB2r60rzkHFGkNEJHHegk0iEKvQgJuz4tgyRYujCQ==" saltValue="mItVnGb/rf8RA+68Qtb5Yw==" spinCount="100000" sheet="1" objects="1" scenarios="1" selectLockedCells="1"/>
  <mergeCells count="15">
    <mergeCell ref="J1:J2"/>
    <mergeCell ref="J68:J76"/>
    <mergeCell ref="Q76:R76"/>
    <mergeCell ref="J12:J15"/>
    <mergeCell ref="J59:J60"/>
    <mergeCell ref="N9:O9"/>
    <mergeCell ref="N3:O3"/>
    <mergeCell ref="N63:Q65"/>
    <mergeCell ref="J62:J66"/>
    <mergeCell ref="P12:R12"/>
    <mergeCell ref="N12:O12"/>
    <mergeCell ref="N7:R7"/>
    <mergeCell ref="N4:O4"/>
    <mergeCell ref="P9:Q9"/>
    <mergeCell ref="J3:J7"/>
  </mergeCells>
  <conditionalFormatting sqref="N3:N4">
    <cfRule type="expression" dxfId="464" priority="1">
      <formula>IF($H$2=2,1)</formula>
    </cfRule>
  </conditionalFormatting>
  <conditionalFormatting sqref="N22:N25 N32:N35 N42 N52:N54">
    <cfRule type="expression" dxfId="463" priority="7">
      <formula>IF($O22=$A$1,1)</formula>
    </cfRule>
  </conditionalFormatting>
  <conditionalFormatting sqref="N60">
    <cfRule type="beginsWith" dxfId="462" priority="19" operator="beginsWith" text="Niveau">
      <formula>LEFT(N60,LEN("Niveau"))="Niveau"</formula>
    </cfRule>
  </conditionalFormatting>
  <conditionalFormatting sqref="O32:O35 O42 O52:O54">
    <cfRule type="beginsWith" dxfId="460" priority="18" operator="beginsWith" text="max.">
      <formula>LEFT(O32,LEN("max."))="max."</formula>
    </cfRule>
  </conditionalFormatting>
  <conditionalFormatting sqref="Q21">
    <cfRule type="expression" dxfId="459" priority="20">
      <formula>IF($H$21=1,1)</formula>
    </cfRule>
  </conditionalFormatting>
  <conditionalFormatting sqref="Q31">
    <cfRule type="expression" dxfId="457" priority="21">
      <formula>IF($H$31=1,1)</formula>
    </cfRule>
  </conditionalFormatting>
  <conditionalFormatting sqref="Q41">
    <cfRule type="expression" dxfId="456" priority="23">
      <formula>IF($H$41=1,1)</formula>
    </cfRule>
  </conditionalFormatting>
  <conditionalFormatting sqref="Q51">
    <cfRule type="expression" dxfId="455" priority="674">
      <formula>IF($H$51=1,1)</formula>
    </cfRule>
  </conditionalFormatting>
  <dataValidations count="3">
    <dataValidation type="list" allowBlank="1" showInputMessage="1" showErrorMessage="1" sqref="P9:Q9" xr:uid="{00000000-0002-0000-0100-000001000000}">
      <formula1>INDIRECT($A$9)</formula1>
    </dataValidation>
    <dataValidation type="list" allowBlank="1" showInputMessage="1" showErrorMessage="1" sqref="K12" xr:uid="{00000000-0002-0000-0100-000002000000}">
      <formula1>INDIRECT($B$12)</formula1>
    </dataValidation>
    <dataValidation type="list" allowBlank="1" showInputMessage="1" showErrorMessage="1" sqref="N60" xr:uid="{2AC05751-6CD3-4FA9-A09D-7684544AE64D}">
      <formula1>INDIRECT($A$60)</formula1>
    </dataValidation>
  </dataValidation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5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2" operator="beginsWith" id="{F5FA16AC-0E16-47E4-891B-3459E7D9CDC1}">
            <xm:f>LEFT(O22,LEN($A$1))=$A$1</xm:f>
            <xm:f>$A$1</xm:f>
            <x14:dxf>
              <font>
                <strike val="0"/>
                <color theme="2" tint="-0.24994659260841701"/>
              </font>
            </x14:dxf>
          </x14:cfRule>
          <xm:sqref>O22:O25 O32:O35 O42 O52:O54</xm:sqref>
        </x14:conditionalFormatting>
        <x14:conditionalFormatting xmlns:xm="http://schemas.microsoft.com/office/excel/2006/main">
          <x14:cfRule type="containsText" priority="1548" operator="containsText" id="{28243214-BEB7-4B4C-B7FD-A0A760F98547}">
            <xm:f>NOT(ISERROR(SEARCH(Stammdaten!$CC$3,Q22)))</xm:f>
            <xm:f>Stammdaten!$CC$3</xm:f>
            <x14:dxf>
              <font>
                <strike val="0"/>
                <color rgb="FF6C6C6C"/>
              </font>
            </x14:dxf>
          </x14:cfRule>
          <xm:sqref>Q22:Q25 Q32:Q35 Q42 Q52:Q54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5"/>
  <dimension ref="A1:F11"/>
  <sheetViews>
    <sheetView showGridLines="0" showRowColHeaders="0" zoomScaleNormal="100" workbookViewId="0"/>
  </sheetViews>
  <sheetFormatPr baseColWidth="10" defaultColWidth="0" defaultRowHeight="15" zeroHeight="1"/>
  <cols>
    <col min="1" max="1" width="55.28515625" customWidth="1"/>
    <col min="2" max="2" width="0.5703125" customWidth="1"/>
    <col min="3" max="3" width="1.28515625" customWidth="1"/>
    <col min="4" max="4" width="5.42578125" customWidth="1"/>
    <col min="5" max="5" width="61.7109375" customWidth="1"/>
    <col min="6" max="6" width="5.42578125" customWidth="1"/>
    <col min="7" max="16384" width="11.5703125" hidden="1"/>
  </cols>
  <sheetData>
    <row r="1" spans="1:5" ht="46.9" customHeight="1">
      <c r="A1" s="48"/>
      <c r="C1" s="87"/>
      <c r="E1" s="89" t="s">
        <v>313</v>
      </c>
    </row>
    <row r="2" spans="1:5" ht="3" customHeight="1">
      <c r="C2" s="87"/>
      <c r="E2" s="89"/>
    </row>
    <row r="3" spans="1:5" ht="6.6" customHeight="1">
      <c r="A3" s="87"/>
      <c r="B3" s="87"/>
      <c r="C3" s="87"/>
      <c r="E3" s="89"/>
    </row>
    <row r="4" spans="1:5" ht="3" customHeight="1">
      <c r="E4" s="89"/>
    </row>
    <row r="5" spans="1:5" ht="161.1" customHeight="1">
      <c r="A5" s="48"/>
      <c r="E5" s="89"/>
    </row>
    <row r="6" spans="1:5" ht="6.6" customHeight="1"/>
    <row r="11" spans="1:5" hidden="1">
      <c r="A11" s="88"/>
    </row>
  </sheetData>
  <sheetProtection selectLockedCells="1"/>
  <protectedRanges>
    <protectedRange sqref="A1" name="Bereich1"/>
  </protectedRanges>
  <mergeCells count="1">
    <mergeCell ref="E1:E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B1:Z506"/>
  <sheetViews>
    <sheetView zoomScale="85" zoomScaleNormal="85" workbookViewId="0"/>
  </sheetViews>
  <sheetFormatPr baseColWidth="10" defaultRowHeight="15"/>
  <cols>
    <col min="1" max="1" width="4.140625" customWidth="1"/>
    <col min="4" max="4" width="2.7109375" customWidth="1"/>
    <col min="5" max="5" width="14.7109375" customWidth="1"/>
    <col min="6" max="7" width="13.7109375" customWidth="1"/>
    <col min="9" max="9" width="2.7109375" customWidth="1"/>
    <col min="10" max="12" width="13.7109375" customWidth="1"/>
    <col min="14" max="14" width="2.7109375" customWidth="1"/>
    <col min="15" max="17" width="13.7109375" customWidth="1"/>
    <col min="19" max="19" width="2.7109375" customWidth="1"/>
    <col min="20" max="22" width="13.7109375" customWidth="1"/>
    <col min="24" max="24" width="2.7109375" customWidth="1"/>
    <col min="25" max="25" width="17" customWidth="1"/>
  </cols>
  <sheetData>
    <row r="1" spans="2:26">
      <c r="C1" t="str">
        <f>Stammdaten!$I$24</f>
        <v>Medaillen[Medaille]</v>
      </c>
      <c r="H1" t="str">
        <f>Stammdaten!$J$24</f>
        <v>Medaillen[Position]</v>
      </c>
    </row>
    <row r="2" spans="2:26">
      <c r="B2" t="s">
        <v>371</v>
      </c>
      <c r="E2" t="s">
        <v>356</v>
      </c>
      <c r="F2" t="str">
        <f ca="1">Stammdaten!$AZ$3</f>
        <v>,</v>
      </c>
      <c r="J2" t="s">
        <v>357</v>
      </c>
      <c r="K2" t="str">
        <f ca="1">Stammdaten!$AZ$3</f>
        <v>,</v>
      </c>
      <c r="O2" t="s">
        <v>358</v>
      </c>
      <c r="P2" t="str">
        <f ca="1">Stammdaten!$AZ$3</f>
        <v>,</v>
      </c>
      <c r="T2" t="s">
        <v>359</v>
      </c>
      <c r="U2" t="str">
        <f ca="1">Stammdaten!$AZ$3</f>
        <v>,</v>
      </c>
    </row>
    <row r="3" spans="2:26">
      <c r="B3" t="str" cm="1">
        <f t="array" ref="B3:C3">$B$2&amp;"["&amp;AuswDipl0[#Headers]&amp;"]"</f>
        <v>AuswDipl0[BS_0]</v>
      </c>
      <c r="C3" t="str">
        <v>AuswDipl0[Medaille]</v>
      </c>
      <c r="E3" t="str" cm="1">
        <f t="array" ref="E3:H3">$E$2&amp;"["&amp;AuswDipl1[#Headers]&amp;"]"</f>
        <v>AuswDipl1[BS_1]</v>
      </c>
      <c r="F3" t="str">
        <v>AuswDipl1[BS_11]</v>
      </c>
      <c r="G3" t="str">
        <v>AuswDipl1[Medaille]</v>
      </c>
      <c r="H3" t="str">
        <v>AuswDipl1[Position]</v>
      </c>
      <c r="J3" t="str" cm="1">
        <f t="array" ref="J3:M3">$J$2&amp;"["&amp;AuswDipl2[#Headers]&amp;"]"</f>
        <v>AuswDipl2[BS_2]</v>
      </c>
      <c r="K3" t="str">
        <v>AuswDipl2[BS_21]</v>
      </c>
      <c r="L3" t="str">
        <v>AuswDipl2[Medaille]</v>
      </c>
      <c r="M3" t="str">
        <v>AuswDipl2[Position]</v>
      </c>
      <c r="O3" t="str" cm="1">
        <f t="array" ref="O3:R3">$O$2&amp;"["&amp;AuswDipl3[#Headers]&amp;"]"</f>
        <v>AuswDipl3[BS_3]</v>
      </c>
      <c r="P3" t="str">
        <v>AuswDipl3[BS_31]</v>
      </c>
      <c r="Q3" t="str">
        <v>AuswDipl3[Medaille]</v>
      </c>
      <c r="R3" t="str">
        <v>AuswDipl3[Position]</v>
      </c>
      <c r="T3" t="str" cm="1">
        <f t="array" ref="T3:W3">$T$2&amp;"["&amp;AuswDipl4[#Headers]&amp;"]"</f>
        <v>AuswDipl4[BS_4]</v>
      </c>
      <c r="U3" t="str">
        <v>AuswDipl4[BS_41]</v>
      </c>
      <c r="V3" t="str">
        <v>AuswDipl4[Medaille]</v>
      </c>
      <c r="W3" t="str">
        <v>AuswDipl4[Position]</v>
      </c>
    </row>
    <row r="4" spans="2:26">
      <c r="B4" s="43" t="s">
        <v>372</v>
      </c>
      <c r="C4" t="s">
        <v>219</v>
      </c>
      <c r="E4" t="s">
        <v>228</v>
      </c>
      <c r="F4" t="s">
        <v>285</v>
      </c>
      <c r="G4" t="s">
        <v>219</v>
      </c>
      <c r="H4" t="s">
        <v>293</v>
      </c>
      <c r="J4" t="s">
        <v>229</v>
      </c>
      <c r="K4" t="s">
        <v>286</v>
      </c>
      <c r="L4" t="s">
        <v>219</v>
      </c>
      <c r="M4" t="s">
        <v>293</v>
      </c>
      <c r="O4" t="s">
        <v>230</v>
      </c>
      <c r="P4" t="s">
        <v>403</v>
      </c>
      <c r="Q4" t="s">
        <v>219</v>
      </c>
      <c r="R4" t="s">
        <v>293</v>
      </c>
      <c r="T4" t="s">
        <v>231</v>
      </c>
      <c r="U4" t="s">
        <v>287</v>
      </c>
      <c r="V4" t="s">
        <v>219</v>
      </c>
      <c r="W4" t="s">
        <v>293</v>
      </c>
      <c r="Y4" s="41" t="s">
        <v>233</v>
      </c>
      <c r="Z4" s="10"/>
    </row>
    <row r="5" spans="2:26">
      <c r="B5" s="45" t="str">
        <f>Stammdaten!$BZ$3</f>
        <v>Dispensiert</v>
      </c>
      <c r="C5" t="s">
        <v>104</v>
      </c>
      <c r="E5" s="2" t="str">
        <f>Stammdaten!$BZ$3</f>
        <v>Dispensiert</v>
      </c>
      <c r="F5" s="3" t="str">
        <f ca="1">TEXT(AuswDipl1[[#This Row],[BS_1]],"#"&amp;F$2&amp;"0")</f>
        <v>Dispensiert</v>
      </c>
      <c r="G5" t="str">
        <f ca="1">INDEX(INDIRECT($C$3),MATCH(AuswDipl1[[#This Row],[BS_1]],INDIRECT($B$3),0))</f>
        <v>Dispensiert</v>
      </c>
      <c r="H5" s="13">
        <f ca="1">INDEX(INDIRECT($H$1),MATCH(AuswDipl1[[#This Row],[Medaille]],INDIRECT($C$1),0))</f>
        <v>5</v>
      </c>
      <c r="J5" s="2" t="str">
        <f>Stammdaten!$BZ$3</f>
        <v>Dispensiert</v>
      </c>
      <c r="K5" s="2" t="str">
        <f ca="1">TEXT(AuswDipl2[[#This Row],[BS_2]],"#"&amp;F$2&amp;"0")</f>
        <v>Dispensiert</v>
      </c>
      <c r="L5" t="str">
        <f ca="1">INDEX(INDIRECT($C$3),MATCH(AuswDipl2[[#This Row],[BS_2]],INDIRECT($B$3),0))</f>
        <v>Dispensiert</v>
      </c>
      <c r="M5" s="13">
        <f ca="1">INDEX(INDIRECT($H$1),MATCH(AuswDipl2[[#This Row],[Medaille]],INDIRECT($C$1),0))</f>
        <v>5</v>
      </c>
      <c r="O5" s="2" t="str">
        <f>Stammdaten!$BZ$3</f>
        <v>Dispensiert</v>
      </c>
      <c r="P5" s="2" t="str">
        <f ca="1">TEXT(AuswDipl3[[#This Row],[BS_3]],"#"&amp;F$2&amp;"00")</f>
        <v>Dispensiert</v>
      </c>
      <c r="Q5" t="str">
        <f ca="1">INDEX(INDIRECT($C$3),MATCH(AuswDipl3[[#This Row],[BS_3]],INDIRECT($B$3),0))</f>
        <v>Dispensiert</v>
      </c>
      <c r="R5" s="13">
        <f ca="1">INDEX(INDIRECT($H$1),MATCH(AuswDipl3[[#This Row],[Medaille]],INDIRECT($C$1),0))</f>
        <v>5</v>
      </c>
      <c r="T5" s="3" t="str">
        <f>Stammdaten!$BZ$3</f>
        <v>Dispensiert</v>
      </c>
      <c r="U5" s="3" t="str">
        <f ca="1">TEXT(AuswDipl4[[#This Row],[BS_4]],"#"&amp;F$2&amp;"0")</f>
        <v>Dispensiert</v>
      </c>
      <c r="V5" t="str">
        <f ca="1">INDEX(INDIRECT($C$3),MATCH(AuswDipl4[[#This Row],[BS_4]],INDIRECT($B$3),0))</f>
        <v>Dispensiert</v>
      </c>
      <c r="W5" s="13">
        <f ca="1">INDEX(INDIRECT($H$1),MATCH(AuswDipl4[[#This Row],[Medaille]],INDIRECT($C$1),0))</f>
        <v>5</v>
      </c>
      <c r="Y5" s="10" t="s">
        <v>232</v>
      </c>
      <c r="Z5" s="10" t="s">
        <v>34</v>
      </c>
    </row>
    <row r="6" spans="2:26">
      <c r="B6" s="44">
        <v>1</v>
      </c>
      <c r="E6" s="2">
        <v>1</v>
      </c>
      <c r="F6" s="2" t="str">
        <f ca="1">TEXT(AuswDipl1[[#This Row],[BS_1]],"#"&amp;F$2&amp;"0")</f>
        <v>1,0</v>
      </c>
      <c r="H6" s="76">
        <v>6</v>
      </c>
      <c r="J6" s="2">
        <v>1</v>
      </c>
      <c r="K6" s="2" t="str">
        <f ca="1">TEXT(AuswDipl2[[#This Row],[BS_2]],"#"&amp;F$2&amp;"0")</f>
        <v>1,0</v>
      </c>
      <c r="M6" s="76">
        <v>6</v>
      </c>
      <c r="O6" s="27">
        <v>1</v>
      </c>
      <c r="P6" s="27" t="str">
        <f ca="1">TEXT(AuswDipl3[[#This Row],[BS_3]],"#"&amp;F$2&amp;"00")</f>
        <v>1,00</v>
      </c>
      <c r="R6" s="76">
        <v>6</v>
      </c>
      <c r="T6" s="2">
        <v>1</v>
      </c>
      <c r="U6" s="2" t="str">
        <f ca="1">TEXT(AuswDipl4[[#This Row],[BS_4]],"#"&amp;F$2&amp;"0")</f>
        <v>1,0</v>
      </c>
      <c r="W6" s="76">
        <v>6</v>
      </c>
      <c r="Y6" s="10" t="s">
        <v>290</v>
      </c>
      <c r="Z6" s="10" t="s">
        <v>85</v>
      </c>
    </row>
    <row r="7" spans="2:26">
      <c r="B7" s="45">
        <v>1.01</v>
      </c>
      <c r="C7" t="s">
        <v>85</v>
      </c>
      <c r="E7" s="2">
        <v>1.1000000000000001</v>
      </c>
      <c r="F7" s="2" t="str">
        <f ca="1">TEXT(AuswDipl1[[#This Row],[BS_1]],"#"&amp;F$2&amp;"0")</f>
        <v>1,1</v>
      </c>
      <c r="G7" t="str">
        <f ca="1">INDEX(INDIRECT($C$3),MATCH(AuswDipl1[[#This Row],[BS_1]],INDIRECT($B$3),0))</f>
        <v>Absolviert</v>
      </c>
      <c r="H7" s="13">
        <f ca="1">INDEX(INDIRECT($H$1),MATCH(AuswDipl1[[#This Row],[Medaille]],INDIRECT($C$1),0))</f>
        <v>4</v>
      </c>
      <c r="J7" s="2">
        <v>1.1000000000000001</v>
      </c>
      <c r="K7" s="2" t="str">
        <f ca="1">TEXT(AuswDipl2[[#This Row],[BS_2]],"#"&amp;F$2&amp;"0")</f>
        <v>1,1</v>
      </c>
      <c r="L7" t="str">
        <f ca="1">INDEX(INDIRECT($C$3),MATCH(AuswDipl2[[#This Row],[BS_2]],INDIRECT($B$3),0))</f>
        <v>Absolviert</v>
      </c>
      <c r="M7" s="13">
        <f ca="1">INDEX(INDIRECT($H$1),MATCH(AuswDipl2[[#This Row],[Medaille]],INDIRECT($C$1),0))</f>
        <v>4</v>
      </c>
      <c r="O7" s="27">
        <v>1.25</v>
      </c>
      <c r="P7" s="27" t="str">
        <f ca="1">TEXT(AuswDipl3[[#This Row],[BS_3]],"#"&amp;F$2&amp;"00")</f>
        <v>1,25</v>
      </c>
      <c r="Q7" t="str">
        <f ca="1">INDEX(INDIRECT($C$3),MATCH(AuswDipl3[[#This Row],[BS_3]],INDIRECT($B$3),0))</f>
        <v>Absolviert</v>
      </c>
      <c r="R7" s="13">
        <f ca="1">INDEX(INDIRECT($H$1),MATCH(AuswDipl3[[#This Row],[Medaille]],INDIRECT($C$1),0))</f>
        <v>4</v>
      </c>
      <c r="T7" s="2">
        <v>1.1000000000000001</v>
      </c>
      <c r="U7" s="2" t="str">
        <f ca="1">TEXT(AuswDipl4[[#This Row],[BS_4]],"#"&amp;F$2&amp;"0")</f>
        <v>1,1</v>
      </c>
      <c r="V7" t="str">
        <f ca="1">INDEX(INDIRECT($C$3),MATCH(AuswDipl4[[#This Row],[BS_4]],INDIRECT($B$3),0))</f>
        <v>Absolviert</v>
      </c>
      <c r="W7" s="13">
        <f ca="1">INDEX(INDIRECT($H$1),MATCH(AuswDipl4[[#This Row],[Medaille]],INDIRECT($C$1),0))</f>
        <v>4</v>
      </c>
      <c r="Y7" s="10" t="s">
        <v>288</v>
      </c>
      <c r="Z7" s="10" t="s">
        <v>222</v>
      </c>
    </row>
    <row r="8" spans="2:26">
      <c r="B8" s="44">
        <v>1.02</v>
      </c>
      <c r="C8" t="s">
        <v>85</v>
      </c>
      <c r="E8" s="2">
        <v>1.2</v>
      </c>
      <c r="F8" s="2" t="str">
        <f ca="1">TEXT(AuswDipl1[[#This Row],[BS_1]],"#"&amp;F$2&amp;"0")</f>
        <v>1,2</v>
      </c>
      <c r="G8" t="str">
        <f ca="1">INDEX(INDIRECT($C$3),MATCH(AuswDipl1[[#This Row],[BS_1]],INDIRECT($B$3),0))</f>
        <v>Absolviert</v>
      </c>
      <c r="H8" s="13">
        <f ca="1">INDEX(INDIRECT($H$1),MATCH(AuswDipl1[[#This Row],[Medaille]],INDIRECT($C$1),0))</f>
        <v>4</v>
      </c>
      <c r="J8" s="2">
        <v>1.2</v>
      </c>
      <c r="K8" s="2" t="str">
        <f ca="1">TEXT(AuswDipl2[[#This Row],[BS_2]],"#"&amp;F$2&amp;"0")</f>
        <v>1,2</v>
      </c>
      <c r="L8" t="str">
        <f ca="1">INDEX(INDIRECT($C$3),MATCH(AuswDipl2[[#This Row],[BS_2]],INDIRECT($B$3),0))</f>
        <v>Absolviert</v>
      </c>
      <c r="M8" s="13">
        <f ca="1">INDEX(INDIRECT($H$1),MATCH(AuswDipl2[[#This Row],[Medaille]],INDIRECT($C$1),0))</f>
        <v>4</v>
      </c>
      <c r="O8" s="27">
        <v>1.5</v>
      </c>
      <c r="P8" s="27" t="str">
        <f ca="1">TEXT(AuswDipl3[[#This Row],[BS_3]],"#"&amp;F$2&amp;"00")</f>
        <v>1,50</v>
      </c>
      <c r="Q8" t="str">
        <f ca="1">INDEX(INDIRECT($C$3),MATCH(AuswDipl3[[#This Row],[BS_3]],INDIRECT($B$3),0))</f>
        <v>Absolviert</v>
      </c>
      <c r="R8" s="13">
        <f ca="1">INDEX(INDIRECT($H$1),MATCH(AuswDipl3[[#This Row],[Medaille]],INDIRECT($C$1),0))</f>
        <v>4</v>
      </c>
      <c r="T8" s="2">
        <v>1.2</v>
      </c>
      <c r="U8" s="2" t="str">
        <f ca="1">TEXT(AuswDipl4[[#This Row],[BS_4]],"#"&amp;F$2&amp;"0")</f>
        <v>1,2</v>
      </c>
      <c r="V8" t="str">
        <f ca="1">INDEX(INDIRECT($C$3),MATCH(AuswDipl4[[#This Row],[BS_4]],INDIRECT($B$3),0))</f>
        <v>Absolviert</v>
      </c>
      <c r="W8" s="13">
        <f ca="1">INDEX(INDIRECT($H$1),MATCH(AuswDipl4[[#This Row],[Medaille]],INDIRECT($C$1),0))</f>
        <v>4</v>
      </c>
      <c r="Y8" s="10" t="s">
        <v>289</v>
      </c>
      <c r="Z8" s="10" t="s">
        <v>221</v>
      </c>
    </row>
    <row r="9" spans="2:26">
      <c r="B9" s="45">
        <v>1.03</v>
      </c>
      <c r="C9" t="s">
        <v>85</v>
      </c>
      <c r="E9" s="2">
        <v>1.3</v>
      </c>
      <c r="F9" s="2" t="str">
        <f ca="1">TEXT(AuswDipl1[[#This Row],[BS_1]],"#"&amp;F$2&amp;"0")</f>
        <v>1,3</v>
      </c>
      <c r="G9" t="str">
        <f ca="1">INDEX(INDIRECT($C$3),MATCH(AuswDipl1[[#This Row],[BS_1]],INDIRECT($B$3),0))</f>
        <v>Absolviert</v>
      </c>
      <c r="H9" s="13">
        <f ca="1">INDEX(INDIRECT($H$1),MATCH(AuswDipl1[[#This Row],[Medaille]],INDIRECT($C$1),0))</f>
        <v>4</v>
      </c>
      <c r="J9" s="2">
        <v>1.3</v>
      </c>
      <c r="K9" s="2" t="str">
        <f ca="1">TEXT(AuswDipl2[[#This Row],[BS_2]],"#"&amp;F$2&amp;"0")</f>
        <v>1,3</v>
      </c>
      <c r="L9" t="str">
        <f ca="1">INDEX(INDIRECT($C$3),MATCH(AuswDipl2[[#This Row],[BS_2]],INDIRECT($B$3),0))</f>
        <v>Absolviert</v>
      </c>
      <c r="M9" s="13">
        <f ca="1">INDEX(INDIRECT($H$1),MATCH(AuswDipl2[[#This Row],[Medaille]],INDIRECT($C$1),0))</f>
        <v>4</v>
      </c>
      <c r="O9" s="27">
        <v>1.75</v>
      </c>
      <c r="P9" s="27" t="str">
        <f ca="1">TEXT(AuswDipl3[[#This Row],[BS_3]],"#"&amp;F$2&amp;"00")</f>
        <v>1,75</v>
      </c>
      <c r="Q9" t="str">
        <f ca="1">INDEX(INDIRECT($C$3),MATCH(AuswDipl3[[#This Row],[BS_3]],INDIRECT($B$3),0))</f>
        <v>Absolviert</v>
      </c>
      <c r="R9" s="13">
        <f ca="1">INDEX(INDIRECT($H$1),MATCH(AuswDipl3[[#This Row],[Medaille]],INDIRECT($C$1),0))</f>
        <v>4</v>
      </c>
      <c r="T9" s="2">
        <v>1.3</v>
      </c>
      <c r="U9" s="2" t="str">
        <f ca="1">TEXT(AuswDipl4[[#This Row],[BS_4]],"#"&amp;F$2&amp;"0")</f>
        <v>1,3</v>
      </c>
      <c r="V9" t="str">
        <f ca="1">INDEX(INDIRECT($C$3),MATCH(AuswDipl4[[#This Row],[BS_4]],INDIRECT($B$3),0))</f>
        <v>Absolviert</v>
      </c>
      <c r="W9" s="13">
        <f ca="1">INDEX(INDIRECT($H$1),MATCH(AuswDipl4[[#This Row],[Medaille]],INDIRECT($C$1),0))</f>
        <v>4</v>
      </c>
      <c r="Y9" s="10" t="s">
        <v>291</v>
      </c>
      <c r="Z9" s="10" t="s">
        <v>220</v>
      </c>
    </row>
    <row r="10" spans="2:26">
      <c r="B10" s="44">
        <v>1.04</v>
      </c>
      <c r="C10" t="s">
        <v>85</v>
      </c>
      <c r="E10" s="2">
        <v>1.4</v>
      </c>
      <c r="F10" s="2" t="str">
        <f ca="1">TEXT(AuswDipl1[[#This Row],[BS_1]],"#"&amp;F$2&amp;"0")</f>
        <v>1,4</v>
      </c>
      <c r="G10" t="str">
        <f ca="1">INDEX(INDIRECT($C$3),MATCH(AuswDipl1[[#This Row],[BS_1]],INDIRECT($B$3),0))</f>
        <v>Absolviert</v>
      </c>
      <c r="H10" s="13">
        <f ca="1">INDEX(INDIRECT($H$1),MATCH(AuswDipl1[[#This Row],[Medaille]],INDIRECT($C$1),0))</f>
        <v>4</v>
      </c>
      <c r="J10" s="2">
        <v>1.4</v>
      </c>
      <c r="K10" s="2" t="str">
        <f ca="1">TEXT(AuswDipl2[[#This Row],[BS_2]],"#"&amp;F$2&amp;"0")</f>
        <v>1,4</v>
      </c>
      <c r="L10" t="str">
        <f ca="1">INDEX(INDIRECT($C$3),MATCH(AuswDipl2[[#This Row],[BS_2]],INDIRECT($B$3),0))</f>
        <v>Absolviert</v>
      </c>
      <c r="M10" s="13">
        <f ca="1">INDEX(INDIRECT($H$1),MATCH(AuswDipl2[[#This Row],[Medaille]],INDIRECT($C$1),0))</f>
        <v>4</v>
      </c>
      <c r="O10" s="27">
        <v>2</v>
      </c>
      <c r="P10" s="27" t="str">
        <f ca="1">TEXT(AuswDipl3[[#This Row],[BS_3]],"#"&amp;F$2&amp;"00")</f>
        <v>2,00</v>
      </c>
      <c r="Q10" t="str">
        <f ca="1">INDEX(INDIRECT($C$3),MATCH(AuswDipl3[[#This Row],[BS_3]],INDIRECT($B$3),0))</f>
        <v>Absolviert</v>
      </c>
      <c r="R10" s="13">
        <f ca="1">INDEX(INDIRECT($H$1),MATCH(AuswDipl3[[#This Row],[Medaille]],INDIRECT($C$1),0))</f>
        <v>4</v>
      </c>
      <c r="T10" s="2">
        <v>1.4</v>
      </c>
      <c r="U10" s="2" t="str">
        <f ca="1">TEXT(AuswDipl4[[#This Row],[BS_4]],"#"&amp;F$2&amp;"0")</f>
        <v>1,4</v>
      </c>
      <c r="V10" t="str">
        <f ca="1">INDEX(INDIRECT($C$3),MATCH(AuswDipl4[[#This Row],[BS_4]],INDIRECT($B$3),0))</f>
        <v>Absolviert</v>
      </c>
      <c r="W10" s="13">
        <f ca="1">INDEX(INDIRECT($H$1),MATCH(AuswDipl4[[#This Row],[Medaille]],INDIRECT($C$1),0))</f>
        <v>4</v>
      </c>
    </row>
    <row r="11" spans="2:26">
      <c r="B11" s="45">
        <v>1.05</v>
      </c>
      <c r="C11" t="s">
        <v>85</v>
      </c>
      <c r="E11" s="2">
        <v>1.5</v>
      </c>
      <c r="F11" s="2" t="str">
        <f ca="1">TEXT(AuswDipl1[[#This Row],[BS_1]],"#"&amp;F$2&amp;"0")</f>
        <v>1,5</v>
      </c>
      <c r="G11" t="str">
        <f ca="1">INDEX(INDIRECT($C$3),MATCH(AuswDipl1[[#This Row],[BS_1]],INDIRECT($B$3),0))</f>
        <v>Absolviert</v>
      </c>
      <c r="H11" s="13">
        <f ca="1">INDEX(INDIRECT($H$1),MATCH(AuswDipl1[[#This Row],[Medaille]],INDIRECT($C$1),0))</f>
        <v>4</v>
      </c>
      <c r="J11" s="2">
        <v>1.5</v>
      </c>
      <c r="K11" s="2" t="str">
        <f ca="1">TEXT(AuswDipl2[[#This Row],[BS_2]],"#"&amp;F$2&amp;"0")</f>
        <v>1,5</v>
      </c>
      <c r="L11" t="str">
        <f ca="1">INDEX(INDIRECT($C$3),MATCH(AuswDipl2[[#This Row],[BS_2]],INDIRECT($B$3),0))</f>
        <v>Absolviert</v>
      </c>
      <c r="M11" s="13">
        <f ca="1">INDEX(INDIRECT($H$1),MATCH(AuswDipl2[[#This Row],[Medaille]],INDIRECT($C$1),0))</f>
        <v>4</v>
      </c>
      <c r="O11" s="27">
        <v>2.25</v>
      </c>
      <c r="P11" s="27" t="str">
        <f ca="1">TEXT(AuswDipl3[[#This Row],[BS_3]],"#"&amp;F$2&amp;"00")</f>
        <v>2,25</v>
      </c>
      <c r="Q11" t="str">
        <f ca="1">INDEX(INDIRECT($C$3),MATCH(AuswDipl3[[#This Row],[BS_3]],INDIRECT($B$3),0))</f>
        <v>Absolviert</v>
      </c>
      <c r="R11" s="13">
        <f ca="1">INDEX(INDIRECT($H$1),MATCH(AuswDipl3[[#This Row],[Medaille]],INDIRECT($C$1),0))</f>
        <v>4</v>
      </c>
      <c r="T11" s="2">
        <v>1.5</v>
      </c>
      <c r="U11" s="2" t="str">
        <f ca="1">TEXT(AuswDipl4[[#This Row],[BS_4]],"#"&amp;F$2&amp;"0")</f>
        <v>1,5</v>
      </c>
      <c r="V11" t="str">
        <f ca="1">INDEX(INDIRECT($C$3),MATCH(AuswDipl4[[#This Row],[BS_4]],INDIRECT($B$3),0))</f>
        <v>Absolviert</v>
      </c>
      <c r="W11" s="13">
        <f ca="1">INDEX(INDIRECT($H$1),MATCH(AuswDipl4[[#This Row],[Medaille]],INDIRECT($C$1),0))</f>
        <v>4</v>
      </c>
    </row>
    <row r="12" spans="2:26">
      <c r="B12" s="44">
        <v>1.06</v>
      </c>
      <c r="C12" t="s">
        <v>85</v>
      </c>
      <c r="E12" s="2">
        <v>1.6</v>
      </c>
      <c r="F12" s="2" t="str">
        <f ca="1">TEXT(AuswDipl1[[#This Row],[BS_1]],"#"&amp;F$2&amp;"0")</f>
        <v>1,6</v>
      </c>
      <c r="G12" t="str">
        <f ca="1">INDEX(INDIRECT($C$3),MATCH(AuswDipl1[[#This Row],[BS_1]],INDIRECT($B$3),0))</f>
        <v>Absolviert</v>
      </c>
      <c r="H12" s="13">
        <f ca="1">INDEX(INDIRECT($H$1),MATCH(AuswDipl1[[#This Row],[Medaille]],INDIRECT($C$1),0))</f>
        <v>4</v>
      </c>
      <c r="J12" s="2">
        <v>1.6</v>
      </c>
      <c r="K12" s="2" t="str">
        <f ca="1">TEXT(AuswDipl2[[#This Row],[BS_2]],"#"&amp;F$2&amp;"0")</f>
        <v>1,6</v>
      </c>
      <c r="L12" t="str">
        <f ca="1">INDEX(INDIRECT($C$3),MATCH(AuswDipl2[[#This Row],[BS_2]],INDIRECT($B$3),0))</f>
        <v>Absolviert</v>
      </c>
      <c r="M12" s="13">
        <f ca="1">INDEX(INDIRECT($H$1),MATCH(AuswDipl2[[#This Row],[Medaille]],INDIRECT($C$1),0))</f>
        <v>4</v>
      </c>
      <c r="O12" s="27">
        <v>2.5</v>
      </c>
      <c r="P12" s="27" t="str">
        <f ca="1">TEXT(AuswDipl3[[#This Row],[BS_3]],"#"&amp;F$2&amp;"00")</f>
        <v>2,50</v>
      </c>
      <c r="Q12" t="str">
        <f ca="1">INDEX(INDIRECT($C$3),MATCH(AuswDipl3[[#This Row],[BS_3]],INDIRECT($B$3),0))</f>
        <v>Absolviert</v>
      </c>
      <c r="R12" s="13">
        <f ca="1">INDEX(INDIRECT($H$1),MATCH(AuswDipl3[[#This Row],[Medaille]],INDIRECT($C$1),0))</f>
        <v>4</v>
      </c>
      <c r="T12" s="2">
        <v>1.6</v>
      </c>
      <c r="U12" s="2" t="str">
        <f ca="1">TEXT(AuswDipl4[[#This Row],[BS_4]],"#"&amp;F$2&amp;"0")</f>
        <v>1,6</v>
      </c>
      <c r="V12" t="str">
        <f ca="1">INDEX(INDIRECT($C$3),MATCH(AuswDipl4[[#This Row],[BS_4]],INDIRECT($B$3),0))</f>
        <v>Absolviert</v>
      </c>
      <c r="W12" s="13">
        <f ca="1">INDEX(INDIRECT($H$1),MATCH(AuswDipl4[[#This Row],[Medaille]],INDIRECT($C$1),0))</f>
        <v>4</v>
      </c>
    </row>
    <row r="13" spans="2:26">
      <c r="B13" s="45">
        <v>1.07</v>
      </c>
      <c r="C13" t="s">
        <v>85</v>
      </c>
      <c r="E13" s="2">
        <v>1.7</v>
      </c>
      <c r="F13" s="2" t="str">
        <f ca="1">TEXT(AuswDipl1[[#This Row],[BS_1]],"#"&amp;F$2&amp;"0")</f>
        <v>1,7</v>
      </c>
      <c r="G13" t="str">
        <f ca="1">INDEX(INDIRECT($C$3),MATCH(AuswDipl1[[#This Row],[BS_1]],INDIRECT($B$3),0))</f>
        <v>Absolviert</v>
      </c>
      <c r="H13" s="13">
        <f ca="1">INDEX(INDIRECT($H$1),MATCH(AuswDipl1[[#This Row],[Medaille]],INDIRECT($C$1),0))</f>
        <v>4</v>
      </c>
      <c r="J13" s="2">
        <v>1.7</v>
      </c>
      <c r="K13" s="2" t="str">
        <f ca="1">TEXT(AuswDipl2[[#This Row],[BS_2]],"#"&amp;F$2&amp;"0")</f>
        <v>1,7</v>
      </c>
      <c r="L13" t="str">
        <f ca="1">INDEX(INDIRECT($C$3),MATCH(AuswDipl2[[#This Row],[BS_2]],INDIRECT($B$3),0))</f>
        <v>Absolviert</v>
      </c>
      <c r="M13" s="13">
        <f ca="1">INDEX(INDIRECT($H$1),MATCH(AuswDipl2[[#This Row],[Medaille]],INDIRECT($C$1),0))</f>
        <v>4</v>
      </c>
      <c r="O13" s="27">
        <v>2.75</v>
      </c>
      <c r="P13" s="27" t="str">
        <f ca="1">TEXT(AuswDipl3[[#This Row],[BS_3]],"#"&amp;F$2&amp;"00")</f>
        <v>2,75</v>
      </c>
      <c r="Q13" t="str">
        <f ca="1">INDEX(INDIRECT($C$3),MATCH(AuswDipl3[[#This Row],[BS_3]],INDIRECT($B$3),0))</f>
        <v>Absolviert</v>
      </c>
      <c r="R13" s="13">
        <f ca="1">INDEX(INDIRECT($H$1),MATCH(AuswDipl3[[#This Row],[Medaille]],INDIRECT($C$1),0))</f>
        <v>4</v>
      </c>
      <c r="T13" s="2">
        <v>1.7</v>
      </c>
      <c r="U13" s="2" t="str">
        <f ca="1">TEXT(AuswDipl4[[#This Row],[BS_4]],"#"&amp;F$2&amp;"0")</f>
        <v>1,7</v>
      </c>
      <c r="V13" t="str">
        <f ca="1">INDEX(INDIRECT($C$3),MATCH(AuswDipl4[[#This Row],[BS_4]],INDIRECT($B$3),0))</f>
        <v>Absolviert</v>
      </c>
      <c r="W13" s="13">
        <f ca="1">INDEX(INDIRECT($H$1),MATCH(AuswDipl4[[#This Row],[Medaille]],INDIRECT($C$1),0))</f>
        <v>4</v>
      </c>
    </row>
    <row r="14" spans="2:26">
      <c r="B14" s="44">
        <v>1.08</v>
      </c>
      <c r="C14" t="s">
        <v>85</v>
      </c>
      <c r="E14" s="2">
        <v>1.8</v>
      </c>
      <c r="F14" s="2" t="str">
        <f ca="1">TEXT(AuswDipl1[[#This Row],[BS_1]],"#"&amp;F$2&amp;"0")</f>
        <v>1,8</v>
      </c>
      <c r="G14" t="str">
        <f ca="1">INDEX(INDIRECT($C$3),MATCH(AuswDipl1[[#This Row],[BS_1]],INDIRECT($B$3),0))</f>
        <v>Absolviert</v>
      </c>
      <c r="H14" s="13">
        <f ca="1">INDEX(INDIRECT($H$1),MATCH(AuswDipl1[[#This Row],[Medaille]],INDIRECT($C$1),0))</f>
        <v>4</v>
      </c>
      <c r="J14" s="2">
        <v>1.8</v>
      </c>
      <c r="K14" s="2" t="str">
        <f ca="1">TEXT(AuswDipl2[[#This Row],[BS_2]],"#"&amp;F$2&amp;"0")</f>
        <v>1,8</v>
      </c>
      <c r="L14" t="str">
        <f ca="1">INDEX(INDIRECT($C$3),MATCH(AuswDipl2[[#This Row],[BS_2]],INDIRECT($B$3),0))</f>
        <v>Absolviert</v>
      </c>
      <c r="M14" s="13">
        <f ca="1">INDEX(INDIRECT($H$1),MATCH(AuswDipl2[[#This Row],[Medaille]],INDIRECT($C$1),0))</f>
        <v>4</v>
      </c>
      <c r="O14" s="27">
        <v>3</v>
      </c>
      <c r="P14" s="27" t="str">
        <f ca="1">TEXT(AuswDipl3[[#This Row],[BS_3]],"#"&amp;F$2&amp;"00")</f>
        <v>3,00</v>
      </c>
      <c r="Q14" t="str">
        <f ca="1">INDEX(INDIRECT($C$3),MATCH(AuswDipl3[[#This Row],[BS_3]],INDIRECT($B$3),0))</f>
        <v>Absolviert</v>
      </c>
      <c r="R14" s="13">
        <f ca="1">INDEX(INDIRECT($H$1),MATCH(AuswDipl3[[#This Row],[Medaille]],INDIRECT($C$1),0))</f>
        <v>4</v>
      </c>
      <c r="T14" s="2">
        <v>1.8</v>
      </c>
      <c r="U14" s="2" t="str">
        <f ca="1">TEXT(AuswDipl4[[#This Row],[BS_4]],"#"&amp;F$2&amp;"0")</f>
        <v>1,8</v>
      </c>
      <c r="V14" t="str">
        <f ca="1">INDEX(INDIRECT($C$3),MATCH(AuswDipl4[[#This Row],[BS_4]],INDIRECT($B$3),0))</f>
        <v>Absolviert</v>
      </c>
      <c r="W14" s="13">
        <f ca="1">INDEX(INDIRECT($H$1),MATCH(AuswDipl4[[#This Row],[Medaille]],INDIRECT($C$1),0))</f>
        <v>4</v>
      </c>
    </row>
    <row r="15" spans="2:26">
      <c r="B15" s="45">
        <v>1.0900000000000001</v>
      </c>
      <c r="C15" t="s">
        <v>85</v>
      </c>
      <c r="E15" s="2">
        <v>1.9</v>
      </c>
      <c r="F15" s="2" t="str">
        <f ca="1">TEXT(AuswDipl1[[#This Row],[BS_1]],"#"&amp;F$2&amp;"0")</f>
        <v>1,9</v>
      </c>
      <c r="G15" t="str">
        <f ca="1">INDEX(INDIRECT($C$3),MATCH(AuswDipl1[[#This Row],[BS_1]],INDIRECT($B$3),0))</f>
        <v>Absolviert</v>
      </c>
      <c r="H15" s="13">
        <f ca="1">INDEX(INDIRECT($H$1),MATCH(AuswDipl1[[#This Row],[Medaille]],INDIRECT($C$1),0))</f>
        <v>4</v>
      </c>
      <c r="J15" s="2">
        <v>1.9</v>
      </c>
      <c r="K15" s="2" t="str">
        <f ca="1">TEXT(AuswDipl2[[#This Row],[BS_2]],"#"&amp;F$2&amp;"0")</f>
        <v>1,9</v>
      </c>
      <c r="L15" t="str">
        <f ca="1">INDEX(INDIRECT($C$3),MATCH(AuswDipl2[[#This Row],[BS_2]],INDIRECT($B$3),0))</f>
        <v>Absolviert</v>
      </c>
      <c r="M15" s="13">
        <f ca="1">INDEX(INDIRECT($H$1),MATCH(AuswDipl2[[#This Row],[Medaille]],INDIRECT($C$1),0))</f>
        <v>4</v>
      </c>
      <c r="O15" s="27">
        <v>3.25</v>
      </c>
      <c r="P15" s="27" t="str">
        <f ca="1">TEXT(AuswDipl3[[#This Row],[BS_3]],"#"&amp;F$2&amp;"00")</f>
        <v>3,25</v>
      </c>
      <c r="Q15" t="str">
        <f ca="1">INDEX(INDIRECT($C$3),MATCH(AuswDipl3[[#This Row],[BS_3]],INDIRECT($B$3),0))</f>
        <v>Absolviert</v>
      </c>
      <c r="R15" s="13">
        <f ca="1">INDEX(INDIRECT($H$1),MATCH(AuswDipl3[[#This Row],[Medaille]],INDIRECT($C$1),0))</f>
        <v>4</v>
      </c>
      <c r="T15" s="2">
        <v>1.9</v>
      </c>
      <c r="U15" s="2" t="str">
        <f ca="1">TEXT(AuswDipl4[[#This Row],[BS_4]],"#"&amp;F$2&amp;"0")</f>
        <v>1,9</v>
      </c>
      <c r="V15" t="str">
        <f ca="1">INDEX(INDIRECT($C$3),MATCH(AuswDipl4[[#This Row],[BS_4]],INDIRECT($B$3),0))</f>
        <v>Absolviert</v>
      </c>
      <c r="W15" s="13">
        <f ca="1">INDEX(INDIRECT($H$1),MATCH(AuswDipl4[[#This Row],[Medaille]],INDIRECT($C$1),0))</f>
        <v>4</v>
      </c>
    </row>
    <row r="16" spans="2:26">
      <c r="B16" s="44">
        <v>1.1000000000000001</v>
      </c>
      <c r="C16" t="s">
        <v>85</v>
      </c>
      <c r="E16" s="2">
        <v>2</v>
      </c>
      <c r="F16" s="2" t="str">
        <f ca="1">TEXT(AuswDipl1[[#This Row],[BS_1]],"#"&amp;F$2&amp;"0")</f>
        <v>2,0</v>
      </c>
      <c r="G16" t="str">
        <f ca="1">INDEX(INDIRECT($C$3),MATCH(AuswDipl1[[#This Row],[BS_1]],INDIRECT($B$3),0))</f>
        <v>Absolviert</v>
      </c>
      <c r="H16" s="13">
        <f ca="1">INDEX(INDIRECT($H$1),MATCH(AuswDipl1[[#This Row],[Medaille]],INDIRECT($C$1),0))</f>
        <v>4</v>
      </c>
      <c r="J16" s="2">
        <v>2</v>
      </c>
      <c r="K16" s="2" t="str">
        <f ca="1">TEXT(AuswDipl2[[#This Row],[BS_2]],"#"&amp;F$2&amp;"0")</f>
        <v>2,0</v>
      </c>
      <c r="L16" t="str">
        <f ca="1">INDEX(INDIRECT($C$3),MATCH(AuswDipl2[[#This Row],[BS_2]],INDIRECT($B$3),0))</f>
        <v>Absolviert</v>
      </c>
      <c r="M16" s="13">
        <f ca="1">INDEX(INDIRECT($H$1),MATCH(AuswDipl2[[#This Row],[Medaille]],INDIRECT($C$1),0))</f>
        <v>4</v>
      </c>
      <c r="O16" s="27">
        <v>3.5</v>
      </c>
      <c r="P16" s="27" t="str">
        <f ca="1">TEXT(AuswDipl3[[#This Row],[BS_3]],"#"&amp;F$2&amp;"00")</f>
        <v>3,50</v>
      </c>
      <c r="Q16" t="str">
        <f ca="1">INDEX(INDIRECT($C$3),MATCH(AuswDipl3[[#This Row],[BS_3]],INDIRECT($B$3),0))</f>
        <v>Absolviert</v>
      </c>
      <c r="R16" s="13">
        <f ca="1">INDEX(INDIRECT($H$1),MATCH(AuswDipl3[[#This Row],[Medaille]],INDIRECT($C$1),0))</f>
        <v>4</v>
      </c>
      <c r="T16" s="2">
        <v>2</v>
      </c>
      <c r="U16" s="2" t="str">
        <f ca="1">TEXT(AuswDipl4[[#This Row],[BS_4]],"#"&amp;F$2&amp;"0")</f>
        <v>2,0</v>
      </c>
      <c r="V16" t="str">
        <f ca="1">INDEX(INDIRECT($C$3),MATCH(AuswDipl4[[#This Row],[BS_4]],INDIRECT($B$3),0))</f>
        <v>Absolviert</v>
      </c>
      <c r="W16" s="13">
        <f ca="1">INDEX(INDIRECT($H$1),MATCH(AuswDipl4[[#This Row],[Medaille]],INDIRECT($C$1),0))</f>
        <v>4</v>
      </c>
    </row>
    <row r="17" spans="2:23">
      <c r="B17" s="45">
        <v>1.1100000000000001</v>
      </c>
      <c r="C17" t="s">
        <v>85</v>
      </c>
      <c r="E17" s="2">
        <v>2.1</v>
      </c>
      <c r="F17" s="2" t="str">
        <f ca="1">TEXT(AuswDipl1[[#This Row],[BS_1]],"#"&amp;F$2&amp;"0")</f>
        <v>2,1</v>
      </c>
      <c r="G17" t="str">
        <f ca="1">INDEX(INDIRECT($C$3),MATCH(AuswDipl1[[#This Row],[BS_1]],INDIRECT($B$3),0))</f>
        <v>Absolviert</v>
      </c>
      <c r="H17" s="13">
        <f ca="1">INDEX(INDIRECT($H$1),MATCH(AuswDipl1[[#This Row],[Medaille]],INDIRECT($C$1),0))</f>
        <v>4</v>
      </c>
      <c r="J17" s="2">
        <v>2.1</v>
      </c>
      <c r="K17" s="2" t="str">
        <f ca="1">TEXT(AuswDipl2[[#This Row],[BS_2]],"#"&amp;F$2&amp;"0")</f>
        <v>2,1</v>
      </c>
      <c r="L17" t="str">
        <f ca="1">INDEX(INDIRECT($C$3),MATCH(AuswDipl2[[#This Row],[BS_2]],INDIRECT($B$3),0))</f>
        <v>Absolviert</v>
      </c>
      <c r="M17" s="13">
        <f ca="1">INDEX(INDIRECT($H$1),MATCH(AuswDipl2[[#This Row],[Medaille]],INDIRECT($C$1),0))</f>
        <v>4</v>
      </c>
      <c r="O17" s="27">
        <v>3.75</v>
      </c>
      <c r="P17" s="27" t="str">
        <f ca="1">TEXT(AuswDipl3[[#This Row],[BS_3]],"#"&amp;F$2&amp;"00")</f>
        <v>3,75</v>
      </c>
      <c r="Q17" t="str">
        <f ca="1">INDEX(INDIRECT($C$3),MATCH(AuswDipl3[[#This Row],[BS_3]],INDIRECT($B$3),0))</f>
        <v>Bronze</v>
      </c>
      <c r="R17" s="13">
        <f ca="1">INDEX(INDIRECT($H$1),MATCH(AuswDipl3[[#This Row],[Medaille]],INDIRECT($C$1),0))</f>
        <v>3</v>
      </c>
      <c r="T17" s="2">
        <v>2.1</v>
      </c>
      <c r="U17" s="2" t="str">
        <f ca="1">TEXT(AuswDipl4[[#This Row],[BS_4]],"#"&amp;F$2&amp;"0")</f>
        <v>2,1</v>
      </c>
      <c r="V17" t="str">
        <f ca="1">INDEX(INDIRECT($C$3),MATCH(AuswDipl4[[#This Row],[BS_4]],INDIRECT($B$3),0))</f>
        <v>Absolviert</v>
      </c>
      <c r="W17" s="13">
        <f ca="1">INDEX(INDIRECT($H$1),MATCH(AuswDipl4[[#This Row],[Medaille]],INDIRECT($C$1),0))</f>
        <v>4</v>
      </c>
    </row>
    <row r="18" spans="2:23">
      <c r="B18" s="44">
        <v>1.1200000000000001</v>
      </c>
      <c r="C18" t="s">
        <v>85</v>
      </c>
      <c r="E18" s="2">
        <v>2.2000000000000002</v>
      </c>
      <c r="F18" s="2" t="str">
        <f ca="1">TEXT(AuswDipl1[[#This Row],[BS_1]],"#"&amp;F$2&amp;"0")</f>
        <v>2,2</v>
      </c>
      <c r="G18" t="str">
        <f ca="1">INDEX(INDIRECT($C$3),MATCH(AuswDipl1[[#This Row],[BS_1]],INDIRECT($B$3),0))</f>
        <v>Absolviert</v>
      </c>
      <c r="H18" s="13">
        <f ca="1">INDEX(INDIRECT($H$1),MATCH(AuswDipl1[[#This Row],[Medaille]],INDIRECT($C$1),0))</f>
        <v>4</v>
      </c>
      <c r="J18" s="2">
        <v>2.2000000000000002</v>
      </c>
      <c r="K18" s="2" t="str">
        <f ca="1">TEXT(AuswDipl2[[#This Row],[BS_2]],"#"&amp;F$2&amp;"0")</f>
        <v>2,2</v>
      </c>
      <c r="L18" t="str">
        <f ca="1">INDEX(INDIRECT($C$3),MATCH(AuswDipl2[[#This Row],[BS_2]],INDIRECT($B$3),0))</f>
        <v>Absolviert</v>
      </c>
      <c r="M18" s="13">
        <f ca="1">INDEX(INDIRECT($H$1),MATCH(AuswDipl2[[#This Row],[Medaille]],INDIRECT($C$1),0))</f>
        <v>4</v>
      </c>
      <c r="O18" s="27">
        <v>4</v>
      </c>
      <c r="P18" s="27" t="str">
        <f ca="1">TEXT(AuswDipl3[[#This Row],[BS_3]],"#"&amp;F$2&amp;"00")</f>
        <v>4,00</v>
      </c>
      <c r="Q18" t="str">
        <f ca="1">INDEX(INDIRECT($C$3),MATCH(AuswDipl3[[#This Row],[BS_3]],INDIRECT($B$3),0))</f>
        <v>Bronze</v>
      </c>
      <c r="R18" s="13">
        <f ca="1">INDEX(INDIRECT($H$1),MATCH(AuswDipl3[[#This Row],[Medaille]],INDIRECT($C$1),0))</f>
        <v>3</v>
      </c>
      <c r="T18" s="2">
        <v>2.2000000000000002</v>
      </c>
      <c r="U18" s="2" t="str">
        <f ca="1">TEXT(AuswDipl4[[#This Row],[BS_4]],"#"&amp;F$2&amp;"0")</f>
        <v>2,2</v>
      </c>
      <c r="V18" t="str">
        <f ca="1">INDEX(INDIRECT($C$3),MATCH(AuswDipl4[[#This Row],[BS_4]],INDIRECT($B$3),0))</f>
        <v>Absolviert</v>
      </c>
      <c r="W18" s="13">
        <f ca="1">INDEX(INDIRECT($H$1),MATCH(AuswDipl4[[#This Row],[Medaille]],INDIRECT($C$1),0))</f>
        <v>4</v>
      </c>
    </row>
    <row r="19" spans="2:23">
      <c r="B19" s="45">
        <v>1.1299999999999999</v>
      </c>
      <c r="C19" t="s">
        <v>85</v>
      </c>
      <c r="E19" s="2">
        <v>2.2999999999999998</v>
      </c>
      <c r="F19" s="2" t="str">
        <f ca="1">TEXT(AuswDipl1[[#This Row],[BS_1]],"#"&amp;F$2&amp;"0")</f>
        <v>2,3</v>
      </c>
      <c r="G19" t="str">
        <f ca="1">INDEX(INDIRECT($C$3),MATCH(AuswDipl1[[#This Row],[BS_1]],INDIRECT($B$3),0))</f>
        <v>Absolviert</v>
      </c>
      <c r="H19" s="13">
        <f ca="1">INDEX(INDIRECT($H$1),MATCH(AuswDipl1[[#This Row],[Medaille]],INDIRECT($C$1),0))</f>
        <v>4</v>
      </c>
      <c r="J19" s="2">
        <v>2.2999999999999998</v>
      </c>
      <c r="K19" s="2" t="str">
        <f ca="1">TEXT(AuswDipl2[[#This Row],[BS_2]],"#"&amp;F$2&amp;"0")</f>
        <v>2,3</v>
      </c>
      <c r="L19" t="str">
        <f ca="1">INDEX(INDIRECT($C$3),MATCH(AuswDipl2[[#This Row],[BS_2]],INDIRECT($B$3),0))</f>
        <v>Absolviert</v>
      </c>
      <c r="M19" s="13">
        <f ca="1">INDEX(INDIRECT($H$1),MATCH(AuswDipl2[[#This Row],[Medaille]],INDIRECT($C$1),0))</f>
        <v>4</v>
      </c>
      <c r="O19" s="27">
        <v>4.25</v>
      </c>
      <c r="P19" s="27" t="str">
        <f ca="1">TEXT(AuswDipl3[[#This Row],[BS_3]],"#"&amp;F$2&amp;"00")</f>
        <v>4,25</v>
      </c>
      <c r="Q19" t="str">
        <f ca="1">INDEX(INDIRECT($C$3),MATCH(AuswDipl3[[#This Row],[BS_3]],INDIRECT($B$3),0))</f>
        <v>Bronze</v>
      </c>
      <c r="R19" s="13">
        <f ca="1">INDEX(INDIRECT($H$1),MATCH(AuswDipl3[[#This Row],[Medaille]],INDIRECT($C$1),0))</f>
        <v>3</v>
      </c>
      <c r="T19" s="2">
        <v>2.2999999999999998</v>
      </c>
      <c r="U19" s="2" t="str">
        <f ca="1">TEXT(AuswDipl4[[#This Row],[BS_4]],"#"&amp;F$2&amp;"0")</f>
        <v>2,3</v>
      </c>
      <c r="V19" t="str">
        <f ca="1">INDEX(INDIRECT($C$3),MATCH(AuswDipl4[[#This Row],[BS_4]],INDIRECT($B$3),0))</f>
        <v>Absolviert</v>
      </c>
      <c r="W19" s="13">
        <f ca="1">INDEX(INDIRECT($H$1),MATCH(AuswDipl4[[#This Row],[Medaille]],INDIRECT($C$1),0))</f>
        <v>4</v>
      </c>
    </row>
    <row r="20" spans="2:23">
      <c r="B20" s="44">
        <v>1.1399999999999999</v>
      </c>
      <c r="C20" t="s">
        <v>85</v>
      </c>
      <c r="E20" s="2">
        <v>2.4</v>
      </c>
      <c r="F20" s="2" t="str">
        <f ca="1">TEXT(AuswDipl1[[#This Row],[BS_1]],"#"&amp;F$2&amp;"0")</f>
        <v>2,4</v>
      </c>
      <c r="G20" t="str">
        <f ca="1">INDEX(INDIRECT($C$3),MATCH(AuswDipl1[[#This Row],[BS_1]],INDIRECT($B$3),0))</f>
        <v>Absolviert</v>
      </c>
      <c r="H20" s="13">
        <f ca="1">INDEX(INDIRECT($H$1),MATCH(AuswDipl1[[#This Row],[Medaille]],INDIRECT($C$1),0))</f>
        <v>4</v>
      </c>
      <c r="J20" s="2">
        <v>2.4</v>
      </c>
      <c r="K20" s="2" t="str">
        <f ca="1">TEXT(AuswDipl2[[#This Row],[BS_2]],"#"&amp;F$2&amp;"0")</f>
        <v>2,4</v>
      </c>
      <c r="L20" t="str">
        <f ca="1">INDEX(INDIRECT($C$3),MATCH(AuswDipl2[[#This Row],[BS_2]],INDIRECT($B$3),0))</f>
        <v>Absolviert</v>
      </c>
      <c r="M20" s="13">
        <f ca="1">INDEX(INDIRECT($H$1),MATCH(AuswDipl2[[#This Row],[Medaille]],INDIRECT($C$1),0))</f>
        <v>4</v>
      </c>
      <c r="O20" s="27">
        <v>4.5</v>
      </c>
      <c r="P20" s="27" t="str">
        <f ca="1">TEXT(AuswDipl3[[#This Row],[BS_3]],"#"&amp;F$2&amp;"00")</f>
        <v>4,50</v>
      </c>
      <c r="Q20" t="str">
        <f ca="1">INDEX(INDIRECT($C$3),MATCH(AuswDipl3[[#This Row],[BS_3]],INDIRECT($B$3),0))</f>
        <v>Bronze</v>
      </c>
      <c r="R20" s="13">
        <f ca="1">INDEX(INDIRECT($H$1),MATCH(AuswDipl3[[#This Row],[Medaille]],INDIRECT($C$1),0))</f>
        <v>3</v>
      </c>
      <c r="T20" s="2">
        <v>2.4</v>
      </c>
      <c r="U20" s="2" t="str">
        <f ca="1">TEXT(AuswDipl4[[#This Row],[BS_4]],"#"&amp;F$2&amp;"0")</f>
        <v>2,4</v>
      </c>
      <c r="V20" t="str">
        <f ca="1">INDEX(INDIRECT($C$3),MATCH(AuswDipl4[[#This Row],[BS_4]],INDIRECT($B$3),0))</f>
        <v>Absolviert</v>
      </c>
      <c r="W20" s="13">
        <f ca="1">INDEX(INDIRECT($H$1),MATCH(AuswDipl4[[#This Row],[Medaille]],INDIRECT($C$1),0))</f>
        <v>4</v>
      </c>
    </row>
    <row r="21" spans="2:23">
      <c r="B21" s="45">
        <v>1.1499999999999999</v>
      </c>
      <c r="C21" t="s">
        <v>85</v>
      </c>
      <c r="E21" s="2">
        <v>2.5</v>
      </c>
      <c r="F21" s="2" t="str">
        <f ca="1">TEXT(AuswDipl1[[#This Row],[BS_1]],"#"&amp;F$2&amp;"0")</f>
        <v>2,5</v>
      </c>
      <c r="G21" t="str">
        <f ca="1">INDEX(INDIRECT($C$3),MATCH(AuswDipl1[[#This Row],[BS_1]],INDIRECT($B$3),0))</f>
        <v>Absolviert</v>
      </c>
      <c r="H21" s="13">
        <f ca="1">INDEX(INDIRECT($H$1),MATCH(AuswDipl1[[#This Row],[Medaille]],INDIRECT($C$1),0))</f>
        <v>4</v>
      </c>
      <c r="J21" s="2">
        <v>2.5</v>
      </c>
      <c r="K21" s="2" t="str">
        <f ca="1">TEXT(AuswDipl2[[#This Row],[BS_2]],"#"&amp;F$2&amp;"0")</f>
        <v>2,5</v>
      </c>
      <c r="L21" t="str">
        <f ca="1">INDEX(INDIRECT($C$3),MATCH(AuswDipl2[[#This Row],[BS_2]],INDIRECT($B$3),0))</f>
        <v>Absolviert</v>
      </c>
      <c r="M21" s="13">
        <f ca="1">INDEX(INDIRECT($H$1),MATCH(AuswDipl2[[#This Row],[Medaille]],INDIRECT($C$1),0))</f>
        <v>4</v>
      </c>
      <c r="O21" s="27">
        <v>4.75</v>
      </c>
      <c r="P21" s="27" t="str">
        <f ca="1">TEXT(AuswDipl3[[#This Row],[BS_3]],"#"&amp;F$2&amp;"00")</f>
        <v>4,75</v>
      </c>
      <c r="Q21" t="str">
        <f ca="1">INDEX(INDIRECT($C$3),MATCH(AuswDipl3[[#This Row],[BS_3]],INDIRECT($B$3),0))</f>
        <v>Silber</v>
      </c>
      <c r="R21" s="13">
        <f ca="1">INDEX(INDIRECT($H$1),MATCH(AuswDipl3[[#This Row],[Medaille]],INDIRECT($C$1),0))</f>
        <v>2</v>
      </c>
      <c r="T21" s="2">
        <v>2.5</v>
      </c>
      <c r="U21" s="2" t="str">
        <f ca="1">TEXT(AuswDipl4[[#This Row],[BS_4]],"#"&amp;F$2&amp;"0")</f>
        <v>2,5</v>
      </c>
      <c r="V21" t="str">
        <f ca="1">INDEX(INDIRECT($C$3),MATCH(AuswDipl4[[#This Row],[BS_4]],INDIRECT($B$3),0))</f>
        <v>Absolviert</v>
      </c>
      <c r="W21" s="13">
        <f ca="1">INDEX(INDIRECT($H$1),MATCH(AuswDipl4[[#This Row],[Medaille]],INDIRECT($C$1),0))</f>
        <v>4</v>
      </c>
    </row>
    <row r="22" spans="2:23">
      <c r="B22" s="44">
        <v>1.1599999999999999</v>
      </c>
      <c r="C22" t="s">
        <v>85</v>
      </c>
      <c r="E22" s="2">
        <v>2.6</v>
      </c>
      <c r="F22" s="2" t="str">
        <f ca="1">TEXT(AuswDipl1[[#This Row],[BS_1]],"#"&amp;F$2&amp;"0")</f>
        <v>2,6</v>
      </c>
      <c r="G22" t="str">
        <f ca="1">INDEX(INDIRECT($C$3),MATCH(AuswDipl1[[#This Row],[BS_1]],INDIRECT($B$3),0))</f>
        <v>Absolviert</v>
      </c>
      <c r="H22" s="13">
        <f ca="1">INDEX(INDIRECT($H$1),MATCH(AuswDipl1[[#This Row],[Medaille]],INDIRECT($C$1),0))</f>
        <v>4</v>
      </c>
      <c r="J22" s="2">
        <v>2.6</v>
      </c>
      <c r="K22" s="2" t="str">
        <f ca="1">TEXT(AuswDipl2[[#This Row],[BS_2]],"#"&amp;F$2&amp;"0")</f>
        <v>2,6</v>
      </c>
      <c r="L22" t="str">
        <f ca="1">INDEX(INDIRECT($C$3),MATCH(AuswDipl2[[#This Row],[BS_2]],INDIRECT($B$3),0))</f>
        <v>Absolviert</v>
      </c>
      <c r="M22" s="13">
        <f ca="1">INDEX(INDIRECT($H$1),MATCH(AuswDipl2[[#This Row],[Medaille]],INDIRECT($C$1),0))</f>
        <v>4</v>
      </c>
      <c r="O22" s="27">
        <v>5</v>
      </c>
      <c r="P22" s="27" t="str">
        <f ca="1">TEXT(AuswDipl3[[#This Row],[BS_3]],"#"&amp;F$2&amp;"00")</f>
        <v>5,00</v>
      </c>
      <c r="Q22" t="str">
        <f ca="1">INDEX(INDIRECT($C$3),MATCH(AuswDipl3[[#This Row],[BS_3]],INDIRECT($B$3),0))</f>
        <v>Silber</v>
      </c>
      <c r="R22" s="13">
        <f ca="1">INDEX(INDIRECT($H$1),MATCH(AuswDipl3[[#This Row],[Medaille]],INDIRECT($C$1),0))</f>
        <v>2</v>
      </c>
      <c r="T22" s="2">
        <v>2.6</v>
      </c>
      <c r="U22" s="2" t="str">
        <f ca="1">TEXT(AuswDipl4[[#This Row],[BS_4]],"#"&amp;F$2&amp;"0")</f>
        <v>2,6</v>
      </c>
      <c r="V22" t="str">
        <f ca="1">INDEX(INDIRECT($C$3),MATCH(AuswDipl4[[#This Row],[BS_4]],INDIRECT($B$3),0))</f>
        <v>Absolviert</v>
      </c>
      <c r="W22" s="13">
        <f ca="1">INDEX(INDIRECT($H$1),MATCH(AuswDipl4[[#This Row],[Medaille]],INDIRECT($C$1),0))</f>
        <v>4</v>
      </c>
    </row>
    <row r="23" spans="2:23">
      <c r="B23" s="45">
        <v>1.17</v>
      </c>
      <c r="C23" t="s">
        <v>85</v>
      </c>
      <c r="E23" s="2">
        <v>2.7</v>
      </c>
      <c r="F23" s="2" t="str">
        <f ca="1">TEXT(AuswDipl1[[#This Row],[BS_1]],"#"&amp;F$2&amp;"0")</f>
        <v>2,7</v>
      </c>
      <c r="G23" t="str">
        <f ca="1">INDEX(INDIRECT($C$3),MATCH(AuswDipl1[[#This Row],[BS_1]],INDIRECT($B$3),0))</f>
        <v>Absolviert</v>
      </c>
      <c r="H23" s="13">
        <f ca="1">INDEX(INDIRECT($H$1),MATCH(AuswDipl1[[#This Row],[Medaille]],INDIRECT($C$1),0))</f>
        <v>4</v>
      </c>
      <c r="J23" s="2">
        <v>2.7</v>
      </c>
      <c r="K23" s="2" t="str">
        <f ca="1">TEXT(AuswDipl2[[#This Row],[BS_2]],"#"&amp;F$2&amp;"0")</f>
        <v>2,7</v>
      </c>
      <c r="L23" t="str">
        <f ca="1">INDEX(INDIRECT($C$3),MATCH(AuswDipl2[[#This Row],[BS_2]],INDIRECT($B$3),0))</f>
        <v>Absolviert</v>
      </c>
      <c r="M23" s="13">
        <f ca="1">INDEX(INDIRECT($H$1),MATCH(AuswDipl2[[#This Row],[Medaille]],INDIRECT($C$1),0))</f>
        <v>4</v>
      </c>
      <c r="O23" s="27">
        <v>5.25</v>
      </c>
      <c r="P23" s="27" t="str">
        <f ca="1">TEXT(AuswDipl3[[#This Row],[BS_3]],"#"&amp;F$2&amp;"00")</f>
        <v>5,25</v>
      </c>
      <c r="Q23" t="str">
        <f ca="1">INDEX(INDIRECT($C$3),MATCH(AuswDipl3[[#This Row],[BS_3]],INDIRECT($B$3),0))</f>
        <v>Silber</v>
      </c>
      <c r="R23" s="13">
        <f ca="1">INDEX(INDIRECT($H$1),MATCH(AuswDipl3[[#This Row],[Medaille]],INDIRECT($C$1),0))</f>
        <v>2</v>
      </c>
      <c r="T23" s="2">
        <v>2.7</v>
      </c>
      <c r="U23" s="2" t="str">
        <f ca="1">TEXT(AuswDipl4[[#This Row],[BS_4]],"#"&amp;F$2&amp;"0")</f>
        <v>2,7</v>
      </c>
      <c r="V23" t="str">
        <f ca="1">INDEX(INDIRECT($C$3),MATCH(AuswDipl4[[#This Row],[BS_4]],INDIRECT($B$3),0))</f>
        <v>Absolviert</v>
      </c>
      <c r="W23" s="13">
        <f ca="1">INDEX(INDIRECT($H$1),MATCH(AuswDipl4[[#This Row],[Medaille]],INDIRECT($C$1),0))</f>
        <v>4</v>
      </c>
    </row>
    <row r="24" spans="2:23">
      <c r="B24" s="44">
        <v>1.18</v>
      </c>
      <c r="C24" t="s">
        <v>85</v>
      </c>
      <c r="E24" s="2">
        <v>2.8</v>
      </c>
      <c r="F24" s="2" t="str">
        <f ca="1">TEXT(AuswDipl1[[#This Row],[BS_1]],"#"&amp;F$2&amp;"0")</f>
        <v>2,8</v>
      </c>
      <c r="G24" t="str">
        <f ca="1">INDEX(INDIRECT($C$3),MATCH(AuswDipl1[[#This Row],[BS_1]],INDIRECT($B$3),0))</f>
        <v>Absolviert</v>
      </c>
      <c r="H24" s="13">
        <f ca="1">INDEX(INDIRECT($H$1),MATCH(AuswDipl1[[#This Row],[Medaille]],INDIRECT($C$1),0))</f>
        <v>4</v>
      </c>
      <c r="J24" s="2">
        <v>2.8</v>
      </c>
      <c r="K24" s="2" t="str">
        <f ca="1">TEXT(AuswDipl2[[#This Row],[BS_2]],"#"&amp;F$2&amp;"0")</f>
        <v>2,8</v>
      </c>
      <c r="L24" t="str">
        <f ca="1">INDEX(INDIRECT($C$3),MATCH(AuswDipl2[[#This Row],[BS_2]],INDIRECT($B$3),0))</f>
        <v>Absolviert</v>
      </c>
      <c r="M24" s="13">
        <f ca="1">INDEX(INDIRECT($H$1),MATCH(AuswDipl2[[#This Row],[Medaille]],INDIRECT($C$1),0))</f>
        <v>4</v>
      </c>
      <c r="O24" s="27">
        <v>5.5</v>
      </c>
      <c r="P24" s="27" t="str">
        <f ca="1">TEXT(AuswDipl3[[#This Row],[BS_3]],"#"&amp;F$2&amp;"00")</f>
        <v>5,50</v>
      </c>
      <c r="Q24" t="str">
        <f ca="1">INDEX(INDIRECT($C$3),MATCH(AuswDipl3[[#This Row],[BS_3]],INDIRECT($B$3),0))</f>
        <v>Silber</v>
      </c>
      <c r="R24" s="13">
        <f ca="1">INDEX(INDIRECT($H$1),MATCH(AuswDipl3[[#This Row],[Medaille]],INDIRECT($C$1),0))</f>
        <v>2</v>
      </c>
      <c r="T24" s="2">
        <v>2.8</v>
      </c>
      <c r="U24" s="2" t="str">
        <f ca="1">TEXT(AuswDipl4[[#This Row],[BS_4]],"#"&amp;F$2&amp;"0")</f>
        <v>2,8</v>
      </c>
      <c r="V24" t="str">
        <f ca="1">INDEX(INDIRECT($C$3),MATCH(AuswDipl4[[#This Row],[BS_4]],INDIRECT($B$3),0))</f>
        <v>Absolviert</v>
      </c>
      <c r="W24" s="13">
        <f ca="1">INDEX(INDIRECT($H$1),MATCH(AuswDipl4[[#This Row],[Medaille]],INDIRECT($C$1),0))</f>
        <v>4</v>
      </c>
    </row>
    <row r="25" spans="2:23">
      <c r="B25" s="45">
        <v>1.19</v>
      </c>
      <c r="C25" t="s">
        <v>85</v>
      </c>
      <c r="E25" s="2">
        <v>2.9</v>
      </c>
      <c r="F25" s="2" t="str">
        <f ca="1">TEXT(AuswDipl1[[#This Row],[BS_1]],"#"&amp;F$2&amp;"0")</f>
        <v>2,9</v>
      </c>
      <c r="G25" t="str">
        <f ca="1">INDEX(INDIRECT($C$3),MATCH(AuswDipl1[[#This Row],[BS_1]],INDIRECT($B$3),0))</f>
        <v>Absolviert</v>
      </c>
      <c r="H25" s="13">
        <f ca="1">INDEX(INDIRECT($H$1),MATCH(AuswDipl1[[#This Row],[Medaille]],INDIRECT($C$1),0))</f>
        <v>4</v>
      </c>
      <c r="J25" s="2">
        <v>2.9</v>
      </c>
      <c r="K25" s="2" t="str">
        <f ca="1">TEXT(AuswDipl2[[#This Row],[BS_2]],"#"&amp;F$2&amp;"0")</f>
        <v>2,9</v>
      </c>
      <c r="L25" t="str">
        <f ca="1">INDEX(INDIRECT($C$3),MATCH(AuswDipl2[[#This Row],[BS_2]],INDIRECT($B$3),0))</f>
        <v>Absolviert</v>
      </c>
      <c r="M25" s="13">
        <f ca="1">INDEX(INDIRECT($H$1),MATCH(AuswDipl2[[#This Row],[Medaille]],INDIRECT($C$1),0))</f>
        <v>4</v>
      </c>
      <c r="O25" s="27">
        <v>5.75</v>
      </c>
      <c r="P25" s="27" t="str">
        <f ca="1">TEXT(AuswDipl3[[#This Row],[BS_3]],"#"&amp;F$2&amp;"00")</f>
        <v>5,75</v>
      </c>
      <c r="Q25" t="str">
        <f ca="1">INDEX(INDIRECT($C$3),MATCH(AuswDipl3[[#This Row],[BS_3]],INDIRECT($B$3),0))</f>
        <v>Gold</v>
      </c>
      <c r="R25" s="13">
        <f ca="1">INDEX(INDIRECT($H$1),MATCH(AuswDipl3[[#This Row],[Medaille]],INDIRECT($C$1),0))</f>
        <v>1</v>
      </c>
      <c r="T25" s="2">
        <v>2.9</v>
      </c>
      <c r="U25" s="2" t="str">
        <f ca="1">TEXT(AuswDipl4[[#This Row],[BS_4]],"#"&amp;F$2&amp;"0")</f>
        <v>2,9</v>
      </c>
      <c r="V25" t="str">
        <f ca="1">INDEX(INDIRECT($C$3),MATCH(AuswDipl4[[#This Row],[BS_4]],INDIRECT($B$3),0))</f>
        <v>Absolviert</v>
      </c>
      <c r="W25" s="13">
        <f ca="1">INDEX(INDIRECT($H$1),MATCH(AuswDipl4[[#This Row],[Medaille]],INDIRECT($C$1),0))</f>
        <v>4</v>
      </c>
    </row>
    <row r="26" spans="2:23">
      <c r="B26" s="44">
        <v>1.2</v>
      </c>
      <c r="C26" t="s">
        <v>85</v>
      </c>
      <c r="E26" s="2">
        <v>3</v>
      </c>
      <c r="F26" s="2" t="str">
        <f ca="1">TEXT(AuswDipl1[[#This Row],[BS_1]],"#"&amp;F$2&amp;"0")</f>
        <v>3,0</v>
      </c>
      <c r="G26" t="str">
        <f ca="1">INDEX(INDIRECT($C$3),MATCH(AuswDipl1[[#This Row],[BS_1]],INDIRECT($B$3),0))</f>
        <v>Absolviert</v>
      </c>
      <c r="H26" s="13">
        <f ca="1">INDEX(INDIRECT($H$1),MATCH(AuswDipl1[[#This Row],[Medaille]],INDIRECT($C$1),0))</f>
        <v>4</v>
      </c>
      <c r="J26" s="2">
        <v>3</v>
      </c>
      <c r="K26" s="2" t="str">
        <f ca="1">TEXT(AuswDipl2[[#This Row],[BS_2]],"#"&amp;F$2&amp;"0")</f>
        <v>3,0</v>
      </c>
      <c r="L26" t="str">
        <f ca="1">INDEX(INDIRECT($C$3),MATCH(AuswDipl2[[#This Row],[BS_2]],INDIRECT($B$3),0))</f>
        <v>Absolviert</v>
      </c>
      <c r="M26" s="13">
        <f ca="1">INDEX(INDIRECT($H$1),MATCH(AuswDipl2[[#This Row],[Medaille]],INDIRECT($C$1),0))</f>
        <v>4</v>
      </c>
      <c r="O26" s="27">
        <v>6</v>
      </c>
      <c r="P26" s="27" t="str">
        <f ca="1">TEXT(AuswDipl3[[#This Row],[BS_3]],"#"&amp;F$2&amp;"00")</f>
        <v>6,00</v>
      </c>
      <c r="Q26" t="str">
        <f ca="1">INDEX(INDIRECT($C$3),MATCH(AuswDipl3[[#This Row],[BS_3]],INDIRECT($B$3),0))</f>
        <v>Gold</v>
      </c>
      <c r="R26" s="13">
        <f ca="1">INDEX(INDIRECT($H$1),MATCH(AuswDipl3[[#This Row],[Medaille]],INDIRECT($C$1),0))</f>
        <v>1</v>
      </c>
      <c r="T26" s="2">
        <v>3</v>
      </c>
      <c r="U26" s="2" t="str">
        <f ca="1">TEXT(AuswDipl4[[#This Row],[BS_4]],"#"&amp;F$2&amp;"0")</f>
        <v>3,0</v>
      </c>
      <c r="V26" t="str">
        <f ca="1">INDEX(INDIRECT($C$3),MATCH(AuswDipl4[[#This Row],[BS_4]],INDIRECT($B$3),0))</f>
        <v>Absolviert</v>
      </c>
      <c r="W26" s="13">
        <f ca="1">INDEX(INDIRECT($H$1),MATCH(AuswDipl4[[#This Row],[Medaille]],INDIRECT($C$1),0))</f>
        <v>4</v>
      </c>
    </row>
    <row r="27" spans="2:23">
      <c r="B27" s="45">
        <v>1.21</v>
      </c>
      <c r="C27" t="s">
        <v>85</v>
      </c>
      <c r="E27" s="2">
        <v>3.1</v>
      </c>
      <c r="F27" s="2" t="str">
        <f ca="1">TEXT(AuswDipl1[[#This Row],[BS_1]],"#"&amp;F$2&amp;"0")</f>
        <v>3,1</v>
      </c>
      <c r="G27" t="str">
        <f ca="1">INDEX(INDIRECT($C$3),MATCH(AuswDipl1[[#This Row],[BS_1]],INDIRECT($B$3),0))</f>
        <v>Absolviert</v>
      </c>
      <c r="H27" s="13">
        <f ca="1">INDEX(INDIRECT($H$1),MATCH(AuswDipl1[[#This Row],[Medaille]],INDIRECT($C$1),0))</f>
        <v>4</v>
      </c>
      <c r="J27" s="2">
        <v>3.1</v>
      </c>
      <c r="K27" s="2" t="str">
        <f ca="1">TEXT(AuswDipl2[[#This Row],[BS_2]],"#"&amp;F$2&amp;"0")</f>
        <v>3,1</v>
      </c>
      <c r="L27" t="str">
        <f ca="1">INDEX(INDIRECT($C$3),MATCH(AuswDipl2[[#This Row],[BS_2]],INDIRECT($B$3),0))</f>
        <v>Absolviert</v>
      </c>
      <c r="M27" s="13">
        <f ca="1">INDEX(INDIRECT($H$1),MATCH(AuswDipl2[[#This Row],[Medaille]],INDIRECT($C$1),0))</f>
        <v>4</v>
      </c>
      <c r="O27" s="2"/>
      <c r="P27" s="2"/>
      <c r="T27" s="2">
        <v>3.1</v>
      </c>
      <c r="U27" s="2" t="str">
        <f ca="1">TEXT(AuswDipl4[[#This Row],[BS_4]],"#"&amp;F$2&amp;"0")</f>
        <v>3,1</v>
      </c>
      <c r="V27" t="str">
        <f ca="1">INDEX(INDIRECT($C$3),MATCH(AuswDipl4[[#This Row],[BS_4]],INDIRECT($B$3),0))</f>
        <v>Absolviert</v>
      </c>
      <c r="W27" s="13">
        <f ca="1">INDEX(INDIRECT($H$1),MATCH(AuswDipl4[[#This Row],[Medaille]],INDIRECT($C$1),0))</f>
        <v>4</v>
      </c>
    </row>
    <row r="28" spans="2:23">
      <c r="B28" s="44">
        <v>1.22</v>
      </c>
      <c r="C28" t="s">
        <v>85</v>
      </c>
      <c r="E28" s="2">
        <v>3.2</v>
      </c>
      <c r="F28" s="2" t="str">
        <f ca="1">TEXT(AuswDipl1[[#This Row],[BS_1]],"#"&amp;F$2&amp;"0")</f>
        <v>3,2</v>
      </c>
      <c r="G28" t="str">
        <f ca="1">INDEX(INDIRECT($C$3),MATCH(AuswDipl1[[#This Row],[BS_1]],INDIRECT($B$3),0))</f>
        <v>Absolviert</v>
      </c>
      <c r="H28" s="13">
        <f ca="1">INDEX(INDIRECT($H$1),MATCH(AuswDipl1[[#This Row],[Medaille]],INDIRECT($C$1),0))</f>
        <v>4</v>
      </c>
      <c r="J28" s="2">
        <v>3.2</v>
      </c>
      <c r="K28" s="2" t="str">
        <f ca="1">TEXT(AuswDipl2[[#This Row],[BS_2]],"#"&amp;F$2&amp;"0")</f>
        <v>3,2</v>
      </c>
      <c r="L28" t="str">
        <f ca="1">INDEX(INDIRECT($C$3),MATCH(AuswDipl2[[#This Row],[BS_2]],INDIRECT($B$3),0))</f>
        <v>Absolviert</v>
      </c>
      <c r="M28" s="13">
        <f ca="1">INDEX(INDIRECT($H$1),MATCH(AuswDipl2[[#This Row],[Medaille]],INDIRECT($C$1),0))</f>
        <v>4</v>
      </c>
      <c r="O28" s="2"/>
      <c r="P28" s="2"/>
      <c r="T28" s="2">
        <v>3.2</v>
      </c>
      <c r="U28" s="2" t="str">
        <f ca="1">TEXT(AuswDipl4[[#This Row],[BS_4]],"#"&amp;F$2&amp;"0")</f>
        <v>3,2</v>
      </c>
      <c r="V28" t="str">
        <f ca="1">INDEX(INDIRECT($C$3),MATCH(AuswDipl4[[#This Row],[BS_4]],INDIRECT($B$3),0))</f>
        <v>Absolviert</v>
      </c>
      <c r="W28" s="13">
        <f ca="1">INDEX(INDIRECT($H$1),MATCH(AuswDipl4[[#This Row],[Medaille]],INDIRECT($C$1),0))</f>
        <v>4</v>
      </c>
    </row>
    <row r="29" spans="2:23">
      <c r="B29" s="45">
        <v>1.23</v>
      </c>
      <c r="C29" t="s">
        <v>85</v>
      </c>
      <c r="E29" s="2">
        <v>3.3</v>
      </c>
      <c r="F29" s="2" t="str">
        <f ca="1">TEXT(AuswDipl1[[#This Row],[BS_1]],"#"&amp;F$2&amp;"0")</f>
        <v>3,3</v>
      </c>
      <c r="G29" t="str">
        <f ca="1">INDEX(INDIRECT($C$3),MATCH(AuswDipl1[[#This Row],[BS_1]],INDIRECT($B$3),0))</f>
        <v>Absolviert</v>
      </c>
      <c r="H29" s="13">
        <f ca="1">INDEX(INDIRECT($H$1),MATCH(AuswDipl1[[#This Row],[Medaille]],INDIRECT($C$1),0))</f>
        <v>4</v>
      </c>
      <c r="J29" s="2">
        <v>3.3</v>
      </c>
      <c r="K29" s="2" t="str">
        <f ca="1">TEXT(AuswDipl2[[#This Row],[BS_2]],"#"&amp;F$2&amp;"0")</f>
        <v>3,3</v>
      </c>
      <c r="L29" t="str">
        <f ca="1">INDEX(INDIRECT($C$3),MATCH(AuswDipl2[[#This Row],[BS_2]],INDIRECT($B$3),0))</f>
        <v>Absolviert</v>
      </c>
      <c r="M29" s="13">
        <f ca="1">INDEX(INDIRECT($H$1),MATCH(AuswDipl2[[#This Row],[Medaille]],INDIRECT($C$1),0))</f>
        <v>4</v>
      </c>
      <c r="O29" s="2"/>
      <c r="P29" s="2"/>
      <c r="T29" s="2">
        <v>3.3</v>
      </c>
      <c r="U29" s="2" t="str">
        <f ca="1">TEXT(AuswDipl4[[#This Row],[BS_4]],"#"&amp;F$2&amp;"0")</f>
        <v>3,3</v>
      </c>
      <c r="V29" t="str">
        <f ca="1">INDEX(INDIRECT($C$3),MATCH(AuswDipl4[[#This Row],[BS_4]],INDIRECT($B$3),0))</f>
        <v>Absolviert</v>
      </c>
      <c r="W29" s="13">
        <f ca="1">INDEX(INDIRECT($H$1),MATCH(AuswDipl4[[#This Row],[Medaille]],INDIRECT($C$1),0))</f>
        <v>4</v>
      </c>
    </row>
    <row r="30" spans="2:23">
      <c r="B30" s="44">
        <v>1.24</v>
      </c>
      <c r="C30" t="s">
        <v>85</v>
      </c>
      <c r="E30" s="2">
        <v>3.4</v>
      </c>
      <c r="F30" s="2" t="str">
        <f ca="1">TEXT(AuswDipl1[[#This Row],[BS_1]],"#"&amp;F$2&amp;"0")</f>
        <v>3,4</v>
      </c>
      <c r="G30" t="str">
        <f ca="1">INDEX(INDIRECT($C$3),MATCH(AuswDipl1[[#This Row],[BS_1]],INDIRECT($B$3),0))</f>
        <v>Absolviert</v>
      </c>
      <c r="H30" s="13">
        <f ca="1">INDEX(INDIRECT($H$1),MATCH(AuswDipl1[[#This Row],[Medaille]],INDIRECT($C$1),0))</f>
        <v>4</v>
      </c>
      <c r="J30" s="2">
        <v>3.4</v>
      </c>
      <c r="K30" s="2" t="str">
        <f ca="1">TEXT(AuswDipl2[[#This Row],[BS_2]],"#"&amp;F$2&amp;"0")</f>
        <v>3,4</v>
      </c>
      <c r="L30" t="str">
        <f ca="1">INDEX(INDIRECT($C$3),MATCH(AuswDipl2[[#This Row],[BS_2]],INDIRECT($B$3),0))</f>
        <v>Absolviert</v>
      </c>
      <c r="M30" s="13">
        <f ca="1">INDEX(INDIRECT($H$1),MATCH(AuswDipl2[[#This Row],[Medaille]],INDIRECT($C$1),0))</f>
        <v>4</v>
      </c>
      <c r="O30" s="2"/>
      <c r="P30" s="2"/>
      <c r="T30" s="2">
        <v>3.4</v>
      </c>
      <c r="U30" s="2" t="str">
        <f ca="1">TEXT(AuswDipl4[[#This Row],[BS_4]],"#"&amp;F$2&amp;"0")</f>
        <v>3,4</v>
      </c>
      <c r="V30" t="str">
        <f ca="1">INDEX(INDIRECT($C$3),MATCH(AuswDipl4[[#This Row],[BS_4]],INDIRECT($B$3),0))</f>
        <v>Absolviert</v>
      </c>
      <c r="W30" s="13">
        <f ca="1">INDEX(INDIRECT($H$1),MATCH(AuswDipl4[[#This Row],[Medaille]],INDIRECT($C$1),0))</f>
        <v>4</v>
      </c>
    </row>
    <row r="31" spans="2:23">
      <c r="B31" s="45">
        <v>1.25</v>
      </c>
      <c r="C31" t="s">
        <v>85</v>
      </c>
      <c r="E31" s="2">
        <v>3.5</v>
      </c>
      <c r="F31" s="2" t="str">
        <f ca="1">TEXT(AuswDipl1[[#This Row],[BS_1]],"#"&amp;F$2&amp;"0")</f>
        <v>3,5</v>
      </c>
      <c r="G31" t="str">
        <f ca="1">INDEX(INDIRECT($C$3),MATCH(AuswDipl1[[#This Row],[BS_1]],INDIRECT($B$3),0))</f>
        <v>Absolviert</v>
      </c>
      <c r="H31" s="13">
        <f ca="1">INDEX(INDIRECT($H$1),MATCH(AuswDipl1[[#This Row],[Medaille]],INDIRECT($C$1),0))</f>
        <v>4</v>
      </c>
      <c r="J31" s="2">
        <v>3.5</v>
      </c>
      <c r="K31" s="2" t="str">
        <f ca="1">TEXT(AuswDipl2[[#This Row],[BS_2]],"#"&amp;F$2&amp;"0")</f>
        <v>3,5</v>
      </c>
      <c r="L31" t="str">
        <f ca="1">INDEX(INDIRECT($C$3),MATCH(AuswDipl2[[#This Row],[BS_2]],INDIRECT($B$3),0))</f>
        <v>Absolviert</v>
      </c>
      <c r="M31" s="13">
        <f ca="1">INDEX(INDIRECT($H$1),MATCH(AuswDipl2[[#This Row],[Medaille]],INDIRECT($C$1),0))</f>
        <v>4</v>
      </c>
      <c r="O31" s="2"/>
      <c r="P31" s="2"/>
      <c r="T31" s="2">
        <v>3.5</v>
      </c>
      <c r="U31" s="2" t="str">
        <f ca="1">TEXT(AuswDipl4[[#This Row],[BS_4]],"#"&amp;F$2&amp;"0")</f>
        <v>3,5</v>
      </c>
      <c r="V31" t="str">
        <f ca="1">INDEX(INDIRECT($C$3),MATCH(AuswDipl4[[#This Row],[BS_4]],INDIRECT($B$3),0))</f>
        <v>Absolviert</v>
      </c>
      <c r="W31" s="13">
        <f ca="1">INDEX(INDIRECT($H$1),MATCH(AuswDipl4[[#This Row],[Medaille]],INDIRECT($C$1),0))</f>
        <v>4</v>
      </c>
    </row>
    <row r="32" spans="2:23">
      <c r="B32" s="44">
        <v>1.26</v>
      </c>
      <c r="C32" t="s">
        <v>85</v>
      </c>
      <c r="E32" s="2">
        <v>3.6</v>
      </c>
      <c r="F32" s="2" t="str">
        <f ca="1">TEXT(AuswDipl1[[#This Row],[BS_1]],"#"&amp;F$2&amp;"0")</f>
        <v>3,6</v>
      </c>
      <c r="G32" t="str">
        <f ca="1">INDEX(INDIRECT($C$3),MATCH(AuswDipl1[[#This Row],[BS_1]],INDIRECT($B$3),0))</f>
        <v>Absolviert</v>
      </c>
      <c r="H32" s="13">
        <f ca="1">INDEX(INDIRECT($H$1),MATCH(AuswDipl1[[#This Row],[Medaille]],INDIRECT($C$1),0))</f>
        <v>4</v>
      </c>
      <c r="J32" s="2">
        <v>3.6</v>
      </c>
      <c r="K32" s="2" t="str">
        <f ca="1">TEXT(AuswDipl2[[#This Row],[BS_2]],"#"&amp;F$2&amp;"0")</f>
        <v>3,6</v>
      </c>
      <c r="L32" t="str">
        <f ca="1">INDEX(INDIRECT($C$3),MATCH(AuswDipl2[[#This Row],[BS_2]],INDIRECT($B$3),0))</f>
        <v>Absolviert</v>
      </c>
      <c r="M32" s="13">
        <f ca="1">INDEX(INDIRECT($H$1),MATCH(AuswDipl2[[#This Row],[Medaille]],INDIRECT($C$1),0))</f>
        <v>4</v>
      </c>
      <c r="O32" s="2"/>
      <c r="P32" s="2"/>
      <c r="T32" s="2">
        <v>3.6</v>
      </c>
      <c r="U32" s="2" t="str">
        <f ca="1">TEXT(AuswDipl4[[#This Row],[BS_4]],"#"&amp;F$2&amp;"0")</f>
        <v>3,6</v>
      </c>
      <c r="V32" t="str">
        <f ca="1">INDEX(INDIRECT($C$3),MATCH(AuswDipl4[[#This Row],[BS_4]],INDIRECT($B$3),0))</f>
        <v>Absolviert</v>
      </c>
      <c r="W32" s="13">
        <f ca="1">INDEX(INDIRECT($H$1),MATCH(AuswDipl4[[#This Row],[Medaille]],INDIRECT($C$1),0))</f>
        <v>4</v>
      </c>
    </row>
    <row r="33" spans="2:23">
      <c r="B33" s="45">
        <v>1.27</v>
      </c>
      <c r="C33" t="s">
        <v>85</v>
      </c>
      <c r="E33" s="2">
        <v>3.7</v>
      </c>
      <c r="F33" s="2" t="str">
        <f ca="1">TEXT(AuswDipl1[[#This Row],[BS_1]],"#"&amp;F$2&amp;"0")</f>
        <v>3,7</v>
      </c>
      <c r="G33" t="str">
        <f ca="1">INDEX(INDIRECT($C$3),MATCH(AuswDipl1[[#This Row],[BS_1]],INDIRECT($B$3),0))</f>
        <v>Absolviert</v>
      </c>
      <c r="H33" s="13">
        <f ca="1">INDEX(INDIRECT($H$1),MATCH(AuswDipl1[[#This Row],[Medaille]],INDIRECT($C$1),0))</f>
        <v>4</v>
      </c>
      <c r="J33" s="2">
        <v>3.7</v>
      </c>
      <c r="K33" s="2" t="str">
        <f ca="1">TEXT(AuswDipl2[[#This Row],[BS_2]],"#"&amp;F$2&amp;"0")</f>
        <v>3,7</v>
      </c>
      <c r="L33" t="str">
        <f ca="1">INDEX(INDIRECT($C$3),MATCH(AuswDipl2[[#This Row],[BS_2]],INDIRECT($B$3),0))</f>
        <v>Absolviert</v>
      </c>
      <c r="M33" s="13">
        <f ca="1">INDEX(INDIRECT($H$1),MATCH(AuswDipl2[[#This Row],[Medaille]],INDIRECT($C$1),0))</f>
        <v>4</v>
      </c>
      <c r="T33" s="2">
        <v>3.7</v>
      </c>
      <c r="U33" s="2" t="str">
        <f ca="1">TEXT(AuswDipl4[[#This Row],[BS_4]],"#"&amp;F$2&amp;"0")</f>
        <v>3,7</v>
      </c>
      <c r="V33" t="str">
        <f ca="1">INDEX(INDIRECT($C$3),MATCH(AuswDipl4[[#This Row],[BS_4]],INDIRECT($B$3),0))</f>
        <v>Absolviert</v>
      </c>
      <c r="W33" s="13">
        <f ca="1">INDEX(INDIRECT($H$1),MATCH(AuswDipl4[[#This Row],[Medaille]],INDIRECT($C$1),0))</f>
        <v>4</v>
      </c>
    </row>
    <row r="34" spans="2:23">
      <c r="B34" s="44">
        <v>1.28</v>
      </c>
      <c r="C34" t="s">
        <v>85</v>
      </c>
      <c r="E34" s="2">
        <v>3.8</v>
      </c>
      <c r="F34" s="2" t="str">
        <f ca="1">TEXT(AuswDipl1[[#This Row],[BS_1]],"#"&amp;F$2&amp;"0")</f>
        <v>3,8</v>
      </c>
      <c r="G34" t="str">
        <f ca="1">INDEX(INDIRECT($C$3),MATCH(AuswDipl1[[#This Row],[BS_1]],INDIRECT($B$3),0))</f>
        <v>Bronze</v>
      </c>
      <c r="H34" s="13">
        <f ca="1">INDEX(INDIRECT($H$1),MATCH(AuswDipl1[[#This Row],[Medaille]],INDIRECT($C$1),0))</f>
        <v>3</v>
      </c>
      <c r="J34" s="2">
        <v>3.8</v>
      </c>
      <c r="K34" s="2" t="str">
        <f ca="1">TEXT(AuswDipl2[[#This Row],[BS_2]],"#"&amp;F$2&amp;"0")</f>
        <v>3,8</v>
      </c>
      <c r="L34" t="str">
        <f ca="1">INDEX(INDIRECT($C$3),MATCH(AuswDipl2[[#This Row],[BS_2]],INDIRECT($B$3),0))</f>
        <v>Bronze</v>
      </c>
      <c r="M34" s="13">
        <f ca="1">INDEX(INDIRECT($H$1),MATCH(AuswDipl2[[#This Row],[Medaille]],INDIRECT($C$1),0))</f>
        <v>3</v>
      </c>
      <c r="T34" s="2">
        <v>3.8</v>
      </c>
      <c r="U34" s="2" t="str">
        <f ca="1">TEXT(AuswDipl4[[#This Row],[BS_4]],"#"&amp;F$2&amp;"0")</f>
        <v>3,8</v>
      </c>
      <c r="V34" t="str">
        <f ca="1">INDEX(INDIRECT($C$3),MATCH(AuswDipl4[[#This Row],[BS_4]],INDIRECT($B$3),0))</f>
        <v>Bronze</v>
      </c>
      <c r="W34" s="13">
        <f ca="1">INDEX(INDIRECT($H$1),MATCH(AuswDipl4[[#This Row],[Medaille]],INDIRECT($C$1),0))</f>
        <v>3</v>
      </c>
    </row>
    <row r="35" spans="2:23">
      <c r="B35" s="45">
        <v>1.29</v>
      </c>
      <c r="C35" t="s">
        <v>85</v>
      </c>
      <c r="E35" s="2">
        <v>3.9</v>
      </c>
      <c r="F35" s="2" t="str">
        <f ca="1">TEXT(AuswDipl1[[#This Row],[BS_1]],"#"&amp;F$2&amp;"0")</f>
        <v>3,9</v>
      </c>
      <c r="G35" t="str">
        <f ca="1">INDEX(INDIRECT($C$3),MATCH(AuswDipl1[[#This Row],[BS_1]],INDIRECT($B$3),0))</f>
        <v>Bronze</v>
      </c>
      <c r="H35" s="13">
        <f ca="1">INDEX(INDIRECT($H$1),MATCH(AuswDipl1[[#This Row],[Medaille]],INDIRECT($C$1),0))</f>
        <v>3</v>
      </c>
      <c r="J35" s="2">
        <v>3.9</v>
      </c>
      <c r="K35" s="2" t="str">
        <f ca="1">TEXT(AuswDipl2[[#This Row],[BS_2]],"#"&amp;F$2&amp;"0")</f>
        <v>3,9</v>
      </c>
      <c r="L35" t="str">
        <f ca="1">INDEX(INDIRECT($C$3),MATCH(AuswDipl2[[#This Row],[BS_2]],INDIRECT($B$3),0))</f>
        <v>Bronze</v>
      </c>
      <c r="M35" s="13">
        <f ca="1">INDEX(INDIRECT($H$1),MATCH(AuswDipl2[[#This Row],[Medaille]],INDIRECT($C$1),0))</f>
        <v>3</v>
      </c>
      <c r="T35" s="2">
        <v>3.9</v>
      </c>
      <c r="U35" s="2" t="str">
        <f ca="1">TEXT(AuswDipl4[[#This Row],[BS_4]],"#"&amp;F$2&amp;"0")</f>
        <v>3,9</v>
      </c>
      <c r="V35" t="str">
        <f ca="1">INDEX(INDIRECT($C$3),MATCH(AuswDipl4[[#This Row],[BS_4]],INDIRECT($B$3),0))</f>
        <v>Bronze</v>
      </c>
      <c r="W35" s="13">
        <f ca="1">INDEX(INDIRECT($H$1),MATCH(AuswDipl4[[#This Row],[Medaille]],INDIRECT($C$1),0))</f>
        <v>3</v>
      </c>
    </row>
    <row r="36" spans="2:23">
      <c r="B36" s="44">
        <v>1.3</v>
      </c>
      <c r="C36" t="s">
        <v>85</v>
      </c>
      <c r="E36" s="2">
        <v>4</v>
      </c>
      <c r="F36" s="2" t="str">
        <f ca="1">TEXT(AuswDipl1[[#This Row],[BS_1]],"#"&amp;F$2&amp;"0")</f>
        <v>4,0</v>
      </c>
      <c r="G36" t="str">
        <f ca="1">INDEX(INDIRECT($C$3),MATCH(AuswDipl1[[#This Row],[BS_1]],INDIRECT($B$3),0))</f>
        <v>Bronze</v>
      </c>
      <c r="H36" s="13">
        <f ca="1">INDEX(INDIRECT($H$1),MATCH(AuswDipl1[[#This Row],[Medaille]],INDIRECT($C$1),0))</f>
        <v>3</v>
      </c>
      <c r="J36" s="2">
        <v>4</v>
      </c>
      <c r="K36" s="2" t="str">
        <f ca="1">TEXT(AuswDipl2[[#This Row],[BS_2]],"#"&amp;F$2&amp;"0")</f>
        <v>4,0</v>
      </c>
      <c r="L36" t="str">
        <f ca="1">INDEX(INDIRECT($C$3),MATCH(AuswDipl2[[#This Row],[BS_2]],INDIRECT($B$3),0))</f>
        <v>Bronze</v>
      </c>
      <c r="M36" s="13">
        <f ca="1">INDEX(INDIRECT($H$1),MATCH(AuswDipl2[[#This Row],[Medaille]],INDIRECT($C$1),0))</f>
        <v>3</v>
      </c>
      <c r="T36" s="2">
        <v>4</v>
      </c>
      <c r="U36" s="2" t="str">
        <f ca="1">TEXT(AuswDipl4[[#This Row],[BS_4]],"#"&amp;F$2&amp;"0")</f>
        <v>4,0</v>
      </c>
      <c r="V36" t="str">
        <f ca="1">INDEX(INDIRECT($C$3),MATCH(AuswDipl4[[#This Row],[BS_4]],INDIRECT($B$3),0))</f>
        <v>Bronze</v>
      </c>
      <c r="W36" s="13">
        <f ca="1">INDEX(INDIRECT($H$1),MATCH(AuswDipl4[[#This Row],[Medaille]],INDIRECT($C$1),0))</f>
        <v>3</v>
      </c>
    </row>
    <row r="37" spans="2:23">
      <c r="B37" s="45">
        <v>1.31</v>
      </c>
      <c r="C37" t="s">
        <v>85</v>
      </c>
      <c r="E37" s="2">
        <v>4.0999999999999996</v>
      </c>
      <c r="F37" s="2" t="str">
        <f ca="1">TEXT(AuswDipl1[[#This Row],[BS_1]],"#"&amp;F$2&amp;"0")</f>
        <v>4,1</v>
      </c>
      <c r="G37" t="str">
        <f ca="1">INDEX(INDIRECT($C$3),MATCH(AuswDipl1[[#This Row],[BS_1]],INDIRECT($B$3),0))</f>
        <v>Bronze</v>
      </c>
      <c r="H37" s="13">
        <f ca="1">INDEX(INDIRECT($H$1),MATCH(AuswDipl1[[#This Row],[Medaille]],INDIRECT($C$1),0))</f>
        <v>3</v>
      </c>
      <c r="J37" s="2">
        <v>4.0999999999999996</v>
      </c>
      <c r="K37" s="2" t="str">
        <f ca="1">TEXT(AuswDipl2[[#This Row],[BS_2]],"#"&amp;F$2&amp;"0")</f>
        <v>4,1</v>
      </c>
      <c r="L37" t="str">
        <f ca="1">INDEX(INDIRECT($C$3),MATCH(AuswDipl2[[#This Row],[BS_2]],INDIRECT($B$3),0))</f>
        <v>Bronze</v>
      </c>
      <c r="M37" s="13">
        <f ca="1">INDEX(INDIRECT($H$1),MATCH(AuswDipl2[[#This Row],[Medaille]],INDIRECT($C$1),0))</f>
        <v>3</v>
      </c>
      <c r="T37" s="2">
        <v>4.0999999999999996</v>
      </c>
      <c r="U37" s="2" t="str">
        <f ca="1">TEXT(AuswDipl4[[#This Row],[BS_4]],"#"&amp;F$2&amp;"0")</f>
        <v>4,1</v>
      </c>
      <c r="V37" t="str">
        <f ca="1">INDEX(INDIRECT($C$3),MATCH(AuswDipl4[[#This Row],[BS_4]],INDIRECT($B$3),0))</f>
        <v>Bronze</v>
      </c>
      <c r="W37" s="13">
        <f ca="1">INDEX(INDIRECT($H$1),MATCH(AuswDipl4[[#This Row],[Medaille]],INDIRECT($C$1),0))</f>
        <v>3</v>
      </c>
    </row>
    <row r="38" spans="2:23">
      <c r="B38" s="44">
        <v>1.32</v>
      </c>
      <c r="C38" t="s">
        <v>85</v>
      </c>
      <c r="E38" s="2">
        <v>4.2</v>
      </c>
      <c r="F38" s="2" t="str">
        <f ca="1">TEXT(AuswDipl1[[#This Row],[BS_1]],"#"&amp;F$2&amp;"0")</f>
        <v>4,2</v>
      </c>
      <c r="G38" t="str">
        <f ca="1">INDEX(INDIRECT($C$3),MATCH(AuswDipl1[[#This Row],[BS_1]],INDIRECT($B$3),0))</f>
        <v>Bronze</v>
      </c>
      <c r="H38" s="13">
        <f ca="1">INDEX(INDIRECT($H$1),MATCH(AuswDipl1[[#This Row],[Medaille]],INDIRECT($C$1),0))</f>
        <v>3</v>
      </c>
      <c r="J38" s="2">
        <v>4.2</v>
      </c>
      <c r="K38" s="2" t="str">
        <f ca="1">TEXT(AuswDipl2[[#This Row],[BS_2]],"#"&amp;F$2&amp;"0")</f>
        <v>4,2</v>
      </c>
      <c r="L38" t="str">
        <f ca="1">INDEX(INDIRECT($C$3),MATCH(AuswDipl2[[#This Row],[BS_2]],INDIRECT($B$3),0))</f>
        <v>Bronze</v>
      </c>
      <c r="M38" s="13">
        <f ca="1">INDEX(INDIRECT($H$1),MATCH(AuswDipl2[[#This Row],[Medaille]],INDIRECT($C$1),0))</f>
        <v>3</v>
      </c>
      <c r="T38" s="2">
        <v>4.2</v>
      </c>
      <c r="U38" s="2" t="str">
        <f ca="1">TEXT(AuswDipl4[[#This Row],[BS_4]],"#"&amp;F$2&amp;"0")</f>
        <v>4,2</v>
      </c>
      <c r="V38" t="str">
        <f ca="1">INDEX(INDIRECT($C$3),MATCH(AuswDipl4[[#This Row],[BS_4]],INDIRECT($B$3),0))</f>
        <v>Bronze</v>
      </c>
      <c r="W38" s="13">
        <f ca="1">INDEX(INDIRECT($H$1),MATCH(AuswDipl4[[#This Row],[Medaille]],INDIRECT($C$1),0))</f>
        <v>3</v>
      </c>
    </row>
    <row r="39" spans="2:23">
      <c r="B39" s="45">
        <v>1.33</v>
      </c>
      <c r="C39" t="s">
        <v>85</v>
      </c>
      <c r="E39" s="2">
        <v>4.3</v>
      </c>
      <c r="F39" s="2" t="str">
        <f ca="1">TEXT(AuswDipl1[[#This Row],[BS_1]],"#"&amp;F$2&amp;"0")</f>
        <v>4,3</v>
      </c>
      <c r="G39" t="str">
        <f ca="1">INDEX(INDIRECT($C$3),MATCH(AuswDipl1[[#This Row],[BS_1]],INDIRECT($B$3),0))</f>
        <v>Bronze</v>
      </c>
      <c r="H39" s="13">
        <f ca="1">INDEX(INDIRECT($H$1),MATCH(AuswDipl1[[#This Row],[Medaille]],INDIRECT($C$1),0))</f>
        <v>3</v>
      </c>
      <c r="J39" s="2">
        <v>4.3</v>
      </c>
      <c r="K39" s="2" t="str">
        <f ca="1">TEXT(AuswDipl2[[#This Row],[BS_2]],"#"&amp;F$2&amp;"0")</f>
        <v>4,3</v>
      </c>
      <c r="L39" t="str">
        <f ca="1">INDEX(INDIRECT($C$3),MATCH(AuswDipl2[[#This Row],[BS_2]],INDIRECT($B$3),0))</f>
        <v>Bronze</v>
      </c>
      <c r="M39" s="13">
        <f ca="1">INDEX(INDIRECT($H$1),MATCH(AuswDipl2[[#This Row],[Medaille]],INDIRECT($C$1),0))</f>
        <v>3</v>
      </c>
      <c r="T39" s="2">
        <v>4.3</v>
      </c>
      <c r="U39" s="2" t="str">
        <f ca="1">TEXT(AuswDipl4[[#This Row],[BS_4]],"#"&amp;F$2&amp;"0")</f>
        <v>4,3</v>
      </c>
      <c r="V39" t="str">
        <f ca="1">INDEX(INDIRECT($C$3),MATCH(AuswDipl4[[#This Row],[BS_4]],INDIRECT($B$3),0))</f>
        <v>Bronze</v>
      </c>
      <c r="W39" s="13">
        <f ca="1">INDEX(INDIRECT($H$1),MATCH(AuswDipl4[[#This Row],[Medaille]],INDIRECT($C$1),0))</f>
        <v>3</v>
      </c>
    </row>
    <row r="40" spans="2:23">
      <c r="B40" s="44">
        <v>1.34</v>
      </c>
      <c r="C40" t="s">
        <v>85</v>
      </c>
      <c r="E40" s="2">
        <v>4.4000000000000004</v>
      </c>
      <c r="F40" s="2" t="str">
        <f ca="1">TEXT(AuswDipl1[[#This Row],[BS_1]],"#"&amp;F$2&amp;"0")</f>
        <v>4,4</v>
      </c>
      <c r="G40" t="str">
        <f ca="1">INDEX(INDIRECT($C$3),MATCH(AuswDipl1[[#This Row],[BS_1]],INDIRECT($B$3),0))</f>
        <v>Bronze</v>
      </c>
      <c r="H40" s="13">
        <f ca="1">INDEX(INDIRECT($H$1),MATCH(AuswDipl1[[#This Row],[Medaille]],INDIRECT($C$1),0))</f>
        <v>3</v>
      </c>
      <c r="J40" s="2">
        <v>4.4000000000000004</v>
      </c>
      <c r="K40" s="2" t="str">
        <f ca="1">TEXT(AuswDipl2[[#This Row],[BS_2]],"#"&amp;F$2&amp;"0")</f>
        <v>4,4</v>
      </c>
      <c r="L40" t="str">
        <f ca="1">INDEX(INDIRECT($C$3),MATCH(AuswDipl2[[#This Row],[BS_2]],INDIRECT($B$3),0))</f>
        <v>Bronze</v>
      </c>
      <c r="M40" s="13">
        <f ca="1">INDEX(INDIRECT($H$1),MATCH(AuswDipl2[[#This Row],[Medaille]],INDIRECT($C$1),0))</f>
        <v>3</v>
      </c>
      <c r="T40" s="2">
        <v>4.4000000000000004</v>
      </c>
      <c r="U40" s="2" t="str">
        <f ca="1">TEXT(AuswDipl4[[#This Row],[BS_4]],"#"&amp;F$2&amp;"0")</f>
        <v>4,4</v>
      </c>
      <c r="V40" t="str">
        <f ca="1">INDEX(INDIRECT($C$3),MATCH(AuswDipl4[[#This Row],[BS_4]],INDIRECT($B$3),0))</f>
        <v>Bronze</v>
      </c>
      <c r="W40" s="13">
        <f ca="1">INDEX(INDIRECT($H$1),MATCH(AuswDipl4[[#This Row],[Medaille]],INDIRECT($C$1),0))</f>
        <v>3</v>
      </c>
    </row>
    <row r="41" spans="2:23">
      <c r="B41" s="45">
        <v>1.35</v>
      </c>
      <c r="C41" t="s">
        <v>85</v>
      </c>
      <c r="E41" s="2">
        <v>4.5</v>
      </c>
      <c r="F41" s="2" t="str">
        <f ca="1">TEXT(AuswDipl1[[#This Row],[BS_1]],"#"&amp;F$2&amp;"0")</f>
        <v>4,5</v>
      </c>
      <c r="G41" t="str">
        <f ca="1">INDEX(INDIRECT($C$3),MATCH(AuswDipl1[[#This Row],[BS_1]],INDIRECT($B$3),0))</f>
        <v>Bronze</v>
      </c>
      <c r="H41" s="13">
        <f ca="1">INDEX(INDIRECT($H$1),MATCH(AuswDipl1[[#This Row],[Medaille]],INDIRECT($C$1),0))</f>
        <v>3</v>
      </c>
      <c r="J41" s="2">
        <v>4.5</v>
      </c>
      <c r="K41" s="2" t="str">
        <f ca="1">TEXT(AuswDipl2[[#This Row],[BS_2]],"#"&amp;F$2&amp;"0")</f>
        <v>4,5</v>
      </c>
      <c r="L41" t="str">
        <f ca="1">INDEX(INDIRECT($C$3),MATCH(AuswDipl2[[#This Row],[BS_2]],INDIRECT($B$3),0))</f>
        <v>Bronze</v>
      </c>
      <c r="M41" s="13">
        <f ca="1">INDEX(INDIRECT($H$1),MATCH(AuswDipl2[[#This Row],[Medaille]],INDIRECT($C$1),0))</f>
        <v>3</v>
      </c>
      <c r="T41" s="2">
        <v>4.5</v>
      </c>
      <c r="U41" s="2" t="str">
        <f ca="1">TEXT(AuswDipl4[[#This Row],[BS_4]],"#"&amp;F$2&amp;"0")</f>
        <v>4,5</v>
      </c>
      <c r="V41" t="str">
        <f ca="1">INDEX(INDIRECT($C$3),MATCH(AuswDipl4[[#This Row],[BS_4]],INDIRECT($B$3),0))</f>
        <v>Bronze</v>
      </c>
      <c r="W41" s="13">
        <f ca="1">INDEX(INDIRECT($H$1),MATCH(AuswDipl4[[#This Row],[Medaille]],INDIRECT($C$1),0))</f>
        <v>3</v>
      </c>
    </row>
    <row r="42" spans="2:23">
      <c r="B42" s="44">
        <v>1.36</v>
      </c>
      <c r="C42" t="s">
        <v>85</v>
      </c>
      <c r="E42" s="2">
        <v>4.5999999999999996</v>
      </c>
      <c r="F42" s="2" t="str">
        <f ca="1">TEXT(AuswDipl1[[#This Row],[BS_1]],"#"&amp;F$2&amp;"0")</f>
        <v>4,6</v>
      </c>
      <c r="G42" t="str">
        <f ca="1">INDEX(INDIRECT($C$3),MATCH(AuswDipl1[[#This Row],[BS_1]],INDIRECT($B$3),0))</f>
        <v>Bronze</v>
      </c>
      <c r="H42" s="13">
        <f ca="1">INDEX(INDIRECT($H$1),MATCH(AuswDipl1[[#This Row],[Medaille]],INDIRECT($C$1),0))</f>
        <v>3</v>
      </c>
      <c r="J42" s="2">
        <v>4.5999999999999996</v>
      </c>
      <c r="K42" s="2" t="str">
        <f ca="1">TEXT(AuswDipl2[[#This Row],[BS_2]],"#"&amp;F$2&amp;"0")</f>
        <v>4,6</v>
      </c>
      <c r="L42" t="str">
        <f ca="1">INDEX(INDIRECT($C$3),MATCH(AuswDipl2[[#This Row],[BS_2]],INDIRECT($B$3),0))</f>
        <v>Bronze</v>
      </c>
      <c r="M42" s="13">
        <f ca="1">INDEX(INDIRECT($H$1),MATCH(AuswDipl2[[#This Row],[Medaille]],INDIRECT($C$1),0))</f>
        <v>3</v>
      </c>
      <c r="T42" s="2">
        <v>4.5999999999999996</v>
      </c>
      <c r="U42" s="2" t="str">
        <f ca="1">TEXT(AuswDipl4[[#This Row],[BS_4]],"#"&amp;F$2&amp;"0")</f>
        <v>4,6</v>
      </c>
      <c r="V42" t="str">
        <f ca="1">INDEX(INDIRECT($C$3),MATCH(AuswDipl4[[#This Row],[BS_4]],INDIRECT($B$3),0))</f>
        <v>Bronze</v>
      </c>
      <c r="W42" s="13">
        <f ca="1">INDEX(INDIRECT($H$1),MATCH(AuswDipl4[[#This Row],[Medaille]],INDIRECT($C$1),0))</f>
        <v>3</v>
      </c>
    </row>
    <row r="43" spans="2:23">
      <c r="B43" s="45">
        <v>1.37</v>
      </c>
      <c r="C43" t="s">
        <v>85</v>
      </c>
      <c r="E43" s="2">
        <v>4.7</v>
      </c>
      <c r="F43" s="2" t="str">
        <f ca="1">TEXT(AuswDipl1[[#This Row],[BS_1]],"#"&amp;F$2&amp;"0")</f>
        <v>4,7</v>
      </c>
      <c r="G43" t="str">
        <f ca="1">INDEX(INDIRECT($C$3),MATCH(AuswDipl1[[#This Row],[BS_1]],INDIRECT($B$3),0))</f>
        <v>Bronze</v>
      </c>
      <c r="H43" s="13">
        <f ca="1">INDEX(INDIRECT($H$1),MATCH(AuswDipl1[[#This Row],[Medaille]],INDIRECT($C$1),0))</f>
        <v>3</v>
      </c>
      <c r="J43" s="2">
        <v>4.7</v>
      </c>
      <c r="K43" s="2" t="str">
        <f ca="1">TEXT(AuswDipl2[[#This Row],[BS_2]],"#"&amp;F$2&amp;"0")</f>
        <v>4,7</v>
      </c>
      <c r="L43" t="str">
        <f ca="1">INDEX(INDIRECT($C$3),MATCH(AuswDipl2[[#This Row],[BS_2]],INDIRECT($B$3),0))</f>
        <v>Bronze</v>
      </c>
      <c r="M43" s="13">
        <f ca="1">INDEX(INDIRECT($H$1),MATCH(AuswDipl2[[#This Row],[Medaille]],INDIRECT($C$1),0))</f>
        <v>3</v>
      </c>
      <c r="T43" s="2">
        <v>4.7</v>
      </c>
      <c r="U43" s="2" t="str">
        <f ca="1">TEXT(AuswDipl4[[#This Row],[BS_4]],"#"&amp;F$2&amp;"0")</f>
        <v>4,7</v>
      </c>
      <c r="V43" t="str">
        <f ca="1">INDEX(INDIRECT($C$3),MATCH(AuswDipl4[[#This Row],[BS_4]],INDIRECT($B$3),0))</f>
        <v>Bronze</v>
      </c>
      <c r="W43" s="13">
        <f ca="1">INDEX(INDIRECT($H$1),MATCH(AuswDipl4[[#This Row],[Medaille]],INDIRECT($C$1),0))</f>
        <v>3</v>
      </c>
    </row>
    <row r="44" spans="2:23">
      <c r="B44" s="44">
        <v>1.38</v>
      </c>
      <c r="C44" t="s">
        <v>85</v>
      </c>
      <c r="E44" s="2">
        <v>4.8</v>
      </c>
      <c r="F44" s="2" t="str">
        <f ca="1">TEXT(AuswDipl1[[#This Row],[BS_1]],"#"&amp;F$2&amp;"0")</f>
        <v>4,8</v>
      </c>
      <c r="G44" t="str">
        <f ca="1">INDEX(INDIRECT($C$3),MATCH(AuswDipl1[[#This Row],[BS_1]],INDIRECT($B$3),0))</f>
        <v>Silber</v>
      </c>
      <c r="H44" s="13">
        <f ca="1">INDEX(INDIRECT($H$1),MATCH(AuswDipl1[[#This Row],[Medaille]],INDIRECT($C$1),0))</f>
        <v>2</v>
      </c>
      <c r="J44" s="2">
        <v>4.8</v>
      </c>
      <c r="K44" s="2" t="str">
        <f ca="1">TEXT(AuswDipl2[[#This Row],[BS_2]],"#"&amp;F$2&amp;"0")</f>
        <v>4,8</v>
      </c>
      <c r="L44" t="str">
        <f ca="1">INDEX(INDIRECT($C$3),MATCH(AuswDipl2[[#This Row],[BS_2]],INDIRECT($B$3),0))</f>
        <v>Silber</v>
      </c>
      <c r="M44" s="13">
        <f ca="1">INDEX(INDIRECT($H$1),MATCH(AuswDipl2[[#This Row],[Medaille]],INDIRECT($C$1),0))</f>
        <v>2</v>
      </c>
      <c r="T44" s="2">
        <v>4.8</v>
      </c>
      <c r="U44" s="2" t="str">
        <f ca="1">TEXT(AuswDipl4[[#This Row],[BS_4]],"#"&amp;F$2&amp;"0")</f>
        <v>4,8</v>
      </c>
      <c r="V44" t="str">
        <f ca="1">INDEX(INDIRECT($C$3),MATCH(AuswDipl4[[#This Row],[BS_4]],INDIRECT($B$3),0))</f>
        <v>Silber</v>
      </c>
      <c r="W44" s="13">
        <f ca="1">INDEX(INDIRECT($H$1),MATCH(AuswDipl4[[#This Row],[Medaille]],INDIRECT($C$1),0))</f>
        <v>2</v>
      </c>
    </row>
    <row r="45" spans="2:23">
      <c r="B45" s="45">
        <v>1.39</v>
      </c>
      <c r="C45" t="s">
        <v>85</v>
      </c>
      <c r="E45" s="2">
        <v>4.9000000000000004</v>
      </c>
      <c r="F45" s="2" t="str">
        <f ca="1">TEXT(AuswDipl1[[#This Row],[BS_1]],"#"&amp;F$2&amp;"0")</f>
        <v>4,9</v>
      </c>
      <c r="G45" t="str">
        <f ca="1">INDEX(INDIRECT($C$3),MATCH(AuswDipl1[[#This Row],[BS_1]],INDIRECT($B$3),0))</f>
        <v>Silber</v>
      </c>
      <c r="H45" s="13">
        <f ca="1">INDEX(INDIRECT($H$1),MATCH(AuswDipl1[[#This Row],[Medaille]],INDIRECT($C$1),0))</f>
        <v>2</v>
      </c>
      <c r="J45" s="2">
        <v>4.9000000000000004</v>
      </c>
      <c r="K45" s="2" t="str">
        <f ca="1">TEXT(AuswDipl2[[#This Row],[BS_2]],"#"&amp;F$2&amp;"0")</f>
        <v>4,9</v>
      </c>
      <c r="L45" t="str">
        <f ca="1">INDEX(INDIRECT($C$3),MATCH(AuswDipl2[[#This Row],[BS_2]],INDIRECT($B$3),0))</f>
        <v>Silber</v>
      </c>
      <c r="M45" s="13">
        <f ca="1">INDEX(INDIRECT($H$1),MATCH(AuswDipl2[[#This Row],[Medaille]],INDIRECT($C$1),0))</f>
        <v>2</v>
      </c>
      <c r="T45" s="2">
        <v>4.9000000000000004</v>
      </c>
      <c r="U45" s="2" t="str">
        <f ca="1">TEXT(AuswDipl4[[#This Row],[BS_4]],"#"&amp;F$2&amp;"0")</f>
        <v>4,9</v>
      </c>
      <c r="V45" t="str">
        <f ca="1">INDEX(INDIRECT($C$3),MATCH(AuswDipl4[[#This Row],[BS_4]],INDIRECT($B$3),0))</f>
        <v>Silber</v>
      </c>
      <c r="W45" s="13">
        <f ca="1">INDEX(INDIRECT($H$1),MATCH(AuswDipl4[[#This Row],[Medaille]],INDIRECT($C$1),0))</f>
        <v>2</v>
      </c>
    </row>
    <row r="46" spans="2:23">
      <c r="B46" s="44">
        <v>1.4</v>
      </c>
      <c r="C46" t="s">
        <v>85</v>
      </c>
      <c r="E46" s="2">
        <v>5</v>
      </c>
      <c r="F46" s="2" t="str">
        <f ca="1">TEXT(AuswDipl1[[#This Row],[BS_1]],"#"&amp;F$2&amp;"0")</f>
        <v>5,0</v>
      </c>
      <c r="G46" t="str">
        <f ca="1">INDEX(INDIRECT($C$3),MATCH(AuswDipl1[[#This Row],[BS_1]],INDIRECT($B$3),0))</f>
        <v>Silber</v>
      </c>
      <c r="H46" s="13">
        <f ca="1">INDEX(INDIRECT($H$1),MATCH(AuswDipl1[[#This Row],[Medaille]],INDIRECT($C$1),0))</f>
        <v>2</v>
      </c>
      <c r="J46" s="2">
        <v>5</v>
      </c>
      <c r="K46" s="2" t="str">
        <f ca="1">TEXT(AuswDipl2[[#This Row],[BS_2]],"#"&amp;F$2&amp;"0")</f>
        <v>5,0</v>
      </c>
      <c r="L46" t="str">
        <f ca="1">INDEX(INDIRECT($C$3),MATCH(AuswDipl2[[#This Row],[BS_2]],INDIRECT($B$3),0))</f>
        <v>Silber</v>
      </c>
      <c r="M46" s="13">
        <f ca="1">INDEX(INDIRECT($H$1),MATCH(AuswDipl2[[#This Row],[Medaille]],INDIRECT($C$1),0))</f>
        <v>2</v>
      </c>
      <c r="T46" s="2">
        <v>5</v>
      </c>
      <c r="U46" s="2" t="str">
        <f ca="1">TEXT(AuswDipl4[[#This Row],[BS_4]],"#"&amp;F$2&amp;"0")</f>
        <v>5,0</v>
      </c>
      <c r="V46" t="str">
        <f ca="1">INDEX(INDIRECT($C$3),MATCH(AuswDipl4[[#This Row],[BS_4]],INDIRECT($B$3),0))</f>
        <v>Silber</v>
      </c>
      <c r="W46" s="13">
        <f ca="1">INDEX(INDIRECT($H$1),MATCH(AuswDipl4[[#This Row],[Medaille]],INDIRECT($C$1),0))</f>
        <v>2</v>
      </c>
    </row>
    <row r="47" spans="2:23">
      <c r="B47" s="45">
        <v>1.41</v>
      </c>
      <c r="C47" t="s">
        <v>85</v>
      </c>
      <c r="E47" s="2">
        <v>5.0999999999999996</v>
      </c>
      <c r="F47" s="2" t="str">
        <f ca="1">TEXT(AuswDipl1[[#This Row],[BS_1]],"#"&amp;F$2&amp;"0")</f>
        <v>5,1</v>
      </c>
      <c r="G47" t="str">
        <f ca="1">INDEX(INDIRECT($C$3),MATCH(AuswDipl1[[#This Row],[BS_1]],INDIRECT($B$3),0))</f>
        <v>Silber</v>
      </c>
      <c r="H47" s="13">
        <f ca="1">INDEX(INDIRECT($H$1),MATCH(AuswDipl1[[#This Row],[Medaille]],INDIRECT($C$1),0))</f>
        <v>2</v>
      </c>
      <c r="J47" s="2">
        <v>5.0999999999999996</v>
      </c>
      <c r="K47" s="2" t="str">
        <f ca="1">TEXT(AuswDipl2[[#This Row],[BS_2]],"#"&amp;F$2&amp;"0")</f>
        <v>5,1</v>
      </c>
      <c r="L47" t="str">
        <f ca="1">INDEX(INDIRECT($C$3),MATCH(AuswDipl2[[#This Row],[BS_2]],INDIRECT($B$3),0))</f>
        <v>Silber</v>
      </c>
      <c r="M47" s="13">
        <f ca="1">INDEX(INDIRECT($H$1),MATCH(AuswDipl2[[#This Row],[Medaille]],INDIRECT($C$1),0))</f>
        <v>2</v>
      </c>
      <c r="T47" s="2">
        <v>5.0999999999999996</v>
      </c>
      <c r="U47" s="2" t="str">
        <f ca="1">TEXT(AuswDipl4[[#This Row],[BS_4]],"#"&amp;F$2&amp;"0")</f>
        <v>5,1</v>
      </c>
      <c r="V47" t="str">
        <f ca="1">INDEX(INDIRECT($C$3),MATCH(AuswDipl4[[#This Row],[BS_4]],INDIRECT($B$3),0))</f>
        <v>Silber</v>
      </c>
      <c r="W47" s="13">
        <f ca="1">INDEX(INDIRECT($H$1),MATCH(AuswDipl4[[#This Row],[Medaille]],INDIRECT($C$1),0))</f>
        <v>2</v>
      </c>
    </row>
    <row r="48" spans="2:23">
      <c r="B48" s="44">
        <v>1.42</v>
      </c>
      <c r="C48" t="s">
        <v>85</v>
      </c>
      <c r="E48" s="2">
        <v>5.2</v>
      </c>
      <c r="F48" s="2" t="str">
        <f ca="1">TEXT(AuswDipl1[[#This Row],[BS_1]],"#"&amp;F$2&amp;"0")</f>
        <v>5,2</v>
      </c>
      <c r="G48" t="str">
        <f ca="1">INDEX(INDIRECT($C$3),MATCH(AuswDipl1[[#This Row],[BS_1]],INDIRECT($B$3),0))</f>
        <v>Silber</v>
      </c>
      <c r="H48" s="13">
        <f ca="1">INDEX(INDIRECT($H$1),MATCH(AuswDipl1[[#This Row],[Medaille]],INDIRECT($C$1),0))</f>
        <v>2</v>
      </c>
      <c r="J48" s="2">
        <v>5.2</v>
      </c>
      <c r="K48" s="2" t="str">
        <f ca="1">TEXT(AuswDipl2[[#This Row],[BS_2]],"#"&amp;F$2&amp;"0")</f>
        <v>5,2</v>
      </c>
      <c r="L48" t="str">
        <f ca="1">INDEX(INDIRECT($C$3),MATCH(AuswDipl2[[#This Row],[BS_2]],INDIRECT($B$3),0))</f>
        <v>Silber</v>
      </c>
      <c r="M48" s="13">
        <f ca="1">INDEX(INDIRECT($H$1),MATCH(AuswDipl2[[#This Row],[Medaille]],INDIRECT($C$1),0))</f>
        <v>2</v>
      </c>
      <c r="T48" s="2">
        <v>5.2</v>
      </c>
      <c r="U48" s="2" t="str">
        <f ca="1">TEXT(AuswDipl4[[#This Row],[BS_4]],"#"&amp;F$2&amp;"0")</f>
        <v>5,2</v>
      </c>
      <c r="V48" t="str">
        <f ca="1">INDEX(INDIRECT($C$3),MATCH(AuswDipl4[[#This Row],[BS_4]],INDIRECT($B$3),0))</f>
        <v>Silber</v>
      </c>
      <c r="W48" s="13">
        <f ca="1">INDEX(INDIRECT($H$1),MATCH(AuswDipl4[[#This Row],[Medaille]],INDIRECT($C$1),0))</f>
        <v>2</v>
      </c>
    </row>
    <row r="49" spans="2:23">
      <c r="B49" s="45">
        <v>1.43</v>
      </c>
      <c r="C49" t="s">
        <v>85</v>
      </c>
      <c r="E49" s="2">
        <v>5.3</v>
      </c>
      <c r="F49" s="2" t="str">
        <f ca="1">TEXT(AuswDipl1[[#This Row],[BS_1]],"#"&amp;F$2&amp;"0")</f>
        <v>5,3</v>
      </c>
      <c r="G49" t="str">
        <f ca="1">INDEX(INDIRECT($C$3),MATCH(AuswDipl1[[#This Row],[BS_1]],INDIRECT($B$3),0))</f>
        <v>Silber</v>
      </c>
      <c r="H49" s="13">
        <f ca="1">INDEX(INDIRECT($H$1),MATCH(AuswDipl1[[#This Row],[Medaille]],INDIRECT($C$1),0))</f>
        <v>2</v>
      </c>
      <c r="J49" s="2">
        <v>5.3</v>
      </c>
      <c r="K49" s="2" t="str">
        <f ca="1">TEXT(AuswDipl2[[#This Row],[BS_2]],"#"&amp;F$2&amp;"0")</f>
        <v>5,3</v>
      </c>
      <c r="L49" t="str">
        <f ca="1">INDEX(INDIRECT($C$3),MATCH(AuswDipl2[[#This Row],[BS_2]],INDIRECT($B$3),0))</f>
        <v>Silber</v>
      </c>
      <c r="M49" s="13">
        <f ca="1">INDEX(INDIRECT($H$1),MATCH(AuswDipl2[[#This Row],[Medaille]],INDIRECT($C$1),0))</f>
        <v>2</v>
      </c>
      <c r="T49" s="2">
        <v>5.3</v>
      </c>
      <c r="U49" s="2" t="str">
        <f ca="1">TEXT(AuswDipl4[[#This Row],[BS_4]],"#"&amp;F$2&amp;"0")</f>
        <v>5,3</v>
      </c>
      <c r="V49" t="str">
        <f ca="1">INDEX(INDIRECT($C$3),MATCH(AuswDipl4[[#This Row],[BS_4]],INDIRECT($B$3),0))</f>
        <v>Silber</v>
      </c>
      <c r="W49" s="13">
        <f ca="1">INDEX(INDIRECT($H$1),MATCH(AuswDipl4[[#This Row],[Medaille]],INDIRECT($C$1),0))</f>
        <v>2</v>
      </c>
    </row>
    <row r="50" spans="2:23">
      <c r="B50" s="44">
        <v>1.44</v>
      </c>
      <c r="C50" t="s">
        <v>85</v>
      </c>
      <c r="E50" s="2">
        <v>5.4</v>
      </c>
      <c r="F50" s="2" t="str">
        <f ca="1">TEXT(AuswDipl1[[#This Row],[BS_1]],"#"&amp;F$2&amp;"0")</f>
        <v>5,4</v>
      </c>
      <c r="G50" t="str">
        <f ca="1">INDEX(INDIRECT($C$3),MATCH(AuswDipl1[[#This Row],[BS_1]],INDIRECT($B$3),0))</f>
        <v>Silber</v>
      </c>
      <c r="H50" s="13">
        <f ca="1">INDEX(INDIRECT($H$1),MATCH(AuswDipl1[[#This Row],[Medaille]],INDIRECT($C$1),0))</f>
        <v>2</v>
      </c>
      <c r="J50" s="2">
        <v>5.4</v>
      </c>
      <c r="K50" s="2" t="str">
        <f ca="1">TEXT(AuswDipl2[[#This Row],[BS_2]],"#"&amp;F$2&amp;"0")</f>
        <v>5,4</v>
      </c>
      <c r="L50" t="str">
        <f ca="1">INDEX(INDIRECT($C$3),MATCH(AuswDipl2[[#This Row],[BS_2]],INDIRECT($B$3),0))</f>
        <v>Silber</v>
      </c>
      <c r="M50" s="13">
        <f ca="1">INDEX(INDIRECT($H$1),MATCH(AuswDipl2[[#This Row],[Medaille]],INDIRECT($C$1),0))</f>
        <v>2</v>
      </c>
      <c r="T50" s="2">
        <v>5.4</v>
      </c>
      <c r="U50" s="2" t="str">
        <f ca="1">TEXT(AuswDipl4[[#This Row],[BS_4]],"#"&amp;F$2&amp;"0")</f>
        <v>5,4</v>
      </c>
      <c r="V50" t="str">
        <f ca="1">INDEX(INDIRECT($C$3),MATCH(AuswDipl4[[#This Row],[BS_4]],INDIRECT($B$3),0))</f>
        <v>Silber</v>
      </c>
      <c r="W50" s="13">
        <f ca="1">INDEX(INDIRECT($H$1),MATCH(AuswDipl4[[#This Row],[Medaille]],INDIRECT($C$1),0))</f>
        <v>2</v>
      </c>
    </row>
    <row r="51" spans="2:23">
      <c r="B51" s="45">
        <v>1.45</v>
      </c>
      <c r="C51" t="s">
        <v>85</v>
      </c>
      <c r="E51" s="2">
        <v>5.5</v>
      </c>
      <c r="F51" s="2" t="str">
        <f ca="1">TEXT(AuswDipl1[[#This Row],[BS_1]],"#"&amp;F$2&amp;"0")</f>
        <v>5,5</v>
      </c>
      <c r="G51" t="str">
        <f ca="1">INDEX(INDIRECT($C$3),MATCH(AuswDipl1[[#This Row],[BS_1]],INDIRECT($B$3),0))</f>
        <v>Silber</v>
      </c>
      <c r="H51" s="13">
        <f ca="1">INDEX(INDIRECT($H$1),MATCH(AuswDipl1[[#This Row],[Medaille]],INDIRECT($C$1),0))</f>
        <v>2</v>
      </c>
      <c r="J51" s="2">
        <v>5.5</v>
      </c>
      <c r="K51" s="2" t="str">
        <f ca="1">TEXT(AuswDipl2[[#This Row],[BS_2]],"#"&amp;F$2&amp;"0")</f>
        <v>5,5</v>
      </c>
      <c r="L51" t="str">
        <f ca="1">INDEX(INDIRECT($C$3),MATCH(AuswDipl2[[#This Row],[BS_2]],INDIRECT($B$3),0))</f>
        <v>Silber</v>
      </c>
      <c r="M51" s="13">
        <f ca="1">INDEX(INDIRECT($H$1),MATCH(AuswDipl2[[#This Row],[Medaille]],INDIRECT($C$1),0))</f>
        <v>2</v>
      </c>
      <c r="T51" s="2">
        <v>5.5</v>
      </c>
      <c r="U51" s="2" t="str">
        <f ca="1">TEXT(AuswDipl4[[#This Row],[BS_4]],"#"&amp;F$2&amp;"0")</f>
        <v>5,5</v>
      </c>
      <c r="V51" t="str">
        <f ca="1">INDEX(INDIRECT($C$3),MATCH(AuswDipl4[[#This Row],[BS_4]],INDIRECT($B$3),0))</f>
        <v>Silber</v>
      </c>
      <c r="W51" s="13">
        <f ca="1">INDEX(INDIRECT($H$1),MATCH(AuswDipl4[[#This Row],[Medaille]],INDIRECT($C$1),0))</f>
        <v>2</v>
      </c>
    </row>
    <row r="52" spans="2:23">
      <c r="B52" s="44">
        <v>1.46</v>
      </c>
      <c r="C52" t="s">
        <v>85</v>
      </c>
      <c r="E52" s="2">
        <v>5.6</v>
      </c>
      <c r="F52" s="2" t="str">
        <f ca="1">TEXT(AuswDipl1[[#This Row],[BS_1]],"#"&amp;F$2&amp;"0")</f>
        <v>5,6</v>
      </c>
      <c r="G52" t="str">
        <f ca="1">INDEX(INDIRECT($C$3),MATCH(AuswDipl1[[#This Row],[BS_1]],INDIRECT($B$3),0))</f>
        <v>Silber</v>
      </c>
      <c r="H52" s="13">
        <f ca="1">INDEX(INDIRECT($H$1),MATCH(AuswDipl1[[#This Row],[Medaille]],INDIRECT($C$1),0))</f>
        <v>2</v>
      </c>
      <c r="J52" s="2">
        <v>5.6</v>
      </c>
      <c r="K52" s="2" t="str">
        <f ca="1">TEXT(AuswDipl2[[#This Row],[BS_2]],"#"&amp;F$2&amp;"0")</f>
        <v>5,6</v>
      </c>
      <c r="L52" t="str">
        <f ca="1">INDEX(INDIRECT($C$3),MATCH(AuswDipl2[[#This Row],[BS_2]],INDIRECT($B$3),0))</f>
        <v>Silber</v>
      </c>
      <c r="M52" s="13">
        <f ca="1">INDEX(INDIRECT($H$1),MATCH(AuswDipl2[[#This Row],[Medaille]],INDIRECT($C$1),0))</f>
        <v>2</v>
      </c>
      <c r="T52" s="2">
        <v>5.6</v>
      </c>
      <c r="U52" s="2" t="str">
        <f ca="1">TEXT(AuswDipl4[[#This Row],[BS_4]],"#"&amp;F$2&amp;"0")</f>
        <v>5,6</v>
      </c>
      <c r="V52" t="str">
        <f ca="1">INDEX(INDIRECT($C$3),MATCH(AuswDipl4[[#This Row],[BS_4]],INDIRECT($B$3),0))</f>
        <v>Silber</v>
      </c>
      <c r="W52" s="13">
        <f ca="1">INDEX(INDIRECT($H$1),MATCH(AuswDipl4[[#This Row],[Medaille]],INDIRECT($C$1),0))</f>
        <v>2</v>
      </c>
    </row>
    <row r="53" spans="2:23">
      <c r="B53" s="45">
        <v>1.47</v>
      </c>
      <c r="C53" t="s">
        <v>85</v>
      </c>
      <c r="E53" s="2">
        <v>5.7</v>
      </c>
      <c r="F53" s="2" t="str">
        <f ca="1">TEXT(AuswDipl1[[#This Row],[BS_1]],"#"&amp;F$2&amp;"0")</f>
        <v>5,7</v>
      </c>
      <c r="G53" t="str">
        <f ca="1">INDEX(INDIRECT($C$3),MATCH(AuswDipl1[[#This Row],[BS_1]],INDIRECT($B$3),0))</f>
        <v>Silber</v>
      </c>
      <c r="H53" s="13">
        <f ca="1">INDEX(INDIRECT($H$1),MATCH(AuswDipl1[[#This Row],[Medaille]],INDIRECT($C$1),0))</f>
        <v>2</v>
      </c>
      <c r="J53" s="2">
        <v>5.7</v>
      </c>
      <c r="K53" s="2" t="str">
        <f ca="1">TEXT(AuswDipl2[[#This Row],[BS_2]],"#"&amp;F$2&amp;"0")</f>
        <v>5,7</v>
      </c>
      <c r="L53" t="str">
        <f ca="1">INDEX(INDIRECT($C$3),MATCH(AuswDipl2[[#This Row],[BS_2]],INDIRECT($B$3),0))</f>
        <v>Silber</v>
      </c>
      <c r="M53" s="13">
        <f ca="1">INDEX(INDIRECT($H$1),MATCH(AuswDipl2[[#This Row],[Medaille]],INDIRECT($C$1),0))</f>
        <v>2</v>
      </c>
      <c r="T53" s="2">
        <v>5.7</v>
      </c>
      <c r="U53" s="2" t="str">
        <f ca="1">TEXT(AuswDipl4[[#This Row],[BS_4]],"#"&amp;F$2&amp;"0")</f>
        <v>5,7</v>
      </c>
      <c r="V53" t="str">
        <f ca="1">INDEX(INDIRECT($C$3),MATCH(AuswDipl4[[#This Row],[BS_4]],INDIRECT($B$3),0))</f>
        <v>Silber</v>
      </c>
      <c r="W53" s="13">
        <f ca="1">INDEX(INDIRECT($H$1),MATCH(AuswDipl4[[#This Row],[Medaille]],INDIRECT($C$1),0))</f>
        <v>2</v>
      </c>
    </row>
    <row r="54" spans="2:23">
      <c r="B54" s="44">
        <v>1.48</v>
      </c>
      <c r="C54" t="s">
        <v>85</v>
      </c>
      <c r="E54" s="2">
        <v>5.8</v>
      </c>
      <c r="F54" s="2" t="str">
        <f ca="1">TEXT(AuswDipl1[[#This Row],[BS_1]],"#"&amp;F$2&amp;"0")</f>
        <v>5,8</v>
      </c>
      <c r="G54" t="str">
        <f ca="1">INDEX(INDIRECT($C$3),MATCH(AuswDipl1[[#This Row],[BS_1]],INDIRECT($B$3),0))</f>
        <v>Gold</v>
      </c>
      <c r="H54" s="13">
        <f ca="1">INDEX(INDIRECT($H$1),MATCH(AuswDipl1[[#This Row],[Medaille]],INDIRECT($C$1),0))</f>
        <v>1</v>
      </c>
      <c r="J54" s="2">
        <v>5.8</v>
      </c>
      <c r="K54" s="2" t="str">
        <f ca="1">TEXT(AuswDipl2[[#This Row],[BS_2]],"#"&amp;F$2&amp;"0")</f>
        <v>5,8</v>
      </c>
      <c r="L54" t="str">
        <f ca="1">INDEX(INDIRECT($C$3),MATCH(AuswDipl2[[#This Row],[BS_2]],INDIRECT($B$3),0))</f>
        <v>Gold</v>
      </c>
      <c r="M54" s="13">
        <f ca="1">INDEX(INDIRECT($H$1),MATCH(AuswDipl2[[#This Row],[Medaille]],INDIRECT($C$1),0))</f>
        <v>1</v>
      </c>
      <c r="T54" s="2">
        <v>5.8</v>
      </c>
      <c r="U54" s="2" t="str">
        <f ca="1">TEXT(AuswDipl4[[#This Row],[BS_4]],"#"&amp;F$2&amp;"0")</f>
        <v>5,8</v>
      </c>
      <c r="V54" t="str">
        <f ca="1">INDEX(INDIRECT($C$3),MATCH(AuswDipl4[[#This Row],[BS_4]],INDIRECT($B$3),0))</f>
        <v>Gold</v>
      </c>
      <c r="W54" s="13">
        <f ca="1">INDEX(INDIRECT($H$1),MATCH(AuswDipl4[[#This Row],[Medaille]],INDIRECT($C$1),0))</f>
        <v>1</v>
      </c>
    </row>
    <row r="55" spans="2:23">
      <c r="B55" s="45">
        <v>1.49</v>
      </c>
      <c r="C55" t="s">
        <v>85</v>
      </c>
      <c r="E55" s="2">
        <v>5.9</v>
      </c>
      <c r="F55" s="2" t="str">
        <f ca="1">TEXT(AuswDipl1[[#This Row],[BS_1]],"#"&amp;F$2&amp;"0")</f>
        <v>5,9</v>
      </c>
      <c r="G55" t="str">
        <f ca="1">INDEX(INDIRECT($C$3),MATCH(AuswDipl1[[#This Row],[BS_1]],INDIRECT($B$3),0))</f>
        <v>Gold</v>
      </c>
      <c r="H55" s="13">
        <f ca="1">INDEX(INDIRECT($H$1),MATCH(AuswDipl1[[#This Row],[Medaille]],INDIRECT($C$1),0))</f>
        <v>1</v>
      </c>
      <c r="J55" s="2">
        <v>5.9</v>
      </c>
      <c r="K55" s="2" t="str">
        <f ca="1">TEXT(AuswDipl2[[#This Row],[BS_2]],"#"&amp;F$2&amp;"0")</f>
        <v>5,9</v>
      </c>
      <c r="L55" t="str">
        <f ca="1">INDEX(INDIRECT($C$3),MATCH(AuswDipl2[[#This Row],[BS_2]],INDIRECT($B$3),0))</f>
        <v>Gold</v>
      </c>
      <c r="M55" s="13">
        <f ca="1">INDEX(INDIRECT($H$1),MATCH(AuswDipl2[[#This Row],[Medaille]],INDIRECT($C$1),0))</f>
        <v>1</v>
      </c>
      <c r="T55" s="2">
        <v>5.9</v>
      </c>
      <c r="U55" s="2" t="str">
        <f ca="1">TEXT(AuswDipl4[[#This Row],[BS_4]],"#"&amp;F$2&amp;"0")</f>
        <v>5,9</v>
      </c>
      <c r="V55" t="str">
        <f ca="1">INDEX(INDIRECT($C$3),MATCH(AuswDipl4[[#This Row],[BS_4]],INDIRECT($B$3),0))</f>
        <v>Gold</v>
      </c>
      <c r="W55" s="13">
        <f ca="1">INDEX(INDIRECT($H$1),MATCH(AuswDipl4[[#This Row],[Medaille]],INDIRECT($C$1),0))</f>
        <v>1</v>
      </c>
    </row>
    <row r="56" spans="2:23">
      <c r="B56" s="44">
        <v>1.5</v>
      </c>
      <c r="C56" t="s">
        <v>85</v>
      </c>
      <c r="E56" s="2">
        <v>6</v>
      </c>
      <c r="F56" s="2" t="str">
        <f ca="1">TEXT(AuswDipl1[[#This Row],[BS_1]],"#"&amp;F$2&amp;"0")</f>
        <v>6,0</v>
      </c>
      <c r="G56" t="str">
        <f ca="1">INDEX(INDIRECT($C$3),MATCH(AuswDipl1[[#This Row],[BS_1]],INDIRECT($B$3),0))</f>
        <v>Gold</v>
      </c>
      <c r="H56" s="13">
        <f ca="1">INDEX(INDIRECT($H$1),MATCH(AuswDipl1[[#This Row],[Medaille]],INDIRECT($C$1),0))</f>
        <v>1</v>
      </c>
      <c r="J56" s="2">
        <v>6</v>
      </c>
      <c r="K56" s="2" t="str">
        <f ca="1">TEXT(AuswDipl2[[#This Row],[BS_2]],"#"&amp;F$2&amp;"0")</f>
        <v>6,0</v>
      </c>
      <c r="L56" t="str">
        <f ca="1">INDEX(INDIRECT($C$3),MATCH(AuswDipl2[[#This Row],[BS_2]],INDIRECT($B$3),0))</f>
        <v>Gold</v>
      </c>
      <c r="M56" s="13">
        <f ca="1">INDEX(INDIRECT($H$1),MATCH(AuswDipl2[[#This Row],[Medaille]],INDIRECT($C$1),0))</f>
        <v>1</v>
      </c>
      <c r="T56" s="2">
        <v>6</v>
      </c>
      <c r="U56" s="2" t="str">
        <f ca="1">TEXT(AuswDipl4[[#This Row],[BS_4]],"#"&amp;F$2&amp;"0")</f>
        <v>6,0</v>
      </c>
      <c r="V56" t="str">
        <f ca="1">INDEX(INDIRECT($C$3),MATCH(AuswDipl4[[#This Row],[BS_4]],INDIRECT($B$3),0))</f>
        <v>Gold</v>
      </c>
      <c r="W56" s="13">
        <f ca="1">INDEX(INDIRECT($H$1),MATCH(AuswDipl4[[#This Row],[Medaille]],INDIRECT($C$1),0))</f>
        <v>1</v>
      </c>
    </row>
    <row r="57" spans="2:23">
      <c r="B57" s="45">
        <v>1.51</v>
      </c>
      <c r="C57" t="s">
        <v>85</v>
      </c>
    </row>
    <row r="58" spans="2:23">
      <c r="B58" s="44">
        <v>1.52</v>
      </c>
      <c r="C58" t="s">
        <v>85</v>
      </c>
    </row>
    <row r="59" spans="2:23">
      <c r="B59" s="45">
        <v>1.53</v>
      </c>
      <c r="C59" t="s">
        <v>85</v>
      </c>
    </row>
    <row r="60" spans="2:23">
      <c r="B60" s="44">
        <v>1.54</v>
      </c>
      <c r="C60" t="s">
        <v>85</v>
      </c>
    </row>
    <row r="61" spans="2:23">
      <c r="B61" s="45">
        <v>1.55</v>
      </c>
      <c r="C61" t="s">
        <v>85</v>
      </c>
    </row>
    <row r="62" spans="2:23">
      <c r="B62" s="44">
        <v>1.56</v>
      </c>
      <c r="C62" t="s">
        <v>85</v>
      </c>
    </row>
    <row r="63" spans="2:23">
      <c r="B63" s="45">
        <v>1.57</v>
      </c>
      <c r="C63" t="s">
        <v>85</v>
      </c>
    </row>
    <row r="64" spans="2:23">
      <c r="B64" s="44">
        <v>1.58</v>
      </c>
      <c r="C64" t="s">
        <v>85</v>
      </c>
    </row>
    <row r="65" spans="2:3">
      <c r="B65" s="45">
        <v>1.59</v>
      </c>
      <c r="C65" t="s">
        <v>85</v>
      </c>
    </row>
    <row r="66" spans="2:3">
      <c r="B66" s="44">
        <v>1.6</v>
      </c>
      <c r="C66" t="s">
        <v>85</v>
      </c>
    </row>
    <row r="67" spans="2:3">
      <c r="B67" s="45">
        <v>1.61</v>
      </c>
      <c r="C67" t="s">
        <v>85</v>
      </c>
    </row>
    <row r="68" spans="2:3">
      <c r="B68" s="44">
        <v>1.62</v>
      </c>
      <c r="C68" t="s">
        <v>85</v>
      </c>
    </row>
    <row r="69" spans="2:3">
      <c r="B69" s="45">
        <v>1.63</v>
      </c>
      <c r="C69" t="s">
        <v>85</v>
      </c>
    </row>
    <row r="70" spans="2:3">
      <c r="B70" s="44">
        <v>1.64</v>
      </c>
      <c r="C70" t="s">
        <v>85</v>
      </c>
    </row>
    <row r="71" spans="2:3">
      <c r="B71" s="45">
        <v>1.65</v>
      </c>
      <c r="C71" t="s">
        <v>85</v>
      </c>
    </row>
    <row r="72" spans="2:3">
      <c r="B72" s="44">
        <v>1.66</v>
      </c>
      <c r="C72" t="s">
        <v>85</v>
      </c>
    </row>
    <row r="73" spans="2:3">
      <c r="B73" s="45">
        <v>1.67</v>
      </c>
      <c r="C73" t="s">
        <v>85</v>
      </c>
    </row>
    <row r="74" spans="2:3">
      <c r="B74" s="44">
        <v>1.68</v>
      </c>
      <c r="C74" t="s">
        <v>85</v>
      </c>
    </row>
    <row r="75" spans="2:3">
      <c r="B75" s="45">
        <v>1.69</v>
      </c>
      <c r="C75" t="s">
        <v>85</v>
      </c>
    </row>
    <row r="76" spans="2:3">
      <c r="B76" s="44">
        <v>1.7</v>
      </c>
      <c r="C76" t="s">
        <v>85</v>
      </c>
    </row>
    <row r="77" spans="2:3">
      <c r="B77" s="45">
        <v>1.71</v>
      </c>
      <c r="C77" t="s">
        <v>85</v>
      </c>
    </row>
    <row r="78" spans="2:3">
      <c r="B78" s="44">
        <v>1.72</v>
      </c>
      <c r="C78" t="s">
        <v>85</v>
      </c>
    </row>
    <row r="79" spans="2:3">
      <c r="B79" s="45">
        <v>1.73</v>
      </c>
      <c r="C79" t="s">
        <v>85</v>
      </c>
    </row>
    <row r="80" spans="2:3">
      <c r="B80" s="44">
        <v>1.74</v>
      </c>
      <c r="C80" t="s">
        <v>85</v>
      </c>
    </row>
    <row r="81" spans="2:3">
      <c r="B81" s="45">
        <v>1.75</v>
      </c>
      <c r="C81" t="s">
        <v>85</v>
      </c>
    </row>
    <row r="82" spans="2:3">
      <c r="B82" s="44">
        <v>1.76</v>
      </c>
      <c r="C82" t="s">
        <v>85</v>
      </c>
    </row>
    <row r="83" spans="2:3">
      <c r="B83" s="45">
        <v>1.77</v>
      </c>
      <c r="C83" t="s">
        <v>85</v>
      </c>
    </row>
    <row r="84" spans="2:3">
      <c r="B84" s="44">
        <v>1.78</v>
      </c>
      <c r="C84" t="s">
        <v>85</v>
      </c>
    </row>
    <row r="85" spans="2:3">
      <c r="B85" s="45">
        <v>1.79</v>
      </c>
      <c r="C85" t="s">
        <v>85</v>
      </c>
    </row>
    <row r="86" spans="2:3">
      <c r="B86" s="44">
        <v>1.8</v>
      </c>
      <c r="C86" t="s">
        <v>85</v>
      </c>
    </row>
    <row r="87" spans="2:3">
      <c r="B87" s="45">
        <v>1.81</v>
      </c>
      <c r="C87" t="s">
        <v>85</v>
      </c>
    </row>
    <row r="88" spans="2:3">
      <c r="B88" s="44">
        <v>1.82</v>
      </c>
      <c r="C88" t="s">
        <v>85</v>
      </c>
    </row>
    <row r="89" spans="2:3">
      <c r="B89" s="45">
        <v>1.83</v>
      </c>
      <c r="C89" t="s">
        <v>85</v>
      </c>
    </row>
    <row r="90" spans="2:3">
      <c r="B90" s="44">
        <v>1.84</v>
      </c>
      <c r="C90" t="s">
        <v>85</v>
      </c>
    </row>
    <row r="91" spans="2:3">
      <c r="B91" s="45">
        <v>1.85</v>
      </c>
      <c r="C91" t="s">
        <v>85</v>
      </c>
    </row>
    <row r="92" spans="2:3">
      <c r="B92" s="44">
        <v>1.86</v>
      </c>
      <c r="C92" t="s">
        <v>85</v>
      </c>
    </row>
    <row r="93" spans="2:3">
      <c r="B93" s="45">
        <v>1.87</v>
      </c>
      <c r="C93" t="s">
        <v>85</v>
      </c>
    </row>
    <row r="94" spans="2:3">
      <c r="B94" s="44">
        <v>1.88</v>
      </c>
      <c r="C94" t="s">
        <v>85</v>
      </c>
    </row>
    <row r="95" spans="2:3">
      <c r="B95" s="45">
        <v>1.89</v>
      </c>
      <c r="C95" t="s">
        <v>85</v>
      </c>
    </row>
    <row r="96" spans="2:3">
      <c r="B96" s="44">
        <v>1.9</v>
      </c>
      <c r="C96" t="s">
        <v>85</v>
      </c>
    </row>
    <row r="97" spans="2:3">
      <c r="B97" s="45">
        <v>1.91</v>
      </c>
      <c r="C97" t="s">
        <v>85</v>
      </c>
    </row>
    <row r="98" spans="2:3">
      <c r="B98" s="44">
        <v>1.92</v>
      </c>
      <c r="C98" t="s">
        <v>85</v>
      </c>
    </row>
    <row r="99" spans="2:3">
      <c r="B99" s="45">
        <v>1.93</v>
      </c>
      <c r="C99" t="s">
        <v>85</v>
      </c>
    </row>
    <row r="100" spans="2:3">
      <c r="B100" s="44">
        <v>1.94</v>
      </c>
      <c r="C100" t="s">
        <v>85</v>
      </c>
    </row>
    <row r="101" spans="2:3">
      <c r="B101" s="45">
        <v>1.95</v>
      </c>
      <c r="C101" t="s">
        <v>85</v>
      </c>
    </row>
    <row r="102" spans="2:3">
      <c r="B102" s="44">
        <v>1.96</v>
      </c>
      <c r="C102" t="s">
        <v>85</v>
      </c>
    </row>
    <row r="103" spans="2:3">
      <c r="B103" s="45">
        <v>1.97</v>
      </c>
      <c r="C103" t="s">
        <v>85</v>
      </c>
    </row>
    <row r="104" spans="2:3">
      <c r="B104" s="44">
        <v>1.98</v>
      </c>
      <c r="C104" t="s">
        <v>85</v>
      </c>
    </row>
    <row r="105" spans="2:3">
      <c r="B105" s="45">
        <v>1.99</v>
      </c>
      <c r="C105" t="s">
        <v>85</v>
      </c>
    </row>
    <row r="106" spans="2:3">
      <c r="B106" s="44">
        <v>2</v>
      </c>
      <c r="C106" t="s">
        <v>85</v>
      </c>
    </row>
    <row r="107" spans="2:3">
      <c r="B107" s="45">
        <v>2.0099999999999998</v>
      </c>
      <c r="C107" t="s">
        <v>85</v>
      </c>
    </row>
    <row r="108" spans="2:3">
      <c r="B108" s="44">
        <v>2.02</v>
      </c>
      <c r="C108" t="s">
        <v>85</v>
      </c>
    </row>
    <row r="109" spans="2:3">
      <c r="B109" s="45">
        <v>2.0299999999999998</v>
      </c>
      <c r="C109" t="s">
        <v>85</v>
      </c>
    </row>
    <row r="110" spans="2:3">
      <c r="B110" s="44">
        <v>2.04</v>
      </c>
      <c r="C110" t="s">
        <v>85</v>
      </c>
    </row>
    <row r="111" spans="2:3">
      <c r="B111" s="45">
        <v>2.0499999999999998</v>
      </c>
      <c r="C111" t="s">
        <v>85</v>
      </c>
    </row>
    <row r="112" spans="2:3">
      <c r="B112" s="44">
        <v>2.06</v>
      </c>
      <c r="C112" t="s">
        <v>85</v>
      </c>
    </row>
    <row r="113" spans="2:3">
      <c r="B113" s="45">
        <v>2.0699999999999998</v>
      </c>
      <c r="C113" t="s">
        <v>85</v>
      </c>
    </row>
    <row r="114" spans="2:3">
      <c r="B114" s="44">
        <v>2.08</v>
      </c>
      <c r="C114" t="s">
        <v>85</v>
      </c>
    </row>
    <row r="115" spans="2:3">
      <c r="B115" s="45">
        <v>2.09</v>
      </c>
      <c r="C115" t="s">
        <v>85</v>
      </c>
    </row>
    <row r="116" spans="2:3">
      <c r="B116" s="44">
        <v>2.1</v>
      </c>
      <c r="C116" t="s">
        <v>85</v>
      </c>
    </row>
    <row r="117" spans="2:3">
      <c r="B117" s="45">
        <v>2.11</v>
      </c>
      <c r="C117" t="s">
        <v>85</v>
      </c>
    </row>
    <row r="118" spans="2:3">
      <c r="B118" s="44">
        <v>2.12</v>
      </c>
      <c r="C118" t="s">
        <v>85</v>
      </c>
    </row>
    <row r="119" spans="2:3">
      <c r="B119" s="45">
        <v>2.13</v>
      </c>
      <c r="C119" t="s">
        <v>85</v>
      </c>
    </row>
    <row r="120" spans="2:3">
      <c r="B120" s="44">
        <v>2.14</v>
      </c>
      <c r="C120" t="s">
        <v>85</v>
      </c>
    </row>
    <row r="121" spans="2:3">
      <c r="B121" s="45">
        <v>2.15</v>
      </c>
      <c r="C121" t="s">
        <v>85</v>
      </c>
    </row>
    <row r="122" spans="2:3">
      <c r="B122" s="44">
        <v>2.16</v>
      </c>
      <c r="C122" t="s">
        <v>85</v>
      </c>
    </row>
    <row r="123" spans="2:3">
      <c r="B123" s="45">
        <v>2.17</v>
      </c>
      <c r="C123" t="s">
        <v>85</v>
      </c>
    </row>
    <row r="124" spans="2:3">
      <c r="B124" s="44">
        <v>2.1800000000000002</v>
      </c>
      <c r="C124" t="s">
        <v>85</v>
      </c>
    </row>
    <row r="125" spans="2:3">
      <c r="B125" s="45">
        <v>2.19</v>
      </c>
      <c r="C125" t="s">
        <v>85</v>
      </c>
    </row>
    <row r="126" spans="2:3">
      <c r="B126" s="44">
        <v>2.2000000000000002</v>
      </c>
      <c r="C126" t="s">
        <v>85</v>
      </c>
    </row>
    <row r="127" spans="2:3">
      <c r="B127" s="45">
        <v>2.21</v>
      </c>
      <c r="C127" t="s">
        <v>85</v>
      </c>
    </row>
    <row r="128" spans="2:3">
      <c r="B128" s="44">
        <v>2.2200000000000002</v>
      </c>
      <c r="C128" t="s">
        <v>85</v>
      </c>
    </row>
    <row r="129" spans="2:3">
      <c r="B129" s="45">
        <v>2.23</v>
      </c>
      <c r="C129" t="s">
        <v>85</v>
      </c>
    </row>
    <row r="130" spans="2:3">
      <c r="B130" s="44">
        <v>2.2400000000000002</v>
      </c>
      <c r="C130" t="s">
        <v>85</v>
      </c>
    </row>
    <row r="131" spans="2:3">
      <c r="B131" s="45">
        <v>2.25</v>
      </c>
      <c r="C131" t="s">
        <v>85</v>
      </c>
    </row>
    <row r="132" spans="2:3">
      <c r="B132" s="44">
        <v>2.2599999999999998</v>
      </c>
      <c r="C132" t="s">
        <v>85</v>
      </c>
    </row>
    <row r="133" spans="2:3">
      <c r="B133" s="45">
        <v>2.27</v>
      </c>
      <c r="C133" t="s">
        <v>85</v>
      </c>
    </row>
    <row r="134" spans="2:3">
      <c r="B134" s="44">
        <v>2.2799999999999998</v>
      </c>
      <c r="C134" t="s">
        <v>85</v>
      </c>
    </row>
    <row r="135" spans="2:3">
      <c r="B135" s="45">
        <v>2.29</v>
      </c>
      <c r="C135" t="s">
        <v>85</v>
      </c>
    </row>
    <row r="136" spans="2:3">
      <c r="B136" s="44">
        <v>2.2999999999999998</v>
      </c>
      <c r="C136" t="s">
        <v>85</v>
      </c>
    </row>
    <row r="137" spans="2:3">
      <c r="B137" s="45">
        <v>2.31</v>
      </c>
      <c r="C137" t="s">
        <v>85</v>
      </c>
    </row>
    <row r="138" spans="2:3">
      <c r="B138" s="44">
        <v>2.3199999999999998</v>
      </c>
      <c r="C138" t="s">
        <v>85</v>
      </c>
    </row>
    <row r="139" spans="2:3">
      <c r="B139" s="45">
        <v>2.33</v>
      </c>
      <c r="C139" t="s">
        <v>85</v>
      </c>
    </row>
    <row r="140" spans="2:3">
      <c r="B140" s="44">
        <v>2.34</v>
      </c>
      <c r="C140" t="s">
        <v>85</v>
      </c>
    </row>
    <row r="141" spans="2:3">
      <c r="B141" s="45">
        <v>2.35</v>
      </c>
      <c r="C141" t="s">
        <v>85</v>
      </c>
    </row>
    <row r="142" spans="2:3">
      <c r="B142" s="44">
        <v>2.36</v>
      </c>
      <c r="C142" t="s">
        <v>85</v>
      </c>
    </row>
    <row r="143" spans="2:3">
      <c r="B143" s="45">
        <v>2.37</v>
      </c>
      <c r="C143" t="s">
        <v>85</v>
      </c>
    </row>
    <row r="144" spans="2:3">
      <c r="B144" s="44">
        <v>2.38</v>
      </c>
      <c r="C144" t="s">
        <v>85</v>
      </c>
    </row>
    <row r="145" spans="2:3">
      <c r="B145" s="45">
        <v>2.39</v>
      </c>
      <c r="C145" t="s">
        <v>85</v>
      </c>
    </row>
    <row r="146" spans="2:3">
      <c r="B146" s="44">
        <v>2.4</v>
      </c>
      <c r="C146" t="s">
        <v>85</v>
      </c>
    </row>
    <row r="147" spans="2:3">
      <c r="B147" s="45">
        <v>2.41</v>
      </c>
      <c r="C147" t="s">
        <v>85</v>
      </c>
    </row>
    <row r="148" spans="2:3">
      <c r="B148" s="44">
        <v>2.42</v>
      </c>
      <c r="C148" t="s">
        <v>85</v>
      </c>
    </row>
    <row r="149" spans="2:3">
      <c r="B149" s="45">
        <v>2.4300000000000002</v>
      </c>
      <c r="C149" t="s">
        <v>85</v>
      </c>
    </row>
    <row r="150" spans="2:3">
      <c r="B150" s="44">
        <v>2.44</v>
      </c>
      <c r="C150" t="s">
        <v>85</v>
      </c>
    </row>
    <row r="151" spans="2:3">
      <c r="B151" s="45">
        <v>2.4500000000000002</v>
      </c>
      <c r="C151" t="s">
        <v>85</v>
      </c>
    </row>
    <row r="152" spans="2:3">
      <c r="B152" s="44">
        <v>2.46</v>
      </c>
      <c r="C152" t="s">
        <v>85</v>
      </c>
    </row>
    <row r="153" spans="2:3">
      <c r="B153" s="45">
        <v>2.4700000000000002</v>
      </c>
      <c r="C153" t="s">
        <v>85</v>
      </c>
    </row>
    <row r="154" spans="2:3">
      <c r="B154" s="44">
        <v>2.48</v>
      </c>
      <c r="C154" t="s">
        <v>85</v>
      </c>
    </row>
    <row r="155" spans="2:3">
      <c r="B155" s="45">
        <v>2.4900000000000002</v>
      </c>
      <c r="C155" t="s">
        <v>85</v>
      </c>
    </row>
    <row r="156" spans="2:3">
      <c r="B156" s="44">
        <v>2.5</v>
      </c>
      <c r="C156" t="s">
        <v>85</v>
      </c>
    </row>
    <row r="157" spans="2:3">
      <c r="B157" s="45">
        <v>2.5099999999999998</v>
      </c>
      <c r="C157" t="s">
        <v>85</v>
      </c>
    </row>
    <row r="158" spans="2:3">
      <c r="B158" s="44">
        <v>2.52</v>
      </c>
      <c r="C158" t="s">
        <v>85</v>
      </c>
    </row>
    <row r="159" spans="2:3">
      <c r="B159" s="45">
        <v>2.5299999999999998</v>
      </c>
      <c r="C159" t="s">
        <v>85</v>
      </c>
    </row>
    <row r="160" spans="2:3">
      <c r="B160" s="44">
        <v>2.54</v>
      </c>
      <c r="C160" t="s">
        <v>85</v>
      </c>
    </row>
    <row r="161" spans="2:3">
      <c r="B161" s="45">
        <v>2.5499999999999998</v>
      </c>
      <c r="C161" t="s">
        <v>85</v>
      </c>
    </row>
    <row r="162" spans="2:3">
      <c r="B162" s="44">
        <v>2.56</v>
      </c>
      <c r="C162" t="s">
        <v>85</v>
      </c>
    </row>
    <row r="163" spans="2:3">
      <c r="B163" s="45">
        <v>2.57</v>
      </c>
      <c r="C163" t="s">
        <v>85</v>
      </c>
    </row>
    <row r="164" spans="2:3">
      <c r="B164" s="44">
        <v>2.58</v>
      </c>
      <c r="C164" t="s">
        <v>85</v>
      </c>
    </row>
    <row r="165" spans="2:3">
      <c r="B165" s="45">
        <v>2.59</v>
      </c>
      <c r="C165" t="s">
        <v>85</v>
      </c>
    </row>
    <row r="166" spans="2:3">
      <c r="B166" s="44">
        <v>2.6</v>
      </c>
      <c r="C166" t="s">
        <v>85</v>
      </c>
    </row>
    <row r="167" spans="2:3">
      <c r="B167" s="45">
        <v>2.61</v>
      </c>
      <c r="C167" t="s">
        <v>85</v>
      </c>
    </row>
    <row r="168" spans="2:3">
      <c r="B168" s="44">
        <v>2.62</v>
      </c>
      <c r="C168" t="s">
        <v>85</v>
      </c>
    </row>
    <row r="169" spans="2:3">
      <c r="B169" s="45">
        <v>2.63</v>
      </c>
      <c r="C169" t="s">
        <v>85</v>
      </c>
    </row>
    <row r="170" spans="2:3">
      <c r="B170" s="44">
        <v>2.64</v>
      </c>
      <c r="C170" t="s">
        <v>85</v>
      </c>
    </row>
    <row r="171" spans="2:3">
      <c r="B171" s="45">
        <v>2.65</v>
      </c>
      <c r="C171" t="s">
        <v>85</v>
      </c>
    </row>
    <row r="172" spans="2:3">
      <c r="B172" s="44">
        <v>2.66</v>
      </c>
      <c r="C172" t="s">
        <v>85</v>
      </c>
    </row>
    <row r="173" spans="2:3">
      <c r="B173" s="45">
        <v>2.67</v>
      </c>
      <c r="C173" t="s">
        <v>85</v>
      </c>
    </row>
    <row r="174" spans="2:3">
      <c r="B174" s="44">
        <v>2.68</v>
      </c>
      <c r="C174" t="s">
        <v>85</v>
      </c>
    </row>
    <row r="175" spans="2:3">
      <c r="B175" s="45">
        <v>2.69</v>
      </c>
      <c r="C175" t="s">
        <v>85</v>
      </c>
    </row>
    <row r="176" spans="2:3">
      <c r="B176" s="44">
        <v>2.7</v>
      </c>
      <c r="C176" t="s">
        <v>85</v>
      </c>
    </row>
    <row r="177" spans="2:3">
      <c r="B177" s="45">
        <v>2.71</v>
      </c>
      <c r="C177" t="s">
        <v>85</v>
      </c>
    </row>
    <row r="178" spans="2:3">
      <c r="B178" s="44">
        <v>2.72</v>
      </c>
      <c r="C178" t="s">
        <v>85</v>
      </c>
    </row>
    <row r="179" spans="2:3">
      <c r="B179" s="45">
        <v>2.73</v>
      </c>
      <c r="C179" t="s">
        <v>85</v>
      </c>
    </row>
    <row r="180" spans="2:3">
      <c r="B180" s="44">
        <v>2.74</v>
      </c>
      <c r="C180" t="s">
        <v>85</v>
      </c>
    </row>
    <row r="181" spans="2:3">
      <c r="B181" s="45">
        <v>2.75</v>
      </c>
      <c r="C181" t="s">
        <v>85</v>
      </c>
    </row>
    <row r="182" spans="2:3">
      <c r="B182" s="44">
        <v>2.76</v>
      </c>
      <c r="C182" t="s">
        <v>85</v>
      </c>
    </row>
    <row r="183" spans="2:3">
      <c r="B183" s="45">
        <v>2.77</v>
      </c>
      <c r="C183" t="s">
        <v>85</v>
      </c>
    </row>
    <row r="184" spans="2:3">
      <c r="B184" s="44">
        <v>2.78</v>
      </c>
      <c r="C184" t="s">
        <v>85</v>
      </c>
    </row>
    <row r="185" spans="2:3">
      <c r="B185" s="45">
        <v>2.79</v>
      </c>
      <c r="C185" t="s">
        <v>85</v>
      </c>
    </row>
    <row r="186" spans="2:3">
      <c r="B186" s="44">
        <v>2.8</v>
      </c>
      <c r="C186" t="s">
        <v>85</v>
      </c>
    </row>
    <row r="187" spans="2:3">
      <c r="B187" s="45">
        <v>2.81</v>
      </c>
      <c r="C187" t="s">
        <v>85</v>
      </c>
    </row>
    <row r="188" spans="2:3">
      <c r="B188" s="44">
        <v>2.82</v>
      </c>
      <c r="C188" t="s">
        <v>85</v>
      </c>
    </row>
    <row r="189" spans="2:3">
      <c r="B189" s="45">
        <v>2.83</v>
      </c>
      <c r="C189" t="s">
        <v>85</v>
      </c>
    </row>
    <row r="190" spans="2:3">
      <c r="B190" s="44">
        <v>2.84</v>
      </c>
      <c r="C190" t="s">
        <v>85</v>
      </c>
    </row>
    <row r="191" spans="2:3">
      <c r="B191" s="45">
        <v>2.85</v>
      </c>
      <c r="C191" t="s">
        <v>85</v>
      </c>
    </row>
    <row r="192" spans="2:3">
      <c r="B192" s="44">
        <v>2.86</v>
      </c>
      <c r="C192" t="s">
        <v>85</v>
      </c>
    </row>
    <row r="193" spans="2:3">
      <c r="B193" s="45">
        <v>2.87</v>
      </c>
      <c r="C193" t="s">
        <v>85</v>
      </c>
    </row>
    <row r="194" spans="2:3">
      <c r="B194" s="44">
        <v>2.88</v>
      </c>
      <c r="C194" t="s">
        <v>85</v>
      </c>
    </row>
    <row r="195" spans="2:3">
      <c r="B195" s="45">
        <v>2.89</v>
      </c>
      <c r="C195" t="s">
        <v>85</v>
      </c>
    </row>
    <row r="196" spans="2:3">
      <c r="B196" s="44">
        <v>2.9</v>
      </c>
      <c r="C196" t="s">
        <v>85</v>
      </c>
    </row>
    <row r="197" spans="2:3">
      <c r="B197" s="45">
        <v>2.91</v>
      </c>
      <c r="C197" t="s">
        <v>85</v>
      </c>
    </row>
    <row r="198" spans="2:3">
      <c r="B198" s="44">
        <v>2.92</v>
      </c>
      <c r="C198" t="s">
        <v>85</v>
      </c>
    </row>
    <row r="199" spans="2:3">
      <c r="B199" s="45">
        <v>2.93</v>
      </c>
      <c r="C199" t="s">
        <v>85</v>
      </c>
    </row>
    <row r="200" spans="2:3">
      <c r="B200" s="44">
        <v>2.94</v>
      </c>
      <c r="C200" t="s">
        <v>85</v>
      </c>
    </row>
    <row r="201" spans="2:3">
      <c r="B201" s="45">
        <v>2.95</v>
      </c>
      <c r="C201" t="s">
        <v>85</v>
      </c>
    </row>
    <row r="202" spans="2:3">
      <c r="B202" s="44">
        <v>2.96</v>
      </c>
      <c r="C202" t="s">
        <v>85</v>
      </c>
    </row>
    <row r="203" spans="2:3">
      <c r="B203" s="45">
        <v>2.97</v>
      </c>
      <c r="C203" t="s">
        <v>85</v>
      </c>
    </row>
    <row r="204" spans="2:3">
      <c r="B204" s="44">
        <v>2.98</v>
      </c>
      <c r="C204" t="s">
        <v>85</v>
      </c>
    </row>
    <row r="205" spans="2:3">
      <c r="B205" s="45">
        <v>2.99</v>
      </c>
      <c r="C205" t="s">
        <v>85</v>
      </c>
    </row>
    <row r="206" spans="2:3">
      <c r="B206" s="44">
        <v>3</v>
      </c>
      <c r="C206" t="s">
        <v>85</v>
      </c>
    </row>
    <row r="207" spans="2:3">
      <c r="B207" s="45">
        <v>3.01</v>
      </c>
      <c r="C207" t="s">
        <v>85</v>
      </c>
    </row>
    <row r="208" spans="2:3">
      <c r="B208" s="44">
        <v>3.02</v>
      </c>
      <c r="C208" t="s">
        <v>85</v>
      </c>
    </row>
    <row r="209" spans="2:3">
      <c r="B209" s="45">
        <v>3.03</v>
      </c>
      <c r="C209" t="s">
        <v>85</v>
      </c>
    </row>
    <row r="210" spans="2:3">
      <c r="B210" s="44">
        <v>3.04</v>
      </c>
      <c r="C210" t="s">
        <v>85</v>
      </c>
    </row>
    <row r="211" spans="2:3">
      <c r="B211" s="45">
        <v>3.05</v>
      </c>
      <c r="C211" t="s">
        <v>85</v>
      </c>
    </row>
    <row r="212" spans="2:3">
      <c r="B212" s="44">
        <v>3.06</v>
      </c>
      <c r="C212" t="s">
        <v>85</v>
      </c>
    </row>
    <row r="213" spans="2:3">
      <c r="B213" s="45">
        <v>3.07</v>
      </c>
      <c r="C213" t="s">
        <v>85</v>
      </c>
    </row>
    <row r="214" spans="2:3">
      <c r="B214" s="44">
        <v>3.08</v>
      </c>
      <c r="C214" t="s">
        <v>85</v>
      </c>
    </row>
    <row r="215" spans="2:3">
      <c r="B215" s="45">
        <v>3.09</v>
      </c>
      <c r="C215" t="s">
        <v>85</v>
      </c>
    </row>
    <row r="216" spans="2:3">
      <c r="B216" s="44">
        <v>3.1</v>
      </c>
      <c r="C216" t="s">
        <v>85</v>
      </c>
    </row>
    <row r="217" spans="2:3">
      <c r="B217" s="45">
        <v>3.11</v>
      </c>
      <c r="C217" t="s">
        <v>85</v>
      </c>
    </row>
    <row r="218" spans="2:3">
      <c r="B218" s="44">
        <v>3.12</v>
      </c>
      <c r="C218" t="s">
        <v>85</v>
      </c>
    </row>
    <row r="219" spans="2:3">
      <c r="B219" s="45">
        <v>3.13</v>
      </c>
      <c r="C219" t="s">
        <v>85</v>
      </c>
    </row>
    <row r="220" spans="2:3">
      <c r="B220" s="44">
        <v>3.14</v>
      </c>
      <c r="C220" t="s">
        <v>85</v>
      </c>
    </row>
    <row r="221" spans="2:3">
      <c r="B221" s="45">
        <v>3.15</v>
      </c>
      <c r="C221" t="s">
        <v>85</v>
      </c>
    </row>
    <row r="222" spans="2:3">
      <c r="B222" s="44">
        <v>3.16</v>
      </c>
      <c r="C222" t="s">
        <v>85</v>
      </c>
    </row>
    <row r="223" spans="2:3">
      <c r="B223" s="45">
        <v>3.17</v>
      </c>
      <c r="C223" t="s">
        <v>85</v>
      </c>
    </row>
    <row r="224" spans="2:3">
      <c r="B224" s="44">
        <v>3.18</v>
      </c>
      <c r="C224" t="s">
        <v>85</v>
      </c>
    </row>
    <row r="225" spans="2:3">
      <c r="B225" s="45">
        <v>3.19</v>
      </c>
      <c r="C225" t="s">
        <v>85</v>
      </c>
    </row>
    <row r="226" spans="2:3">
      <c r="B226" s="44">
        <v>3.2</v>
      </c>
      <c r="C226" t="s">
        <v>85</v>
      </c>
    </row>
    <row r="227" spans="2:3">
      <c r="B227" s="45">
        <v>3.21</v>
      </c>
      <c r="C227" t="s">
        <v>85</v>
      </c>
    </row>
    <row r="228" spans="2:3">
      <c r="B228" s="44">
        <v>3.22</v>
      </c>
      <c r="C228" t="s">
        <v>85</v>
      </c>
    </row>
    <row r="229" spans="2:3">
      <c r="B229" s="45">
        <v>3.23</v>
      </c>
      <c r="C229" t="s">
        <v>85</v>
      </c>
    </row>
    <row r="230" spans="2:3">
      <c r="B230" s="44">
        <v>3.24</v>
      </c>
      <c r="C230" t="s">
        <v>85</v>
      </c>
    </row>
    <row r="231" spans="2:3">
      <c r="B231" s="45">
        <v>3.25</v>
      </c>
      <c r="C231" t="s">
        <v>85</v>
      </c>
    </row>
    <row r="232" spans="2:3">
      <c r="B232" s="44">
        <v>3.26</v>
      </c>
      <c r="C232" t="s">
        <v>85</v>
      </c>
    </row>
    <row r="233" spans="2:3">
      <c r="B233" s="45">
        <v>3.27</v>
      </c>
      <c r="C233" t="s">
        <v>85</v>
      </c>
    </row>
    <row r="234" spans="2:3">
      <c r="B234" s="44">
        <v>3.28</v>
      </c>
      <c r="C234" t="s">
        <v>85</v>
      </c>
    </row>
    <row r="235" spans="2:3">
      <c r="B235" s="45">
        <v>3.29</v>
      </c>
      <c r="C235" t="s">
        <v>85</v>
      </c>
    </row>
    <row r="236" spans="2:3">
      <c r="B236" s="44">
        <v>3.3</v>
      </c>
      <c r="C236" t="s">
        <v>85</v>
      </c>
    </row>
    <row r="237" spans="2:3">
      <c r="B237" s="45">
        <v>3.31</v>
      </c>
      <c r="C237" t="s">
        <v>85</v>
      </c>
    </row>
    <row r="238" spans="2:3">
      <c r="B238" s="44">
        <v>3.32</v>
      </c>
      <c r="C238" t="s">
        <v>85</v>
      </c>
    </row>
    <row r="239" spans="2:3">
      <c r="B239" s="45">
        <v>3.33</v>
      </c>
      <c r="C239" t="s">
        <v>85</v>
      </c>
    </row>
    <row r="240" spans="2:3">
      <c r="B240" s="44">
        <v>3.34</v>
      </c>
      <c r="C240" t="s">
        <v>85</v>
      </c>
    </row>
    <row r="241" spans="2:3">
      <c r="B241" s="45">
        <v>3.35</v>
      </c>
      <c r="C241" t="s">
        <v>85</v>
      </c>
    </row>
    <row r="242" spans="2:3">
      <c r="B242" s="44">
        <v>3.36</v>
      </c>
      <c r="C242" t="s">
        <v>85</v>
      </c>
    </row>
    <row r="243" spans="2:3">
      <c r="B243" s="45">
        <v>3.37</v>
      </c>
      <c r="C243" t="s">
        <v>85</v>
      </c>
    </row>
    <row r="244" spans="2:3">
      <c r="B244" s="44">
        <v>3.38</v>
      </c>
      <c r="C244" t="s">
        <v>85</v>
      </c>
    </row>
    <row r="245" spans="2:3">
      <c r="B245" s="45">
        <v>3.39</v>
      </c>
      <c r="C245" t="s">
        <v>85</v>
      </c>
    </row>
    <row r="246" spans="2:3">
      <c r="B246" s="44">
        <v>3.4</v>
      </c>
      <c r="C246" t="s">
        <v>85</v>
      </c>
    </row>
    <row r="247" spans="2:3">
      <c r="B247" s="45">
        <v>3.41</v>
      </c>
      <c r="C247" t="s">
        <v>85</v>
      </c>
    </row>
    <row r="248" spans="2:3">
      <c r="B248" s="44">
        <v>3.42</v>
      </c>
      <c r="C248" t="s">
        <v>85</v>
      </c>
    </row>
    <row r="249" spans="2:3">
      <c r="B249" s="45">
        <v>3.43</v>
      </c>
      <c r="C249" t="s">
        <v>85</v>
      </c>
    </row>
    <row r="250" spans="2:3">
      <c r="B250" s="44">
        <v>3.44</v>
      </c>
      <c r="C250" t="s">
        <v>85</v>
      </c>
    </row>
    <row r="251" spans="2:3">
      <c r="B251" s="45">
        <v>3.45</v>
      </c>
      <c r="C251" t="s">
        <v>85</v>
      </c>
    </row>
    <row r="252" spans="2:3">
      <c r="B252" s="44">
        <v>3.46</v>
      </c>
      <c r="C252" t="s">
        <v>85</v>
      </c>
    </row>
    <row r="253" spans="2:3">
      <c r="B253" s="45">
        <v>3.47</v>
      </c>
      <c r="C253" t="s">
        <v>85</v>
      </c>
    </row>
    <row r="254" spans="2:3">
      <c r="B254" s="44">
        <v>3.48</v>
      </c>
      <c r="C254" t="s">
        <v>85</v>
      </c>
    </row>
    <row r="255" spans="2:3">
      <c r="B255" s="45">
        <v>3.49</v>
      </c>
      <c r="C255" t="s">
        <v>85</v>
      </c>
    </row>
    <row r="256" spans="2:3">
      <c r="B256" s="44">
        <v>3.5</v>
      </c>
      <c r="C256" t="s">
        <v>85</v>
      </c>
    </row>
    <row r="257" spans="2:3">
      <c r="B257" s="45">
        <v>3.51</v>
      </c>
      <c r="C257" t="s">
        <v>85</v>
      </c>
    </row>
    <row r="258" spans="2:3">
      <c r="B258" s="44">
        <v>3.52</v>
      </c>
      <c r="C258" t="s">
        <v>85</v>
      </c>
    </row>
    <row r="259" spans="2:3">
      <c r="B259" s="45">
        <v>3.53</v>
      </c>
      <c r="C259" t="s">
        <v>85</v>
      </c>
    </row>
    <row r="260" spans="2:3">
      <c r="B260" s="44">
        <v>3.54</v>
      </c>
      <c r="C260" t="s">
        <v>85</v>
      </c>
    </row>
    <row r="261" spans="2:3">
      <c r="B261" s="45">
        <v>3.55</v>
      </c>
      <c r="C261" t="s">
        <v>85</v>
      </c>
    </row>
    <row r="262" spans="2:3">
      <c r="B262" s="44">
        <v>3.56</v>
      </c>
      <c r="C262" t="s">
        <v>85</v>
      </c>
    </row>
    <row r="263" spans="2:3">
      <c r="B263" s="45">
        <v>3.57</v>
      </c>
      <c r="C263" t="s">
        <v>85</v>
      </c>
    </row>
    <row r="264" spans="2:3">
      <c r="B264" s="44">
        <v>3.58</v>
      </c>
      <c r="C264" t="s">
        <v>85</v>
      </c>
    </row>
    <row r="265" spans="2:3">
      <c r="B265" s="45">
        <v>3.59</v>
      </c>
      <c r="C265" t="s">
        <v>85</v>
      </c>
    </row>
    <row r="266" spans="2:3">
      <c r="B266" s="44">
        <v>3.6</v>
      </c>
      <c r="C266" t="s">
        <v>85</v>
      </c>
    </row>
    <row r="267" spans="2:3">
      <c r="B267" s="45">
        <v>3.61</v>
      </c>
      <c r="C267" t="s">
        <v>85</v>
      </c>
    </row>
    <row r="268" spans="2:3">
      <c r="B268" s="44">
        <v>3.62</v>
      </c>
      <c r="C268" t="s">
        <v>85</v>
      </c>
    </row>
    <row r="269" spans="2:3">
      <c r="B269" s="45">
        <v>3.63</v>
      </c>
      <c r="C269" t="s">
        <v>85</v>
      </c>
    </row>
    <row r="270" spans="2:3">
      <c r="B270" s="44">
        <v>3.64</v>
      </c>
      <c r="C270" t="s">
        <v>85</v>
      </c>
    </row>
    <row r="271" spans="2:3">
      <c r="B271" s="45">
        <v>3.65</v>
      </c>
      <c r="C271" t="s">
        <v>85</v>
      </c>
    </row>
    <row r="272" spans="2:3">
      <c r="B272" s="44">
        <v>3.66</v>
      </c>
      <c r="C272" t="s">
        <v>85</v>
      </c>
    </row>
    <row r="273" spans="2:3">
      <c r="B273" s="45">
        <v>3.67</v>
      </c>
      <c r="C273" t="s">
        <v>85</v>
      </c>
    </row>
    <row r="274" spans="2:3">
      <c r="B274" s="44">
        <v>3.68</v>
      </c>
      <c r="C274" t="s">
        <v>85</v>
      </c>
    </row>
    <row r="275" spans="2:3">
      <c r="B275" s="45">
        <v>3.69</v>
      </c>
      <c r="C275" t="s">
        <v>85</v>
      </c>
    </row>
    <row r="276" spans="2:3">
      <c r="B276" s="44">
        <v>3.7</v>
      </c>
      <c r="C276" t="s">
        <v>85</v>
      </c>
    </row>
    <row r="277" spans="2:3">
      <c r="B277" s="45">
        <v>3.71</v>
      </c>
      <c r="C277" t="s">
        <v>85</v>
      </c>
    </row>
    <row r="278" spans="2:3">
      <c r="B278" s="44">
        <v>3.72</v>
      </c>
      <c r="C278" t="s">
        <v>85</v>
      </c>
    </row>
    <row r="279" spans="2:3">
      <c r="B279" s="45">
        <v>3.73</v>
      </c>
      <c r="C279" t="s">
        <v>85</v>
      </c>
    </row>
    <row r="280" spans="2:3">
      <c r="B280" s="44">
        <v>3.74</v>
      </c>
      <c r="C280" t="s">
        <v>85</v>
      </c>
    </row>
    <row r="281" spans="2:3">
      <c r="B281" s="45">
        <v>3.75</v>
      </c>
      <c r="C281" t="s">
        <v>222</v>
      </c>
    </row>
    <row r="282" spans="2:3">
      <c r="B282" s="44">
        <v>3.76</v>
      </c>
      <c r="C282" t="s">
        <v>222</v>
      </c>
    </row>
    <row r="283" spans="2:3">
      <c r="B283" s="45">
        <v>3.77</v>
      </c>
      <c r="C283" t="s">
        <v>222</v>
      </c>
    </row>
    <row r="284" spans="2:3">
      <c r="B284" s="44">
        <v>3.78</v>
      </c>
      <c r="C284" t="s">
        <v>222</v>
      </c>
    </row>
    <row r="285" spans="2:3">
      <c r="B285" s="45">
        <v>3.79</v>
      </c>
      <c r="C285" t="s">
        <v>222</v>
      </c>
    </row>
    <row r="286" spans="2:3">
      <c r="B286" s="44">
        <v>3.8</v>
      </c>
      <c r="C286" t="s">
        <v>222</v>
      </c>
    </row>
    <row r="287" spans="2:3">
      <c r="B287" s="45">
        <v>3.81</v>
      </c>
      <c r="C287" t="s">
        <v>222</v>
      </c>
    </row>
    <row r="288" spans="2:3">
      <c r="B288" s="44">
        <v>3.82</v>
      </c>
      <c r="C288" t="s">
        <v>222</v>
      </c>
    </row>
    <row r="289" spans="2:3">
      <c r="B289" s="45">
        <v>3.83</v>
      </c>
      <c r="C289" t="s">
        <v>222</v>
      </c>
    </row>
    <row r="290" spans="2:3">
      <c r="B290" s="44">
        <v>3.84</v>
      </c>
      <c r="C290" t="s">
        <v>222</v>
      </c>
    </row>
    <row r="291" spans="2:3">
      <c r="B291" s="45">
        <v>3.85</v>
      </c>
      <c r="C291" t="s">
        <v>222</v>
      </c>
    </row>
    <row r="292" spans="2:3">
      <c r="B292" s="44">
        <v>3.86</v>
      </c>
      <c r="C292" t="s">
        <v>222</v>
      </c>
    </row>
    <row r="293" spans="2:3">
      <c r="B293" s="45">
        <v>3.87</v>
      </c>
      <c r="C293" t="s">
        <v>222</v>
      </c>
    </row>
    <row r="294" spans="2:3">
      <c r="B294" s="44">
        <v>3.88</v>
      </c>
      <c r="C294" t="s">
        <v>222</v>
      </c>
    </row>
    <row r="295" spans="2:3">
      <c r="B295" s="45">
        <v>3.89</v>
      </c>
      <c r="C295" t="s">
        <v>222</v>
      </c>
    </row>
    <row r="296" spans="2:3">
      <c r="B296" s="44">
        <v>3.9</v>
      </c>
      <c r="C296" t="s">
        <v>222</v>
      </c>
    </row>
    <row r="297" spans="2:3">
      <c r="B297" s="45">
        <v>3.91</v>
      </c>
      <c r="C297" t="s">
        <v>222</v>
      </c>
    </row>
    <row r="298" spans="2:3">
      <c r="B298" s="44">
        <v>3.92</v>
      </c>
      <c r="C298" t="s">
        <v>222</v>
      </c>
    </row>
    <row r="299" spans="2:3">
      <c r="B299" s="45">
        <v>3.93</v>
      </c>
      <c r="C299" t="s">
        <v>222</v>
      </c>
    </row>
    <row r="300" spans="2:3">
      <c r="B300" s="44">
        <v>3.94</v>
      </c>
      <c r="C300" t="s">
        <v>222</v>
      </c>
    </row>
    <row r="301" spans="2:3">
      <c r="B301" s="45">
        <v>3.95</v>
      </c>
      <c r="C301" t="s">
        <v>222</v>
      </c>
    </row>
    <row r="302" spans="2:3">
      <c r="B302" s="44">
        <v>3.96</v>
      </c>
      <c r="C302" t="s">
        <v>222</v>
      </c>
    </row>
    <row r="303" spans="2:3">
      <c r="B303" s="45">
        <v>3.97</v>
      </c>
      <c r="C303" t="s">
        <v>222</v>
      </c>
    </row>
    <row r="304" spans="2:3">
      <c r="B304" s="44">
        <v>3.98</v>
      </c>
      <c r="C304" t="s">
        <v>222</v>
      </c>
    </row>
    <row r="305" spans="2:3">
      <c r="B305" s="45">
        <v>3.99</v>
      </c>
      <c r="C305" t="s">
        <v>222</v>
      </c>
    </row>
    <row r="306" spans="2:3">
      <c r="B306" s="44">
        <v>4</v>
      </c>
      <c r="C306" t="s">
        <v>222</v>
      </c>
    </row>
    <row r="307" spans="2:3">
      <c r="B307" s="45">
        <v>4.01</v>
      </c>
      <c r="C307" t="s">
        <v>222</v>
      </c>
    </row>
    <row r="308" spans="2:3">
      <c r="B308" s="44">
        <v>4.0199999999999996</v>
      </c>
      <c r="C308" t="s">
        <v>222</v>
      </c>
    </row>
    <row r="309" spans="2:3">
      <c r="B309" s="45">
        <v>4.03</v>
      </c>
      <c r="C309" t="s">
        <v>222</v>
      </c>
    </row>
    <row r="310" spans="2:3">
      <c r="B310" s="44">
        <v>4.04</v>
      </c>
      <c r="C310" t="s">
        <v>222</v>
      </c>
    </row>
    <row r="311" spans="2:3">
      <c r="B311" s="45">
        <v>4.05</v>
      </c>
      <c r="C311" t="s">
        <v>222</v>
      </c>
    </row>
    <row r="312" spans="2:3">
      <c r="B312" s="44">
        <v>4.0599999999999996</v>
      </c>
      <c r="C312" t="s">
        <v>222</v>
      </c>
    </row>
    <row r="313" spans="2:3">
      <c r="B313" s="45">
        <v>4.07</v>
      </c>
      <c r="C313" t="s">
        <v>222</v>
      </c>
    </row>
    <row r="314" spans="2:3">
      <c r="B314" s="44">
        <v>4.08</v>
      </c>
      <c r="C314" t="s">
        <v>222</v>
      </c>
    </row>
    <row r="315" spans="2:3">
      <c r="B315" s="45">
        <v>4.09</v>
      </c>
      <c r="C315" t="s">
        <v>222</v>
      </c>
    </row>
    <row r="316" spans="2:3">
      <c r="B316" s="44">
        <v>4.0999999999999996</v>
      </c>
      <c r="C316" t="s">
        <v>222</v>
      </c>
    </row>
    <row r="317" spans="2:3">
      <c r="B317" s="45">
        <v>4.1100000000000003</v>
      </c>
      <c r="C317" t="s">
        <v>222</v>
      </c>
    </row>
    <row r="318" spans="2:3">
      <c r="B318" s="44">
        <v>4.12</v>
      </c>
      <c r="C318" t="s">
        <v>222</v>
      </c>
    </row>
    <row r="319" spans="2:3">
      <c r="B319" s="45">
        <v>4.13</v>
      </c>
      <c r="C319" t="s">
        <v>222</v>
      </c>
    </row>
    <row r="320" spans="2:3">
      <c r="B320" s="44">
        <v>4.1399999999999997</v>
      </c>
      <c r="C320" t="s">
        <v>222</v>
      </c>
    </row>
    <row r="321" spans="2:3">
      <c r="B321" s="45">
        <v>4.1500000000000004</v>
      </c>
      <c r="C321" t="s">
        <v>222</v>
      </c>
    </row>
    <row r="322" spans="2:3">
      <c r="B322" s="44">
        <v>4.16</v>
      </c>
      <c r="C322" t="s">
        <v>222</v>
      </c>
    </row>
    <row r="323" spans="2:3">
      <c r="B323" s="45">
        <v>4.17</v>
      </c>
      <c r="C323" t="s">
        <v>222</v>
      </c>
    </row>
    <row r="324" spans="2:3">
      <c r="B324" s="44">
        <v>4.18</v>
      </c>
      <c r="C324" t="s">
        <v>222</v>
      </c>
    </row>
    <row r="325" spans="2:3">
      <c r="B325" s="45">
        <v>4.1900000000000004</v>
      </c>
      <c r="C325" t="s">
        <v>222</v>
      </c>
    </row>
    <row r="326" spans="2:3">
      <c r="B326" s="44">
        <v>4.2</v>
      </c>
      <c r="C326" t="s">
        <v>222</v>
      </c>
    </row>
    <row r="327" spans="2:3">
      <c r="B327" s="45">
        <v>4.21</v>
      </c>
      <c r="C327" t="s">
        <v>222</v>
      </c>
    </row>
    <row r="328" spans="2:3">
      <c r="B328" s="44">
        <v>4.22</v>
      </c>
      <c r="C328" t="s">
        <v>222</v>
      </c>
    </row>
    <row r="329" spans="2:3">
      <c r="B329" s="45">
        <v>4.2300000000000004</v>
      </c>
      <c r="C329" t="s">
        <v>222</v>
      </c>
    </row>
    <row r="330" spans="2:3">
      <c r="B330" s="44">
        <v>4.24</v>
      </c>
      <c r="C330" t="s">
        <v>222</v>
      </c>
    </row>
    <row r="331" spans="2:3">
      <c r="B331" s="45">
        <v>4.25</v>
      </c>
      <c r="C331" t="s">
        <v>222</v>
      </c>
    </row>
    <row r="332" spans="2:3">
      <c r="B332" s="44">
        <v>4.26</v>
      </c>
      <c r="C332" t="s">
        <v>222</v>
      </c>
    </row>
    <row r="333" spans="2:3">
      <c r="B333" s="45">
        <v>4.2699999999999996</v>
      </c>
      <c r="C333" t="s">
        <v>222</v>
      </c>
    </row>
    <row r="334" spans="2:3">
      <c r="B334" s="44">
        <v>4.28</v>
      </c>
      <c r="C334" t="s">
        <v>222</v>
      </c>
    </row>
    <row r="335" spans="2:3">
      <c r="B335" s="45">
        <v>4.29</v>
      </c>
      <c r="C335" t="s">
        <v>222</v>
      </c>
    </row>
    <row r="336" spans="2:3">
      <c r="B336" s="44">
        <v>4.3</v>
      </c>
      <c r="C336" t="s">
        <v>222</v>
      </c>
    </row>
    <row r="337" spans="2:3">
      <c r="B337" s="45">
        <v>4.3099999999999996</v>
      </c>
      <c r="C337" t="s">
        <v>222</v>
      </c>
    </row>
    <row r="338" spans="2:3">
      <c r="B338" s="44">
        <v>4.32</v>
      </c>
      <c r="C338" t="s">
        <v>222</v>
      </c>
    </row>
    <row r="339" spans="2:3">
      <c r="B339" s="45">
        <v>4.33</v>
      </c>
      <c r="C339" t="s">
        <v>222</v>
      </c>
    </row>
    <row r="340" spans="2:3">
      <c r="B340" s="44">
        <v>4.34</v>
      </c>
      <c r="C340" t="s">
        <v>222</v>
      </c>
    </row>
    <row r="341" spans="2:3">
      <c r="B341" s="45">
        <v>4.3499999999999996</v>
      </c>
      <c r="C341" t="s">
        <v>222</v>
      </c>
    </row>
    <row r="342" spans="2:3">
      <c r="B342" s="44">
        <v>4.3600000000000003</v>
      </c>
      <c r="C342" t="s">
        <v>222</v>
      </c>
    </row>
    <row r="343" spans="2:3">
      <c r="B343" s="45">
        <v>4.37</v>
      </c>
      <c r="C343" t="s">
        <v>222</v>
      </c>
    </row>
    <row r="344" spans="2:3">
      <c r="B344" s="44">
        <v>4.38</v>
      </c>
      <c r="C344" t="s">
        <v>222</v>
      </c>
    </row>
    <row r="345" spans="2:3">
      <c r="B345" s="45">
        <v>4.3899999999999997</v>
      </c>
      <c r="C345" t="s">
        <v>222</v>
      </c>
    </row>
    <row r="346" spans="2:3">
      <c r="B346" s="44">
        <v>4.4000000000000004</v>
      </c>
      <c r="C346" t="s">
        <v>222</v>
      </c>
    </row>
    <row r="347" spans="2:3">
      <c r="B347" s="45">
        <v>4.41</v>
      </c>
      <c r="C347" t="s">
        <v>222</v>
      </c>
    </row>
    <row r="348" spans="2:3">
      <c r="B348" s="44">
        <v>4.42</v>
      </c>
      <c r="C348" t="s">
        <v>222</v>
      </c>
    </row>
    <row r="349" spans="2:3">
      <c r="B349" s="45">
        <v>4.43</v>
      </c>
      <c r="C349" t="s">
        <v>222</v>
      </c>
    </row>
    <row r="350" spans="2:3">
      <c r="B350" s="44">
        <v>4.4400000000000004</v>
      </c>
      <c r="C350" t="s">
        <v>222</v>
      </c>
    </row>
    <row r="351" spans="2:3">
      <c r="B351" s="45">
        <v>4.45</v>
      </c>
      <c r="C351" t="s">
        <v>222</v>
      </c>
    </row>
    <row r="352" spans="2:3">
      <c r="B352" s="44">
        <v>4.46</v>
      </c>
      <c r="C352" t="s">
        <v>222</v>
      </c>
    </row>
    <row r="353" spans="2:3">
      <c r="B353" s="45">
        <v>4.47</v>
      </c>
      <c r="C353" t="s">
        <v>222</v>
      </c>
    </row>
    <row r="354" spans="2:3">
      <c r="B354" s="44">
        <v>4.4800000000000004</v>
      </c>
      <c r="C354" t="s">
        <v>222</v>
      </c>
    </row>
    <row r="355" spans="2:3">
      <c r="B355" s="45">
        <v>4.49</v>
      </c>
      <c r="C355" t="s">
        <v>222</v>
      </c>
    </row>
    <row r="356" spans="2:3">
      <c r="B356" s="44">
        <v>4.5</v>
      </c>
      <c r="C356" t="s">
        <v>222</v>
      </c>
    </row>
    <row r="357" spans="2:3">
      <c r="B357" s="45">
        <v>4.51</v>
      </c>
      <c r="C357" t="s">
        <v>222</v>
      </c>
    </row>
    <row r="358" spans="2:3">
      <c r="B358" s="44">
        <v>4.5199999999999996</v>
      </c>
      <c r="C358" t="s">
        <v>222</v>
      </c>
    </row>
    <row r="359" spans="2:3">
      <c r="B359" s="45">
        <v>4.53</v>
      </c>
      <c r="C359" t="s">
        <v>222</v>
      </c>
    </row>
    <row r="360" spans="2:3">
      <c r="B360" s="44">
        <v>4.54</v>
      </c>
      <c r="C360" t="s">
        <v>222</v>
      </c>
    </row>
    <row r="361" spans="2:3">
      <c r="B361" s="45">
        <v>4.55</v>
      </c>
      <c r="C361" t="s">
        <v>222</v>
      </c>
    </row>
    <row r="362" spans="2:3">
      <c r="B362" s="44">
        <v>4.5599999999999996</v>
      </c>
      <c r="C362" t="s">
        <v>222</v>
      </c>
    </row>
    <row r="363" spans="2:3">
      <c r="B363" s="45">
        <v>4.57</v>
      </c>
      <c r="C363" t="s">
        <v>222</v>
      </c>
    </row>
    <row r="364" spans="2:3">
      <c r="B364" s="44">
        <v>4.58</v>
      </c>
      <c r="C364" t="s">
        <v>222</v>
      </c>
    </row>
    <row r="365" spans="2:3">
      <c r="B365" s="45">
        <v>4.59</v>
      </c>
      <c r="C365" t="s">
        <v>222</v>
      </c>
    </row>
    <row r="366" spans="2:3">
      <c r="B366" s="44">
        <v>4.5999999999999996</v>
      </c>
      <c r="C366" t="s">
        <v>222</v>
      </c>
    </row>
    <row r="367" spans="2:3">
      <c r="B367" s="45">
        <v>4.6100000000000003</v>
      </c>
      <c r="C367" t="s">
        <v>222</v>
      </c>
    </row>
    <row r="368" spans="2:3">
      <c r="B368" s="44">
        <v>4.62</v>
      </c>
      <c r="C368" t="s">
        <v>222</v>
      </c>
    </row>
    <row r="369" spans="2:3">
      <c r="B369" s="45">
        <v>4.63</v>
      </c>
      <c r="C369" t="s">
        <v>222</v>
      </c>
    </row>
    <row r="370" spans="2:3">
      <c r="B370" s="44">
        <v>4.6399999999999997</v>
      </c>
      <c r="C370" t="s">
        <v>222</v>
      </c>
    </row>
    <row r="371" spans="2:3">
      <c r="B371" s="45">
        <v>4.6500000000000004</v>
      </c>
      <c r="C371" t="s">
        <v>222</v>
      </c>
    </row>
    <row r="372" spans="2:3">
      <c r="B372" s="44">
        <v>4.66</v>
      </c>
      <c r="C372" t="s">
        <v>222</v>
      </c>
    </row>
    <row r="373" spans="2:3">
      <c r="B373" s="45">
        <v>4.67</v>
      </c>
      <c r="C373" t="s">
        <v>222</v>
      </c>
    </row>
    <row r="374" spans="2:3">
      <c r="B374" s="44">
        <v>4.68</v>
      </c>
      <c r="C374" t="s">
        <v>222</v>
      </c>
    </row>
    <row r="375" spans="2:3">
      <c r="B375" s="45">
        <v>4.6900000000000004</v>
      </c>
      <c r="C375" t="s">
        <v>222</v>
      </c>
    </row>
    <row r="376" spans="2:3">
      <c r="B376" s="44">
        <v>4.7</v>
      </c>
      <c r="C376" t="s">
        <v>222</v>
      </c>
    </row>
    <row r="377" spans="2:3">
      <c r="B377" s="45">
        <v>4.71</v>
      </c>
      <c r="C377" t="s">
        <v>222</v>
      </c>
    </row>
    <row r="378" spans="2:3">
      <c r="B378" s="44">
        <v>4.72</v>
      </c>
      <c r="C378" t="s">
        <v>222</v>
      </c>
    </row>
    <row r="379" spans="2:3">
      <c r="B379" s="45">
        <v>4.7300000000000004</v>
      </c>
      <c r="C379" t="s">
        <v>222</v>
      </c>
    </row>
    <row r="380" spans="2:3">
      <c r="B380" s="44">
        <v>4.74</v>
      </c>
      <c r="C380" t="s">
        <v>222</v>
      </c>
    </row>
    <row r="381" spans="2:3">
      <c r="B381" s="45">
        <v>4.75</v>
      </c>
      <c r="C381" t="s">
        <v>221</v>
      </c>
    </row>
    <row r="382" spans="2:3">
      <c r="B382" s="44">
        <v>4.76</v>
      </c>
      <c r="C382" t="s">
        <v>221</v>
      </c>
    </row>
    <row r="383" spans="2:3">
      <c r="B383" s="45">
        <v>4.7699999999999996</v>
      </c>
      <c r="C383" t="s">
        <v>221</v>
      </c>
    </row>
    <row r="384" spans="2:3">
      <c r="B384" s="44">
        <v>4.78</v>
      </c>
      <c r="C384" t="s">
        <v>221</v>
      </c>
    </row>
    <row r="385" spans="2:3">
      <c r="B385" s="45">
        <v>4.79</v>
      </c>
      <c r="C385" t="s">
        <v>221</v>
      </c>
    </row>
    <row r="386" spans="2:3">
      <c r="B386" s="44">
        <v>4.8</v>
      </c>
      <c r="C386" t="s">
        <v>221</v>
      </c>
    </row>
    <row r="387" spans="2:3">
      <c r="B387" s="45">
        <v>4.8099999999999996</v>
      </c>
      <c r="C387" t="s">
        <v>221</v>
      </c>
    </row>
    <row r="388" spans="2:3">
      <c r="B388" s="44">
        <v>4.82</v>
      </c>
      <c r="C388" t="s">
        <v>221</v>
      </c>
    </row>
    <row r="389" spans="2:3">
      <c r="B389" s="45">
        <v>4.83</v>
      </c>
      <c r="C389" t="s">
        <v>221</v>
      </c>
    </row>
    <row r="390" spans="2:3">
      <c r="B390" s="44">
        <v>4.84</v>
      </c>
      <c r="C390" t="s">
        <v>221</v>
      </c>
    </row>
    <row r="391" spans="2:3">
      <c r="B391" s="45">
        <v>4.8499999999999996</v>
      </c>
      <c r="C391" t="s">
        <v>221</v>
      </c>
    </row>
    <row r="392" spans="2:3">
      <c r="B392" s="44">
        <v>4.8600000000000003</v>
      </c>
      <c r="C392" t="s">
        <v>221</v>
      </c>
    </row>
    <row r="393" spans="2:3">
      <c r="B393" s="45">
        <v>4.87</v>
      </c>
      <c r="C393" t="s">
        <v>221</v>
      </c>
    </row>
    <row r="394" spans="2:3">
      <c r="B394" s="44">
        <v>4.88</v>
      </c>
      <c r="C394" t="s">
        <v>221</v>
      </c>
    </row>
    <row r="395" spans="2:3">
      <c r="B395" s="45">
        <v>4.8899999999999997</v>
      </c>
      <c r="C395" t="s">
        <v>221</v>
      </c>
    </row>
    <row r="396" spans="2:3">
      <c r="B396" s="44">
        <v>4.9000000000000004</v>
      </c>
      <c r="C396" t="s">
        <v>221</v>
      </c>
    </row>
    <row r="397" spans="2:3">
      <c r="B397" s="45">
        <v>4.91</v>
      </c>
      <c r="C397" t="s">
        <v>221</v>
      </c>
    </row>
    <row r="398" spans="2:3">
      <c r="B398" s="44">
        <v>4.92</v>
      </c>
      <c r="C398" t="s">
        <v>221</v>
      </c>
    </row>
    <row r="399" spans="2:3">
      <c r="B399" s="45">
        <v>4.93</v>
      </c>
      <c r="C399" t="s">
        <v>221</v>
      </c>
    </row>
    <row r="400" spans="2:3">
      <c r="B400" s="44">
        <v>4.9400000000000004</v>
      </c>
      <c r="C400" t="s">
        <v>221</v>
      </c>
    </row>
    <row r="401" spans="2:3">
      <c r="B401" s="45">
        <v>4.95</v>
      </c>
      <c r="C401" t="s">
        <v>221</v>
      </c>
    </row>
    <row r="402" spans="2:3">
      <c r="B402" s="44">
        <v>4.96</v>
      </c>
      <c r="C402" t="s">
        <v>221</v>
      </c>
    </row>
    <row r="403" spans="2:3">
      <c r="B403" s="45">
        <v>4.97</v>
      </c>
      <c r="C403" t="s">
        <v>221</v>
      </c>
    </row>
    <row r="404" spans="2:3">
      <c r="B404" s="44">
        <v>4.9800000000000004</v>
      </c>
      <c r="C404" t="s">
        <v>221</v>
      </c>
    </row>
    <row r="405" spans="2:3">
      <c r="B405" s="45">
        <v>4.99</v>
      </c>
      <c r="C405" t="s">
        <v>221</v>
      </c>
    </row>
    <row r="406" spans="2:3">
      <c r="B406" s="44">
        <v>5</v>
      </c>
      <c r="C406" t="s">
        <v>221</v>
      </c>
    </row>
    <row r="407" spans="2:3">
      <c r="B407" s="45">
        <v>5.01</v>
      </c>
      <c r="C407" t="s">
        <v>221</v>
      </c>
    </row>
    <row r="408" spans="2:3">
      <c r="B408" s="44">
        <v>5.0199999999999996</v>
      </c>
      <c r="C408" t="s">
        <v>221</v>
      </c>
    </row>
    <row r="409" spans="2:3">
      <c r="B409" s="45">
        <v>5.03</v>
      </c>
      <c r="C409" t="s">
        <v>221</v>
      </c>
    </row>
    <row r="410" spans="2:3">
      <c r="B410" s="44">
        <v>5.04</v>
      </c>
      <c r="C410" t="s">
        <v>221</v>
      </c>
    </row>
    <row r="411" spans="2:3">
      <c r="B411" s="45">
        <v>5.05</v>
      </c>
      <c r="C411" t="s">
        <v>221</v>
      </c>
    </row>
    <row r="412" spans="2:3">
      <c r="B412" s="44">
        <v>5.0599999999999996</v>
      </c>
      <c r="C412" t="s">
        <v>221</v>
      </c>
    </row>
    <row r="413" spans="2:3">
      <c r="B413" s="45">
        <v>5.07</v>
      </c>
      <c r="C413" t="s">
        <v>221</v>
      </c>
    </row>
    <row r="414" spans="2:3">
      <c r="B414" s="44">
        <v>5.08</v>
      </c>
      <c r="C414" t="s">
        <v>221</v>
      </c>
    </row>
    <row r="415" spans="2:3">
      <c r="B415" s="45">
        <v>5.09</v>
      </c>
      <c r="C415" t="s">
        <v>221</v>
      </c>
    </row>
    <row r="416" spans="2:3">
      <c r="B416" s="44">
        <v>5.0999999999999996</v>
      </c>
      <c r="C416" t="s">
        <v>221</v>
      </c>
    </row>
    <row r="417" spans="2:3">
      <c r="B417" s="45">
        <v>5.1100000000000003</v>
      </c>
      <c r="C417" t="s">
        <v>221</v>
      </c>
    </row>
    <row r="418" spans="2:3">
      <c r="B418" s="44">
        <v>5.12</v>
      </c>
      <c r="C418" t="s">
        <v>221</v>
      </c>
    </row>
    <row r="419" spans="2:3">
      <c r="B419" s="45">
        <v>5.13</v>
      </c>
      <c r="C419" t="s">
        <v>221</v>
      </c>
    </row>
    <row r="420" spans="2:3">
      <c r="B420" s="44">
        <v>5.14</v>
      </c>
      <c r="C420" t="s">
        <v>221</v>
      </c>
    </row>
    <row r="421" spans="2:3">
      <c r="B421" s="45">
        <v>5.15</v>
      </c>
      <c r="C421" t="s">
        <v>221</v>
      </c>
    </row>
    <row r="422" spans="2:3">
      <c r="B422" s="44">
        <v>5.16</v>
      </c>
      <c r="C422" t="s">
        <v>221</v>
      </c>
    </row>
    <row r="423" spans="2:3">
      <c r="B423" s="45">
        <v>5.17</v>
      </c>
      <c r="C423" t="s">
        <v>221</v>
      </c>
    </row>
    <row r="424" spans="2:3">
      <c r="B424" s="44">
        <v>5.18</v>
      </c>
      <c r="C424" t="s">
        <v>221</v>
      </c>
    </row>
    <row r="425" spans="2:3">
      <c r="B425" s="45">
        <v>5.19</v>
      </c>
      <c r="C425" t="s">
        <v>221</v>
      </c>
    </row>
    <row r="426" spans="2:3">
      <c r="B426" s="44">
        <v>5.2</v>
      </c>
      <c r="C426" t="s">
        <v>221</v>
      </c>
    </row>
    <row r="427" spans="2:3">
      <c r="B427" s="45">
        <v>5.21</v>
      </c>
      <c r="C427" t="s">
        <v>221</v>
      </c>
    </row>
    <row r="428" spans="2:3">
      <c r="B428" s="44">
        <v>5.22</v>
      </c>
      <c r="C428" t="s">
        <v>221</v>
      </c>
    </row>
    <row r="429" spans="2:3">
      <c r="B429" s="45">
        <v>5.23</v>
      </c>
      <c r="C429" t="s">
        <v>221</v>
      </c>
    </row>
    <row r="430" spans="2:3">
      <c r="B430" s="44">
        <v>5.24</v>
      </c>
      <c r="C430" t="s">
        <v>221</v>
      </c>
    </row>
    <row r="431" spans="2:3">
      <c r="B431" s="45">
        <v>5.25</v>
      </c>
      <c r="C431" t="s">
        <v>221</v>
      </c>
    </row>
    <row r="432" spans="2:3">
      <c r="B432" s="44">
        <v>5.26</v>
      </c>
      <c r="C432" t="s">
        <v>221</v>
      </c>
    </row>
    <row r="433" spans="2:3">
      <c r="B433" s="45">
        <v>5.27</v>
      </c>
      <c r="C433" t="s">
        <v>221</v>
      </c>
    </row>
    <row r="434" spans="2:3">
      <c r="B434" s="44">
        <v>5.28</v>
      </c>
      <c r="C434" t="s">
        <v>221</v>
      </c>
    </row>
    <row r="435" spans="2:3">
      <c r="B435" s="45">
        <v>5.29</v>
      </c>
      <c r="C435" t="s">
        <v>221</v>
      </c>
    </row>
    <row r="436" spans="2:3">
      <c r="B436" s="44">
        <v>5.3</v>
      </c>
      <c r="C436" t="s">
        <v>221</v>
      </c>
    </row>
    <row r="437" spans="2:3">
      <c r="B437" s="45">
        <v>5.31</v>
      </c>
      <c r="C437" t="s">
        <v>221</v>
      </c>
    </row>
    <row r="438" spans="2:3">
      <c r="B438" s="44">
        <v>5.32</v>
      </c>
      <c r="C438" t="s">
        <v>221</v>
      </c>
    </row>
    <row r="439" spans="2:3">
      <c r="B439" s="45">
        <v>5.33</v>
      </c>
      <c r="C439" t="s">
        <v>221</v>
      </c>
    </row>
    <row r="440" spans="2:3">
      <c r="B440" s="44">
        <v>5.34</v>
      </c>
      <c r="C440" t="s">
        <v>221</v>
      </c>
    </row>
    <row r="441" spans="2:3">
      <c r="B441" s="45">
        <v>5.35</v>
      </c>
      <c r="C441" t="s">
        <v>221</v>
      </c>
    </row>
    <row r="442" spans="2:3">
      <c r="B442" s="44">
        <v>5.36</v>
      </c>
      <c r="C442" t="s">
        <v>221</v>
      </c>
    </row>
    <row r="443" spans="2:3">
      <c r="B443" s="45">
        <v>5.37</v>
      </c>
      <c r="C443" t="s">
        <v>221</v>
      </c>
    </row>
    <row r="444" spans="2:3">
      <c r="B444" s="44">
        <v>5.38</v>
      </c>
      <c r="C444" t="s">
        <v>221</v>
      </c>
    </row>
    <row r="445" spans="2:3">
      <c r="B445" s="45">
        <v>5.39</v>
      </c>
      <c r="C445" t="s">
        <v>221</v>
      </c>
    </row>
    <row r="446" spans="2:3">
      <c r="B446" s="44">
        <v>5.4</v>
      </c>
      <c r="C446" t="s">
        <v>221</v>
      </c>
    </row>
    <row r="447" spans="2:3">
      <c r="B447" s="45">
        <v>5.41</v>
      </c>
      <c r="C447" t="s">
        <v>221</v>
      </c>
    </row>
    <row r="448" spans="2:3">
      <c r="B448" s="44">
        <v>5.42</v>
      </c>
      <c r="C448" t="s">
        <v>221</v>
      </c>
    </row>
    <row r="449" spans="2:3">
      <c r="B449" s="45">
        <v>5.43</v>
      </c>
      <c r="C449" t="s">
        <v>221</v>
      </c>
    </row>
    <row r="450" spans="2:3">
      <c r="B450" s="44">
        <v>5.44</v>
      </c>
      <c r="C450" t="s">
        <v>221</v>
      </c>
    </row>
    <row r="451" spans="2:3">
      <c r="B451" s="45">
        <v>5.45</v>
      </c>
      <c r="C451" t="s">
        <v>221</v>
      </c>
    </row>
    <row r="452" spans="2:3">
      <c r="B452" s="44">
        <v>5.46</v>
      </c>
      <c r="C452" t="s">
        <v>221</v>
      </c>
    </row>
    <row r="453" spans="2:3">
      <c r="B453" s="45">
        <v>5.47</v>
      </c>
      <c r="C453" t="s">
        <v>221</v>
      </c>
    </row>
    <row r="454" spans="2:3">
      <c r="B454" s="44">
        <v>5.48</v>
      </c>
      <c r="C454" t="s">
        <v>221</v>
      </c>
    </row>
    <row r="455" spans="2:3">
      <c r="B455" s="45">
        <v>5.49</v>
      </c>
      <c r="C455" t="s">
        <v>221</v>
      </c>
    </row>
    <row r="456" spans="2:3">
      <c r="B456" s="44">
        <v>5.5</v>
      </c>
      <c r="C456" t="s">
        <v>221</v>
      </c>
    </row>
    <row r="457" spans="2:3">
      <c r="B457" s="45">
        <v>5.51</v>
      </c>
      <c r="C457" t="s">
        <v>221</v>
      </c>
    </row>
    <row r="458" spans="2:3">
      <c r="B458" s="44">
        <v>5.52</v>
      </c>
      <c r="C458" t="s">
        <v>221</v>
      </c>
    </row>
    <row r="459" spans="2:3">
      <c r="B459" s="45">
        <v>5.53</v>
      </c>
      <c r="C459" t="s">
        <v>221</v>
      </c>
    </row>
    <row r="460" spans="2:3">
      <c r="B460" s="44">
        <v>5.54</v>
      </c>
      <c r="C460" t="s">
        <v>221</v>
      </c>
    </row>
    <row r="461" spans="2:3">
      <c r="B461" s="45">
        <v>5.55</v>
      </c>
      <c r="C461" t="s">
        <v>221</v>
      </c>
    </row>
    <row r="462" spans="2:3">
      <c r="B462" s="44">
        <v>5.56</v>
      </c>
      <c r="C462" t="s">
        <v>221</v>
      </c>
    </row>
    <row r="463" spans="2:3">
      <c r="B463" s="45">
        <v>5.57</v>
      </c>
      <c r="C463" t="s">
        <v>221</v>
      </c>
    </row>
    <row r="464" spans="2:3">
      <c r="B464" s="44">
        <v>5.58</v>
      </c>
      <c r="C464" t="s">
        <v>221</v>
      </c>
    </row>
    <row r="465" spans="2:3">
      <c r="B465" s="45">
        <v>5.59</v>
      </c>
      <c r="C465" t="s">
        <v>221</v>
      </c>
    </row>
    <row r="466" spans="2:3">
      <c r="B466" s="44">
        <v>5.6</v>
      </c>
      <c r="C466" t="s">
        <v>221</v>
      </c>
    </row>
    <row r="467" spans="2:3">
      <c r="B467" s="45">
        <v>5.61</v>
      </c>
      <c r="C467" t="s">
        <v>221</v>
      </c>
    </row>
    <row r="468" spans="2:3">
      <c r="B468" s="44">
        <v>5.62</v>
      </c>
      <c r="C468" t="s">
        <v>221</v>
      </c>
    </row>
    <row r="469" spans="2:3">
      <c r="B469" s="45">
        <v>5.63</v>
      </c>
      <c r="C469" t="s">
        <v>221</v>
      </c>
    </row>
    <row r="470" spans="2:3">
      <c r="B470" s="44">
        <v>5.64</v>
      </c>
      <c r="C470" t="s">
        <v>221</v>
      </c>
    </row>
    <row r="471" spans="2:3">
      <c r="B471" s="45">
        <v>5.65</v>
      </c>
      <c r="C471" t="s">
        <v>221</v>
      </c>
    </row>
    <row r="472" spans="2:3">
      <c r="B472" s="44">
        <v>5.66</v>
      </c>
      <c r="C472" t="s">
        <v>221</v>
      </c>
    </row>
    <row r="473" spans="2:3">
      <c r="B473" s="45">
        <v>5.67</v>
      </c>
      <c r="C473" t="s">
        <v>221</v>
      </c>
    </row>
    <row r="474" spans="2:3">
      <c r="B474" s="44">
        <v>5.68</v>
      </c>
      <c r="C474" t="s">
        <v>221</v>
      </c>
    </row>
    <row r="475" spans="2:3">
      <c r="B475" s="45">
        <v>5.69</v>
      </c>
      <c r="C475" t="s">
        <v>221</v>
      </c>
    </row>
    <row r="476" spans="2:3">
      <c r="B476" s="44">
        <v>5.7</v>
      </c>
      <c r="C476" t="s">
        <v>221</v>
      </c>
    </row>
    <row r="477" spans="2:3">
      <c r="B477" s="45">
        <v>5.71</v>
      </c>
      <c r="C477" t="s">
        <v>221</v>
      </c>
    </row>
    <row r="478" spans="2:3">
      <c r="B478" s="44">
        <v>5.72</v>
      </c>
      <c r="C478" t="s">
        <v>221</v>
      </c>
    </row>
    <row r="479" spans="2:3">
      <c r="B479" s="45">
        <v>5.73</v>
      </c>
      <c r="C479" t="s">
        <v>221</v>
      </c>
    </row>
    <row r="480" spans="2:3">
      <c r="B480" s="44">
        <v>5.74</v>
      </c>
      <c r="C480" t="s">
        <v>221</v>
      </c>
    </row>
    <row r="481" spans="2:3">
      <c r="B481" s="45">
        <v>5.75</v>
      </c>
      <c r="C481" t="s">
        <v>220</v>
      </c>
    </row>
    <row r="482" spans="2:3">
      <c r="B482" s="44">
        <v>5.76</v>
      </c>
      <c r="C482" t="s">
        <v>220</v>
      </c>
    </row>
    <row r="483" spans="2:3">
      <c r="B483" s="45">
        <v>5.77</v>
      </c>
      <c r="C483" t="s">
        <v>220</v>
      </c>
    </row>
    <row r="484" spans="2:3">
      <c r="B484" s="44">
        <v>5.78</v>
      </c>
      <c r="C484" t="s">
        <v>220</v>
      </c>
    </row>
    <row r="485" spans="2:3">
      <c r="B485" s="45">
        <v>5.79</v>
      </c>
      <c r="C485" t="s">
        <v>220</v>
      </c>
    </row>
    <row r="486" spans="2:3">
      <c r="B486" s="44">
        <v>5.8</v>
      </c>
      <c r="C486" t="s">
        <v>220</v>
      </c>
    </row>
    <row r="487" spans="2:3">
      <c r="B487" s="45">
        <v>5.81</v>
      </c>
      <c r="C487" t="s">
        <v>220</v>
      </c>
    </row>
    <row r="488" spans="2:3">
      <c r="B488" s="44">
        <v>5.82</v>
      </c>
      <c r="C488" t="s">
        <v>220</v>
      </c>
    </row>
    <row r="489" spans="2:3">
      <c r="B489" s="45">
        <v>5.83</v>
      </c>
      <c r="C489" t="s">
        <v>220</v>
      </c>
    </row>
    <row r="490" spans="2:3">
      <c r="B490" s="44">
        <v>5.84</v>
      </c>
      <c r="C490" t="s">
        <v>220</v>
      </c>
    </row>
    <row r="491" spans="2:3">
      <c r="B491" s="45">
        <v>5.85</v>
      </c>
      <c r="C491" t="s">
        <v>220</v>
      </c>
    </row>
    <row r="492" spans="2:3">
      <c r="B492" s="44">
        <v>5.86</v>
      </c>
      <c r="C492" t="s">
        <v>220</v>
      </c>
    </row>
    <row r="493" spans="2:3">
      <c r="B493" s="45">
        <v>5.87</v>
      </c>
      <c r="C493" t="s">
        <v>220</v>
      </c>
    </row>
    <row r="494" spans="2:3">
      <c r="B494" s="44">
        <v>5.88</v>
      </c>
      <c r="C494" t="s">
        <v>220</v>
      </c>
    </row>
    <row r="495" spans="2:3">
      <c r="B495" s="45">
        <v>5.89</v>
      </c>
      <c r="C495" t="s">
        <v>220</v>
      </c>
    </row>
    <row r="496" spans="2:3">
      <c r="B496" s="44">
        <v>5.9</v>
      </c>
      <c r="C496" t="s">
        <v>220</v>
      </c>
    </row>
    <row r="497" spans="2:3">
      <c r="B497" s="45">
        <v>5.91</v>
      </c>
      <c r="C497" t="s">
        <v>220</v>
      </c>
    </row>
    <row r="498" spans="2:3">
      <c r="B498" s="44">
        <v>5.92</v>
      </c>
      <c r="C498" t="s">
        <v>220</v>
      </c>
    </row>
    <row r="499" spans="2:3">
      <c r="B499" s="45">
        <v>5.93</v>
      </c>
      <c r="C499" t="s">
        <v>220</v>
      </c>
    </row>
    <row r="500" spans="2:3">
      <c r="B500" s="44">
        <v>5.94</v>
      </c>
      <c r="C500" t="s">
        <v>220</v>
      </c>
    </row>
    <row r="501" spans="2:3">
      <c r="B501" s="45">
        <v>5.95</v>
      </c>
      <c r="C501" t="s">
        <v>220</v>
      </c>
    </row>
    <row r="502" spans="2:3">
      <c r="B502" s="44">
        <v>5.96</v>
      </c>
      <c r="C502" t="s">
        <v>220</v>
      </c>
    </row>
    <row r="503" spans="2:3">
      <c r="B503" s="45">
        <v>5.97</v>
      </c>
      <c r="C503" t="s">
        <v>220</v>
      </c>
    </row>
    <row r="504" spans="2:3">
      <c r="B504" s="44">
        <v>5.98</v>
      </c>
      <c r="C504" t="s">
        <v>220</v>
      </c>
    </row>
    <row r="505" spans="2:3">
      <c r="B505" s="45">
        <v>5.99</v>
      </c>
      <c r="C505" t="s">
        <v>220</v>
      </c>
    </row>
    <row r="506" spans="2:3">
      <c r="B506" s="44">
        <v>6</v>
      </c>
      <c r="C506" t="s">
        <v>220</v>
      </c>
    </row>
  </sheetData>
  <phoneticPr fontId="56" type="noConversion"/>
  <conditionalFormatting sqref="O6:P26">
    <cfRule type="expression" dxfId="454" priority="1">
      <formula>RIGHT(TEXT($O6,"#.00"),2)="00"</formula>
    </cfRule>
    <cfRule type="expression" dxfId="453" priority="2">
      <formula>RIGHT(TEXT($O6,"#.00"),2)="50"</formula>
    </cfRule>
    <cfRule type="expression" dxfId="452" priority="3">
      <formula>RIGHT(TEXT($O6,"#.00"),1)="5"</formula>
    </cfRule>
  </conditionalFormatting>
  <dataValidations count="1">
    <dataValidation type="list" allowBlank="1" showInputMessage="1" showErrorMessage="1" sqref="C5:C506" xr:uid="{00000000-0002-0000-0400-000000000000}">
      <formula1>INDIRECT($C$1)</formula1>
    </dataValidation>
  </dataValidations>
  <pageMargins left="0.7" right="0.7" top="0.78740157499999996" bottom="0.78740157499999996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6"/>
  <dimension ref="B1:C5"/>
  <sheetViews>
    <sheetView zoomScale="80" zoomScaleNormal="80" workbookViewId="0"/>
  </sheetViews>
  <sheetFormatPr baseColWidth="10" defaultRowHeight="15"/>
  <cols>
    <col min="1" max="1" width="46.85546875" customWidth="1"/>
    <col min="2" max="3" width="11.42578125" style="46" customWidth="1"/>
    <col min="4" max="9" width="11.42578125" customWidth="1"/>
  </cols>
  <sheetData>
    <row r="1" ht="114" customHeight="1"/>
    <row r="2" ht="117.6" customHeight="1"/>
    <row r="3" ht="128.44999999999999" customHeight="1"/>
    <row r="4" ht="117" customHeight="1"/>
    <row r="5" ht="14.45" customHeight="1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B5"/>
  <sheetViews>
    <sheetView zoomScale="80" zoomScaleNormal="80" workbookViewId="0"/>
  </sheetViews>
  <sheetFormatPr baseColWidth="10" defaultRowHeight="15"/>
  <cols>
    <col min="1" max="1" width="12.140625" style="46" customWidth="1"/>
    <col min="2" max="2" width="11.5703125" style="46" customWidth="1"/>
  </cols>
  <sheetData>
    <row r="1" spans="1:1" ht="111" customHeight="1"/>
    <row r="2" spans="1:1" ht="111" customHeight="1"/>
    <row r="3" spans="1:1" ht="111" customHeight="1"/>
    <row r="4" spans="1:1" ht="111" customHeight="1">
      <c r="A4" s="47" t="s">
        <v>85</v>
      </c>
    </row>
    <row r="5" spans="1:1" ht="111" customHeight="1">
      <c r="A5" s="47" t="s">
        <v>104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A4"/>
  <sheetViews>
    <sheetView zoomScale="80" zoomScaleNormal="80" workbookViewId="0"/>
  </sheetViews>
  <sheetFormatPr baseColWidth="10" defaultRowHeight="15"/>
  <cols>
    <col min="1" max="1" width="16.85546875" style="46" customWidth="1"/>
  </cols>
  <sheetData>
    <row r="1" ht="93" customHeight="1"/>
    <row r="2" ht="93" customHeight="1"/>
    <row r="3" ht="93" customHeight="1"/>
    <row r="4" ht="14.45" customHeight="1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1"/>
  <dimension ref="A1:BA56"/>
  <sheetViews>
    <sheetView zoomScale="85" zoomScaleNormal="85" workbookViewId="0"/>
  </sheetViews>
  <sheetFormatPr baseColWidth="10" defaultColWidth="11.5703125" defaultRowHeight="15"/>
  <cols>
    <col min="3" max="3" width="1.140625" customWidth="1"/>
    <col min="6" max="6" width="2.7109375" customWidth="1"/>
    <col min="9" max="9" width="1.140625" customWidth="1"/>
    <col min="12" max="12" width="2.7109375" customWidth="1"/>
    <col min="15" max="15" width="1.140625" customWidth="1"/>
    <col min="18" max="18" width="2.7109375" customWidth="1"/>
    <col min="21" max="21" width="1.140625" customWidth="1"/>
    <col min="24" max="24" width="2.7109375" customWidth="1"/>
    <col min="27" max="27" width="1.140625" customWidth="1"/>
    <col min="28" max="28" width="11.7109375" customWidth="1"/>
    <col min="30" max="30" width="2.7109375" customWidth="1"/>
    <col min="33" max="33" width="1.140625" customWidth="1"/>
    <col min="36" max="36" width="2.7109375" customWidth="1"/>
    <col min="39" max="39" width="1.140625" customWidth="1"/>
    <col min="42" max="42" width="2.7109375" customWidth="1"/>
    <col min="43" max="43" width="11.7109375" customWidth="1"/>
    <col min="45" max="45" width="1.140625" customWidth="1"/>
    <col min="46" max="46" width="11.7109375" customWidth="1"/>
    <col min="48" max="48" width="2.7109375" customWidth="1"/>
    <col min="49" max="49" width="11.7109375" customWidth="1"/>
    <col min="51" max="51" width="1.140625" customWidth="1"/>
  </cols>
  <sheetData>
    <row r="1" spans="1:53">
      <c r="A1" s="4" t="str">
        <f>INDEX(StdDisziplinen[StdDisziplin],1)</f>
        <v>60-m-Lauf</v>
      </c>
      <c r="G1" s="4" t="str">
        <f>INDEX(StdDisziplinen[StdDisziplin],2)</f>
        <v>80-m-Lauf</v>
      </c>
      <c r="M1" s="4" t="str">
        <f>INDEX(StdDisziplinen[StdDisziplin],3)</f>
        <v>12-Min.-Lauf (Halle)</v>
      </c>
      <c r="S1" s="4" t="str">
        <f>INDEX(StdDisziplinen[StdDisziplin],4)</f>
        <v>12-Min.-Lauf (im Freien)</v>
      </c>
      <c r="Y1" s="4" t="str">
        <f>INDEX(StdDisziplinen[StdDisziplin],5)</f>
        <v>Hochsprung</v>
      </c>
      <c r="AE1" s="4" t="str">
        <f>INDEX(StdDisziplinen[StdDisziplin],6)</f>
        <v>Weitsprung</v>
      </c>
      <c r="AK1" s="4" t="str">
        <f>INDEX(StdDisziplinen[StdDisziplin],7)</f>
        <v>Ballwurf</v>
      </c>
      <c r="AQ1" s="4" t="str">
        <f>INDEX(StdDisziplinen[StdDisziplin],8)</f>
        <v>Kugelstossen</v>
      </c>
      <c r="AW1" s="4" t="str">
        <f>INDEX(StdDisziplinen[StdDisziplin],9)</f>
        <v>Speerwurf</v>
      </c>
    </row>
    <row r="2" spans="1:53">
      <c r="A2" s="90" t="str">
        <f>Stammdaten!$E$6</f>
        <v>Knaben_K1</v>
      </c>
      <c r="B2" s="90"/>
      <c r="C2" s="5"/>
      <c r="D2" s="90" t="str">
        <f>Stammdaten!$E$7</f>
        <v>Mädchen_M1</v>
      </c>
      <c r="E2" s="90"/>
      <c r="G2" s="90" t="str">
        <f>$A$2</f>
        <v>Knaben_K1</v>
      </c>
      <c r="H2" s="90"/>
      <c r="I2" s="5"/>
      <c r="J2" s="90" t="str">
        <f>$D$2</f>
        <v>Mädchen_M1</v>
      </c>
      <c r="K2" s="90"/>
      <c r="M2" s="90" t="str">
        <f>$A$2</f>
        <v>Knaben_K1</v>
      </c>
      <c r="N2" s="90"/>
      <c r="O2" s="5"/>
      <c r="P2" s="90" t="str">
        <f>$D$2</f>
        <v>Mädchen_M1</v>
      </c>
      <c r="Q2" s="90"/>
      <c r="S2" s="90" t="str">
        <f>$A$2</f>
        <v>Knaben_K1</v>
      </c>
      <c r="T2" s="90"/>
      <c r="U2" s="5"/>
      <c r="V2" s="90" t="str">
        <f>$D$2</f>
        <v>Mädchen_M1</v>
      </c>
      <c r="W2" s="90"/>
      <c r="Y2" s="90" t="str">
        <f>$A$2</f>
        <v>Knaben_K1</v>
      </c>
      <c r="Z2" s="90"/>
      <c r="AA2" s="5"/>
      <c r="AB2" s="90" t="str">
        <f>$D$2</f>
        <v>Mädchen_M1</v>
      </c>
      <c r="AC2" s="90"/>
      <c r="AE2" s="90" t="str">
        <f>$A$2</f>
        <v>Knaben_K1</v>
      </c>
      <c r="AF2" s="90"/>
      <c r="AG2" s="5"/>
      <c r="AH2" s="90" t="str">
        <f>$D$2</f>
        <v>Mädchen_M1</v>
      </c>
      <c r="AI2" s="90"/>
      <c r="AK2" s="90" t="str">
        <f>$A$2</f>
        <v>Knaben_K1</v>
      </c>
      <c r="AL2" s="90"/>
      <c r="AM2" s="5"/>
      <c r="AN2" s="90" t="str">
        <f>$D$2</f>
        <v>Mädchen_M1</v>
      </c>
      <c r="AO2" s="90"/>
      <c r="AQ2" s="90" t="str">
        <f>$A$2</f>
        <v>Knaben_K1</v>
      </c>
      <c r="AR2" s="90"/>
      <c r="AS2" s="5"/>
      <c r="AT2" s="90" t="str">
        <f>$D$2</f>
        <v>Mädchen_M1</v>
      </c>
      <c r="AU2" s="90"/>
      <c r="AW2" s="90" t="str">
        <f>$A$2</f>
        <v>Knaben_K1</v>
      </c>
      <c r="AX2" s="90"/>
      <c r="AY2" s="5"/>
      <c r="AZ2" s="90" t="str">
        <f>$D$2</f>
        <v>Mädchen_M1</v>
      </c>
      <c r="BA2" s="90"/>
    </row>
    <row r="3" spans="1:53">
      <c r="A3" s="1" t="s">
        <v>22</v>
      </c>
      <c r="B3" s="1" t="s">
        <v>7</v>
      </c>
      <c r="D3" s="1" t="s">
        <v>22</v>
      </c>
      <c r="E3" s="1" t="s">
        <v>7</v>
      </c>
      <c r="G3" s="1" t="s">
        <v>22</v>
      </c>
      <c r="H3" s="1" t="s">
        <v>7</v>
      </c>
      <c r="J3" s="1" t="s">
        <v>22</v>
      </c>
      <c r="K3" s="1" t="s">
        <v>7</v>
      </c>
      <c r="M3" s="1" t="s">
        <v>22</v>
      </c>
      <c r="N3" s="1" t="s">
        <v>7</v>
      </c>
      <c r="P3" s="1" t="s">
        <v>22</v>
      </c>
      <c r="Q3" s="1" t="s">
        <v>7</v>
      </c>
      <c r="S3" s="1" t="s">
        <v>22</v>
      </c>
      <c r="T3" s="1" t="s">
        <v>7</v>
      </c>
      <c r="V3" s="1" t="s">
        <v>22</v>
      </c>
      <c r="W3" s="1" t="s">
        <v>7</v>
      </c>
      <c r="Y3" s="1" t="s">
        <v>22</v>
      </c>
      <c r="Z3" s="1" t="s">
        <v>7</v>
      </c>
      <c r="AB3" s="6" t="s">
        <v>22</v>
      </c>
      <c r="AC3" s="1" t="s">
        <v>7</v>
      </c>
      <c r="AE3" s="1" t="s">
        <v>22</v>
      </c>
      <c r="AF3" s="1" t="s">
        <v>7</v>
      </c>
      <c r="AH3" s="6" t="s">
        <v>22</v>
      </c>
      <c r="AI3" s="1" t="s">
        <v>7</v>
      </c>
      <c r="AK3" s="1" t="s">
        <v>22</v>
      </c>
      <c r="AL3" s="1" t="s">
        <v>7</v>
      </c>
      <c r="AN3" s="6" t="s">
        <v>22</v>
      </c>
      <c r="AO3" s="1" t="s">
        <v>7</v>
      </c>
      <c r="AQ3" s="1" t="s">
        <v>22</v>
      </c>
      <c r="AR3" s="1" t="s">
        <v>7</v>
      </c>
      <c r="AT3" s="6" t="s">
        <v>22</v>
      </c>
      <c r="AU3" s="1" t="s">
        <v>7</v>
      </c>
      <c r="AW3" s="1" t="s">
        <v>22</v>
      </c>
      <c r="AX3" s="1" t="s">
        <v>7</v>
      </c>
      <c r="AZ3" s="6" t="s">
        <v>22</v>
      </c>
      <c r="BA3" s="1" t="s">
        <v>7</v>
      </c>
    </row>
    <row r="4" spans="1:53">
      <c r="A4" s="12"/>
      <c r="B4" s="2"/>
      <c r="D4" s="12"/>
      <c r="E4" s="2"/>
      <c r="G4" s="12"/>
      <c r="H4" s="2"/>
      <c r="J4" s="12"/>
      <c r="K4" s="2"/>
      <c r="M4" s="2"/>
      <c r="N4" s="2"/>
      <c r="P4" s="2"/>
      <c r="Q4" s="2"/>
      <c r="S4" s="8"/>
      <c r="T4" s="2"/>
      <c r="V4" s="8"/>
      <c r="W4" s="2"/>
      <c r="Y4" s="3"/>
      <c r="Z4" s="2"/>
      <c r="AB4" s="8"/>
      <c r="AC4" s="2"/>
      <c r="AE4" s="8"/>
      <c r="AF4" s="2"/>
      <c r="AH4" s="8"/>
      <c r="AI4" s="2"/>
      <c r="AK4" s="12"/>
      <c r="AL4" s="2"/>
      <c r="AN4" s="12"/>
      <c r="AO4" s="2"/>
      <c r="AQ4" s="12"/>
      <c r="AR4" s="2"/>
      <c r="AT4" s="12"/>
      <c r="AU4" s="2"/>
      <c r="AW4" s="12"/>
      <c r="AX4" s="2"/>
      <c r="AZ4" s="12"/>
      <c r="BA4" s="2"/>
    </row>
    <row r="5" spans="1:53">
      <c r="A5" s="12"/>
      <c r="B5" s="2"/>
      <c r="D5" s="12"/>
      <c r="E5" s="2"/>
      <c r="G5" s="12"/>
      <c r="H5" s="2"/>
      <c r="J5" s="12"/>
      <c r="K5" s="2"/>
      <c r="M5" s="2"/>
      <c r="N5" s="2"/>
      <c r="P5" s="2"/>
      <c r="Q5" s="2"/>
      <c r="S5" s="8"/>
      <c r="T5" s="2"/>
      <c r="V5" s="8"/>
      <c r="W5" s="2"/>
      <c r="Y5" s="3"/>
      <c r="Z5" s="2"/>
      <c r="AB5" s="8"/>
      <c r="AC5" s="2"/>
      <c r="AE5" s="8"/>
      <c r="AF5" s="2"/>
      <c r="AH5" s="8"/>
      <c r="AI5" s="2"/>
      <c r="AK5" s="12"/>
      <c r="AL5" s="2"/>
      <c r="AN5" s="12"/>
      <c r="AO5" s="2"/>
      <c r="AQ5" s="12"/>
      <c r="AR5" s="2"/>
      <c r="AT5" s="12"/>
      <c r="AU5" s="2"/>
      <c r="AW5" s="12"/>
      <c r="AX5" s="2"/>
      <c r="AZ5" s="12"/>
      <c r="BA5" s="2"/>
    </row>
    <row r="6" spans="1:53">
      <c r="A6" s="12"/>
      <c r="B6" s="2"/>
      <c r="D6" s="12"/>
      <c r="E6" s="2"/>
      <c r="G6" s="12"/>
      <c r="H6" s="2"/>
      <c r="J6" s="12"/>
      <c r="K6" s="2"/>
      <c r="M6" s="2"/>
      <c r="N6" s="2"/>
      <c r="P6" s="2"/>
      <c r="Q6" s="2"/>
      <c r="S6" s="8"/>
      <c r="T6" s="2"/>
      <c r="V6" s="8"/>
      <c r="W6" s="2"/>
      <c r="Y6" s="3"/>
      <c r="Z6" s="2"/>
      <c r="AB6" s="8"/>
      <c r="AC6" s="2"/>
      <c r="AE6" s="8"/>
      <c r="AF6" s="2"/>
      <c r="AH6" s="8"/>
      <c r="AI6" s="2"/>
      <c r="AK6" s="12"/>
      <c r="AL6" s="2"/>
      <c r="AN6" s="12"/>
      <c r="AO6" s="2"/>
      <c r="AQ6" s="12"/>
      <c r="AR6" s="2"/>
      <c r="AT6" s="12"/>
      <c r="AU6" s="2"/>
      <c r="AW6" s="12"/>
      <c r="AX6" s="2"/>
      <c r="AZ6" s="12"/>
      <c r="BA6" s="2"/>
    </row>
    <row r="7" spans="1:53">
      <c r="A7" s="12"/>
      <c r="B7" s="2"/>
      <c r="D7" s="12"/>
      <c r="E7" s="2"/>
      <c r="G7" s="12"/>
      <c r="H7" s="2"/>
      <c r="J7" s="12"/>
      <c r="K7" s="2"/>
      <c r="M7" s="2"/>
      <c r="N7" s="2"/>
      <c r="P7" s="2"/>
      <c r="Q7" s="2"/>
      <c r="S7" s="8"/>
      <c r="T7" s="2"/>
      <c r="V7" s="8"/>
      <c r="W7" s="2"/>
      <c r="Y7" s="3"/>
      <c r="Z7" s="2"/>
      <c r="AB7" s="8"/>
      <c r="AC7" s="2"/>
      <c r="AE7" s="8"/>
      <c r="AF7" s="2"/>
      <c r="AH7" s="8"/>
      <c r="AI7" s="2"/>
      <c r="AK7" s="12"/>
      <c r="AL7" s="2"/>
      <c r="AN7" s="12"/>
      <c r="AO7" s="2"/>
      <c r="AQ7" s="12"/>
      <c r="AR7" s="2"/>
      <c r="AT7" s="12"/>
      <c r="AU7" s="2"/>
      <c r="AW7" s="12"/>
      <c r="AX7" s="2"/>
      <c r="AZ7" s="12"/>
      <c r="BA7" s="2"/>
    </row>
    <row r="8" spans="1:53">
      <c r="A8" s="12"/>
      <c r="B8" s="2"/>
      <c r="D8" s="12"/>
      <c r="E8" s="2"/>
      <c r="G8" s="12"/>
      <c r="H8" s="2"/>
      <c r="J8" s="12"/>
      <c r="K8" s="2"/>
      <c r="M8" s="2"/>
      <c r="N8" s="2"/>
      <c r="P8" s="2"/>
      <c r="Q8" s="2"/>
      <c r="S8" s="8"/>
      <c r="T8" s="2"/>
      <c r="V8" s="8"/>
      <c r="W8" s="2"/>
      <c r="Y8" s="3"/>
      <c r="Z8" s="2"/>
      <c r="AB8" s="8"/>
      <c r="AC8" s="2"/>
      <c r="AE8" s="8"/>
      <c r="AF8" s="2"/>
      <c r="AH8" s="8"/>
      <c r="AI8" s="2"/>
      <c r="AK8" s="12"/>
      <c r="AL8" s="2"/>
      <c r="AN8" s="12"/>
      <c r="AO8" s="2"/>
      <c r="AQ8" s="12"/>
      <c r="AR8" s="2"/>
      <c r="AT8" s="12"/>
      <c r="AU8" s="2"/>
      <c r="AW8" s="12"/>
      <c r="AX8" s="2"/>
      <c r="AZ8" s="12"/>
      <c r="BA8" s="2"/>
    </row>
    <row r="9" spans="1:53">
      <c r="A9" s="12"/>
      <c r="B9" s="2"/>
      <c r="D9" s="12"/>
      <c r="E9" s="2"/>
      <c r="G9" s="12"/>
      <c r="H9" s="2"/>
      <c r="J9" s="12"/>
      <c r="K9" s="2"/>
      <c r="M9" s="2"/>
      <c r="N9" s="2"/>
      <c r="P9" s="2"/>
      <c r="Q9" s="2"/>
      <c r="S9" s="8"/>
      <c r="T9" s="2"/>
      <c r="V9" s="8"/>
      <c r="W9" s="2"/>
      <c r="Y9" s="3"/>
      <c r="Z9" s="2"/>
      <c r="AB9" s="8"/>
      <c r="AC9" s="2"/>
      <c r="AE9" s="8"/>
      <c r="AF9" s="2"/>
      <c r="AH9" s="8"/>
      <c r="AI9" s="2"/>
      <c r="AK9" s="12"/>
      <c r="AL9" s="2"/>
      <c r="AN9" s="12"/>
      <c r="AO9" s="2"/>
      <c r="AQ9" s="12"/>
      <c r="AR9" s="2"/>
      <c r="AT9" s="12"/>
      <c r="AU9" s="2"/>
      <c r="AW9" s="12"/>
      <c r="AX9" s="2"/>
      <c r="AZ9" s="12"/>
      <c r="BA9" s="2"/>
    </row>
    <row r="10" spans="1:53">
      <c r="A10" s="12"/>
      <c r="B10" s="2"/>
      <c r="D10" s="12"/>
      <c r="E10" s="2"/>
      <c r="G10" s="12"/>
      <c r="H10" s="2"/>
      <c r="J10" s="12"/>
      <c r="K10" s="2"/>
      <c r="M10" s="2"/>
      <c r="N10" s="2"/>
      <c r="P10" s="2"/>
      <c r="Q10" s="2"/>
      <c r="S10" s="8"/>
      <c r="T10" s="2"/>
      <c r="V10" s="8"/>
      <c r="W10" s="2"/>
      <c r="Y10" s="3"/>
      <c r="Z10" s="2"/>
      <c r="AB10" s="8"/>
      <c r="AC10" s="2"/>
      <c r="AE10" s="8"/>
      <c r="AF10" s="2"/>
      <c r="AH10" s="8"/>
      <c r="AI10" s="2"/>
      <c r="AK10" s="12"/>
      <c r="AL10" s="2"/>
      <c r="AN10" s="12"/>
      <c r="AO10" s="2"/>
      <c r="AQ10" s="12"/>
      <c r="AR10" s="2"/>
      <c r="AT10" s="12"/>
      <c r="AU10" s="2"/>
      <c r="AW10" s="12"/>
      <c r="AX10" s="2"/>
      <c r="AZ10" s="12"/>
      <c r="BA10" s="2"/>
    </row>
    <row r="11" spans="1:53">
      <c r="A11" s="12"/>
      <c r="B11" s="2"/>
      <c r="D11" s="12"/>
      <c r="E11" s="2"/>
      <c r="G11" s="12"/>
      <c r="H11" s="2"/>
      <c r="J11" s="12"/>
      <c r="K11" s="2"/>
      <c r="M11" s="2"/>
      <c r="N11" s="2"/>
      <c r="P11" s="2"/>
      <c r="Q11" s="2"/>
      <c r="S11" s="8"/>
      <c r="T11" s="2"/>
      <c r="V11" s="8"/>
      <c r="W11" s="2"/>
      <c r="Y11" s="3"/>
      <c r="Z11" s="2"/>
      <c r="AB11" s="8"/>
      <c r="AC11" s="2"/>
      <c r="AE11" s="8"/>
      <c r="AF11" s="2"/>
      <c r="AH11" s="8"/>
      <c r="AI11" s="2"/>
      <c r="AK11" s="12"/>
      <c r="AL11" s="2"/>
      <c r="AN11" s="12"/>
      <c r="AO11" s="2"/>
      <c r="AQ11" s="12"/>
      <c r="AR11" s="2"/>
      <c r="AT11" s="12"/>
      <c r="AU11" s="2"/>
      <c r="AW11" s="12"/>
      <c r="AX11" s="2"/>
      <c r="AZ11" s="12"/>
      <c r="BA11" s="2"/>
    </row>
    <row r="12" spans="1:53">
      <c r="A12" s="12"/>
      <c r="B12" s="2"/>
      <c r="D12" s="12"/>
      <c r="E12" s="2"/>
      <c r="G12" s="12"/>
      <c r="H12" s="2"/>
      <c r="J12" s="12"/>
      <c r="K12" s="2"/>
      <c r="M12" s="2"/>
      <c r="N12" s="2"/>
      <c r="P12" s="2"/>
      <c r="Q12" s="2"/>
      <c r="S12" s="8"/>
      <c r="T12" s="2"/>
      <c r="V12" s="8"/>
      <c r="W12" s="2"/>
      <c r="Y12" s="3"/>
      <c r="Z12" s="2"/>
      <c r="AB12" s="8"/>
      <c r="AC12" s="2"/>
      <c r="AE12" s="8"/>
      <c r="AF12" s="2"/>
      <c r="AH12" s="8"/>
      <c r="AI12" s="2"/>
      <c r="AK12" s="12"/>
      <c r="AL12" s="2"/>
      <c r="AN12" s="12"/>
      <c r="AO12" s="2"/>
      <c r="AQ12" s="12"/>
      <c r="AR12" s="2"/>
      <c r="AT12" s="12"/>
      <c r="AU12" s="2"/>
      <c r="AW12" s="12"/>
      <c r="AX12" s="2"/>
      <c r="AZ12" s="12"/>
      <c r="BA12" s="2"/>
    </row>
    <row r="13" spans="1:53">
      <c r="A13" s="12"/>
      <c r="B13" s="2"/>
      <c r="D13" s="12"/>
      <c r="E13" s="2"/>
      <c r="G13" s="12"/>
      <c r="H13" s="2"/>
      <c r="J13" s="12"/>
      <c r="K13" s="2"/>
      <c r="M13" s="2"/>
      <c r="N13" s="2"/>
      <c r="P13" s="2"/>
      <c r="Q13" s="2"/>
      <c r="S13" s="8"/>
      <c r="T13" s="2"/>
      <c r="V13" s="8"/>
      <c r="W13" s="2"/>
      <c r="Y13" s="3"/>
      <c r="Z13" s="2"/>
      <c r="AB13" s="8"/>
      <c r="AC13" s="2"/>
      <c r="AE13" s="8"/>
      <c r="AF13" s="2"/>
      <c r="AH13" s="8"/>
      <c r="AI13" s="2"/>
      <c r="AK13" s="12"/>
      <c r="AL13" s="2"/>
      <c r="AN13" s="12"/>
      <c r="AO13" s="2"/>
      <c r="AQ13" s="12"/>
      <c r="AR13" s="2"/>
      <c r="AT13" s="12"/>
      <c r="AU13" s="2"/>
      <c r="AW13" s="12"/>
      <c r="AX13" s="2"/>
      <c r="AZ13" s="12"/>
      <c r="BA13" s="2"/>
    </row>
    <row r="14" spans="1:53">
      <c r="A14" s="12">
        <v>13.6</v>
      </c>
      <c r="B14" s="2">
        <v>2</v>
      </c>
      <c r="D14" s="12">
        <v>14</v>
      </c>
      <c r="E14" s="2">
        <v>2</v>
      </c>
      <c r="G14" s="12">
        <v>16.8</v>
      </c>
      <c r="H14" s="2">
        <v>2</v>
      </c>
      <c r="J14" s="12">
        <v>17.5</v>
      </c>
      <c r="K14" s="2">
        <v>2</v>
      </c>
      <c r="M14" s="2">
        <v>13</v>
      </c>
      <c r="N14" s="19">
        <v>2</v>
      </c>
      <c r="P14" s="2">
        <v>11.5</v>
      </c>
      <c r="Q14" s="19">
        <v>2</v>
      </c>
      <c r="S14" s="8">
        <v>1260</v>
      </c>
      <c r="T14" s="2">
        <v>2</v>
      </c>
      <c r="V14" s="8">
        <v>1075</v>
      </c>
      <c r="W14" s="2">
        <v>2</v>
      </c>
      <c r="Y14" s="3">
        <v>75</v>
      </c>
      <c r="Z14" s="2">
        <v>2</v>
      </c>
      <c r="AB14" s="8">
        <v>65</v>
      </c>
      <c r="AC14" s="2">
        <v>2</v>
      </c>
      <c r="AE14" s="8">
        <v>200</v>
      </c>
      <c r="AF14" s="2">
        <v>2</v>
      </c>
      <c r="AH14" s="8">
        <v>180</v>
      </c>
      <c r="AI14" s="2">
        <v>2</v>
      </c>
      <c r="AK14" s="12">
        <v>9</v>
      </c>
      <c r="AL14" s="2">
        <v>2</v>
      </c>
      <c r="AN14" s="12">
        <v>6</v>
      </c>
      <c r="AO14" s="2">
        <v>2</v>
      </c>
      <c r="AQ14" s="12">
        <v>2.8</v>
      </c>
      <c r="AR14" s="2">
        <v>2</v>
      </c>
      <c r="AT14" s="12">
        <v>2.2999999999999998</v>
      </c>
      <c r="AU14" s="2">
        <v>2</v>
      </c>
      <c r="AW14" s="12">
        <v>7.5</v>
      </c>
      <c r="AX14" s="2">
        <v>2</v>
      </c>
      <c r="AZ14" s="12">
        <v>6</v>
      </c>
      <c r="BA14" s="2">
        <v>2</v>
      </c>
    </row>
    <row r="15" spans="1:53">
      <c r="A15" s="12">
        <v>13.5</v>
      </c>
      <c r="B15" s="2">
        <v>2.1</v>
      </c>
      <c r="D15" s="12">
        <v>13.85</v>
      </c>
      <c r="E15" s="2">
        <v>2.1</v>
      </c>
      <c r="G15" s="12">
        <v>16.649999999999999</v>
      </c>
      <c r="H15" s="2">
        <v>2.1</v>
      </c>
      <c r="J15" s="12">
        <v>17.350000000000001</v>
      </c>
      <c r="K15" s="2">
        <v>2.1</v>
      </c>
      <c r="M15" s="2" t="s">
        <v>378</v>
      </c>
      <c r="N15" s="19">
        <v>2.1</v>
      </c>
      <c r="P15" s="2" t="s">
        <v>378</v>
      </c>
      <c r="Q15" s="19">
        <v>2.1</v>
      </c>
      <c r="S15" s="8">
        <v>1290</v>
      </c>
      <c r="T15" s="2">
        <v>2.1</v>
      </c>
      <c r="V15" s="8">
        <v>1105</v>
      </c>
      <c r="W15" s="2">
        <v>2.1</v>
      </c>
      <c r="Y15" s="3">
        <v>77</v>
      </c>
      <c r="Z15" s="2">
        <v>2.1</v>
      </c>
      <c r="AB15" s="8">
        <v>67</v>
      </c>
      <c r="AC15" s="2">
        <v>2.1</v>
      </c>
      <c r="AE15" s="8">
        <v>205</v>
      </c>
      <c r="AF15" s="2">
        <v>2.1</v>
      </c>
      <c r="AH15" s="8">
        <v>185</v>
      </c>
      <c r="AI15" s="2">
        <v>2.1</v>
      </c>
      <c r="AK15" s="12">
        <v>9.4</v>
      </c>
      <c r="AL15" s="2">
        <v>2.1</v>
      </c>
      <c r="AN15" s="12">
        <v>6.2</v>
      </c>
      <c r="AO15" s="2">
        <v>2.1</v>
      </c>
      <c r="AQ15" s="12">
        <v>2.9</v>
      </c>
      <c r="AR15" s="2">
        <v>2.1</v>
      </c>
      <c r="AT15" s="12">
        <v>2.4</v>
      </c>
      <c r="AU15" s="2">
        <v>2.1</v>
      </c>
      <c r="AW15" s="12">
        <v>7.8</v>
      </c>
      <c r="AX15" s="2">
        <v>2.1</v>
      </c>
      <c r="AZ15" s="12">
        <v>6.2</v>
      </c>
      <c r="BA15" s="2">
        <v>2.1</v>
      </c>
    </row>
    <row r="16" spans="1:53">
      <c r="A16" s="12">
        <v>13.35</v>
      </c>
      <c r="B16" s="2">
        <v>2.2000000000000002</v>
      </c>
      <c r="D16" s="12">
        <v>13.7</v>
      </c>
      <c r="E16" s="2">
        <v>2.2000000000000002</v>
      </c>
      <c r="G16" s="12">
        <v>16.5</v>
      </c>
      <c r="H16" s="2">
        <v>2.2000000000000002</v>
      </c>
      <c r="J16" s="12">
        <v>17.2</v>
      </c>
      <c r="K16" s="2">
        <v>2.2000000000000002</v>
      </c>
      <c r="M16" s="2">
        <v>13.5</v>
      </c>
      <c r="N16" s="19">
        <v>2.2000000000000002</v>
      </c>
      <c r="P16" s="2">
        <v>12</v>
      </c>
      <c r="Q16" s="19">
        <v>2.2000000000000002</v>
      </c>
      <c r="S16" s="8">
        <v>1330</v>
      </c>
      <c r="T16" s="2">
        <v>2.2000000000000002</v>
      </c>
      <c r="V16" s="8">
        <v>1145</v>
      </c>
      <c r="W16" s="2">
        <v>2.2000000000000002</v>
      </c>
      <c r="Y16" s="3">
        <v>80</v>
      </c>
      <c r="Z16" s="2">
        <v>2.2000000000000002</v>
      </c>
      <c r="AB16" s="8">
        <v>70</v>
      </c>
      <c r="AC16" s="2">
        <v>2.2000000000000002</v>
      </c>
      <c r="AE16" s="8">
        <v>210</v>
      </c>
      <c r="AF16" s="2">
        <v>2.2000000000000002</v>
      </c>
      <c r="AH16" s="8">
        <v>190</v>
      </c>
      <c r="AI16" s="2">
        <v>2.2000000000000002</v>
      </c>
      <c r="AK16" s="12">
        <v>9.8000000000000007</v>
      </c>
      <c r="AL16" s="2">
        <v>2.2000000000000002</v>
      </c>
      <c r="AN16" s="12">
        <v>6.4</v>
      </c>
      <c r="AO16" s="2">
        <v>2.2000000000000002</v>
      </c>
      <c r="AQ16" s="12">
        <v>3</v>
      </c>
      <c r="AR16" s="2">
        <v>2.2000000000000002</v>
      </c>
      <c r="AT16" s="12">
        <v>2.5</v>
      </c>
      <c r="AU16" s="2">
        <v>2.2000000000000002</v>
      </c>
      <c r="AW16" s="12">
        <v>8.1</v>
      </c>
      <c r="AX16" s="2">
        <v>2.2000000000000002</v>
      </c>
      <c r="AZ16" s="12">
        <v>6.4</v>
      </c>
      <c r="BA16" s="2">
        <v>2.2000000000000002</v>
      </c>
    </row>
    <row r="17" spans="1:53">
      <c r="A17" s="12">
        <v>13.25</v>
      </c>
      <c r="B17" s="2">
        <v>2.2999999999999998</v>
      </c>
      <c r="D17" s="12">
        <v>13.6</v>
      </c>
      <c r="E17" s="2">
        <v>2.2999999999999998</v>
      </c>
      <c r="G17" s="12">
        <v>16.3</v>
      </c>
      <c r="H17" s="2">
        <v>2.2999999999999998</v>
      </c>
      <c r="J17" s="12">
        <v>17.100000000000001</v>
      </c>
      <c r="K17" s="2">
        <v>2.2999999999999998</v>
      </c>
      <c r="M17" s="2" t="s">
        <v>378</v>
      </c>
      <c r="N17" s="19">
        <v>2.2999999999999998</v>
      </c>
      <c r="P17" s="2" t="s">
        <v>378</v>
      </c>
      <c r="Q17" s="19">
        <v>2.2999999999999998</v>
      </c>
      <c r="S17" s="8">
        <v>1370</v>
      </c>
      <c r="T17" s="2">
        <v>2.2999999999999998</v>
      </c>
      <c r="V17" s="8">
        <v>1185</v>
      </c>
      <c r="W17" s="2">
        <v>2.2999999999999998</v>
      </c>
      <c r="Y17" s="3">
        <v>81</v>
      </c>
      <c r="Z17" s="2">
        <v>2.2999999999999998</v>
      </c>
      <c r="AB17" s="8">
        <v>71</v>
      </c>
      <c r="AC17" s="2">
        <v>2.2999999999999998</v>
      </c>
      <c r="AE17" s="8">
        <v>215</v>
      </c>
      <c r="AF17" s="2">
        <v>2.2999999999999998</v>
      </c>
      <c r="AH17" s="8">
        <v>195</v>
      </c>
      <c r="AI17" s="2">
        <v>2.2999999999999998</v>
      </c>
      <c r="AK17" s="12">
        <v>10.199999999999999</v>
      </c>
      <c r="AL17" s="2">
        <v>2.2999999999999998</v>
      </c>
      <c r="AN17" s="12">
        <v>6.6</v>
      </c>
      <c r="AO17" s="2">
        <v>2.2999999999999998</v>
      </c>
      <c r="AQ17" s="12">
        <v>3.2</v>
      </c>
      <c r="AR17" s="2">
        <v>2.2999999999999998</v>
      </c>
      <c r="AT17" s="12">
        <v>2.7</v>
      </c>
      <c r="AU17" s="2">
        <v>2.2999999999999998</v>
      </c>
      <c r="AW17" s="12">
        <v>8.4</v>
      </c>
      <c r="AX17" s="2">
        <v>2.2999999999999998</v>
      </c>
      <c r="AZ17" s="12">
        <v>6.6</v>
      </c>
      <c r="BA17" s="2">
        <v>2.2999999999999998</v>
      </c>
    </row>
    <row r="18" spans="1:53">
      <c r="A18" s="12">
        <v>13.1</v>
      </c>
      <c r="B18" s="2">
        <v>2.4</v>
      </c>
      <c r="D18" s="12">
        <v>13.45</v>
      </c>
      <c r="E18" s="2">
        <v>2.4</v>
      </c>
      <c r="G18" s="12">
        <v>16.149999999999999</v>
      </c>
      <c r="H18" s="2">
        <v>2.4</v>
      </c>
      <c r="J18" s="12">
        <v>16.95</v>
      </c>
      <c r="K18" s="2">
        <v>2.4</v>
      </c>
      <c r="M18" s="2">
        <v>14</v>
      </c>
      <c r="N18" s="19">
        <v>2.4</v>
      </c>
      <c r="P18" s="2">
        <v>12.5</v>
      </c>
      <c r="Q18" s="19">
        <v>2.4</v>
      </c>
      <c r="S18" s="8">
        <v>1410</v>
      </c>
      <c r="T18" s="2">
        <v>2.4</v>
      </c>
      <c r="V18" s="8">
        <v>1225</v>
      </c>
      <c r="W18" s="2">
        <v>2.4</v>
      </c>
      <c r="Y18" s="3">
        <v>82</v>
      </c>
      <c r="Z18" s="2">
        <v>2.4</v>
      </c>
      <c r="AB18" s="8">
        <v>72</v>
      </c>
      <c r="AC18" s="2">
        <v>2.4</v>
      </c>
      <c r="AE18" s="8">
        <v>220</v>
      </c>
      <c r="AF18" s="2">
        <v>2.4</v>
      </c>
      <c r="AH18" s="8">
        <v>200</v>
      </c>
      <c r="AI18" s="2">
        <v>2.4</v>
      </c>
      <c r="AK18" s="12">
        <v>10.6</v>
      </c>
      <c r="AL18" s="2">
        <v>2.4</v>
      </c>
      <c r="AN18" s="12">
        <v>6.8</v>
      </c>
      <c r="AO18" s="2">
        <v>2.4</v>
      </c>
      <c r="AQ18" s="12">
        <v>3.3</v>
      </c>
      <c r="AR18" s="2">
        <v>2.4</v>
      </c>
      <c r="AT18" s="12">
        <v>2.8</v>
      </c>
      <c r="AU18" s="2">
        <v>2.4</v>
      </c>
      <c r="AW18" s="12">
        <v>8.6999999999999993</v>
      </c>
      <c r="AX18" s="2">
        <v>2.4</v>
      </c>
      <c r="AZ18" s="12">
        <v>6.8</v>
      </c>
      <c r="BA18" s="2">
        <v>2.4</v>
      </c>
    </row>
    <row r="19" spans="1:53">
      <c r="A19" s="12">
        <v>13</v>
      </c>
      <c r="B19" s="2">
        <v>2.5</v>
      </c>
      <c r="D19" s="12">
        <v>13.3</v>
      </c>
      <c r="E19" s="2">
        <v>2.5</v>
      </c>
      <c r="G19" s="12">
        <v>16</v>
      </c>
      <c r="H19" s="2">
        <v>2.5</v>
      </c>
      <c r="J19" s="12">
        <v>16.8</v>
      </c>
      <c r="K19" s="2">
        <v>2.5</v>
      </c>
      <c r="M19" s="2">
        <v>14.5</v>
      </c>
      <c r="N19" s="19">
        <v>2.5</v>
      </c>
      <c r="P19" s="2" t="s">
        <v>378</v>
      </c>
      <c r="Q19" s="19">
        <v>2.5</v>
      </c>
      <c r="S19" s="8">
        <v>1450</v>
      </c>
      <c r="T19" s="2">
        <v>2.5</v>
      </c>
      <c r="V19" s="8">
        <v>1265</v>
      </c>
      <c r="W19" s="2">
        <v>2.5</v>
      </c>
      <c r="Y19" s="3">
        <v>83</v>
      </c>
      <c r="Z19" s="2">
        <v>2.5</v>
      </c>
      <c r="AB19" s="8">
        <v>73</v>
      </c>
      <c r="AC19" s="2">
        <v>2.5</v>
      </c>
      <c r="AE19" s="8">
        <v>225</v>
      </c>
      <c r="AF19" s="2">
        <v>2.5</v>
      </c>
      <c r="AH19" s="8">
        <v>205</v>
      </c>
      <c r="AI19" s="2">
        <v>2.5</v>
      </c>
      <c r="AK19" s="12">
        <v>11</v>
      </c>
      <c r="AL19" s="2">
        <v>2.5</v>
      </c>
      <c r="AN19" s="12">
        <v>7</v>
      </c>
      <c r="AO19" s="2">
        <v>2.5</v>
      </c>
      <c r="AQ19" s="12">
        <v>3.4</v>
      </c>
      <c r="AR19" s="2">
        <v>2.5</v>
      </c>
      <c r="AT19" s="12">
        <v>2.9</v>
      </c>
      <c r="AU19" s="2">
        <v>2.5</v>
      </c>
      <c r="AW19" s="12">
        <v>9</v>
      </c>
      <c r="AX19" s="2">
        <v>2.5</v>
      </c>
      <c r="AZ19" s="12">
        <v>7</v>
      </c>
      <c r="BA19" s="2">
        <v>2.5</v>
      </c>
    </row>
    <row r="20" spans="1:53">
      <c r="A20" s="12">
        <v>12.85</v>
      </c>
      <c r="B20" s="2">
        <v>2.6</v>
      </c>
      <c r="D20" s="12">
        <v>13.15</v>
      </c>
      <c r="E20" s="2">
        <v>2.6</v>
      </c>
      <c r="G20" s="12">
        <v>15.85</v>
      </c>
      <c r="H20" s="2">
        <v>2.6</v>
      </c>
      <c r="J20" s="12">
        <v>16.649999999999999</v>
      </c>
      <c r="K20" s="2">
        <v>2.6</v>
      </c>
      <c r="M20" s="2" t="s">
        <v>378</v>
      </c>
      <c r="N20" s="19">
        <v>2.6</v>
      </c>
      <c r="P20" s="2">
        <v>13</v>
      </c>
      <c r="Q20" s="19">
        <v>2.6</v>
      </c>
      <c r="S20" s="8">
        <v>1490</v>
      </c>
      <c r="T20" s="2">
        <v>2.6</v>
      </c>
      <c r="V20" s="8">
        <v>1305</v>
      </c>
      <c r="W20" s="2">
        <v>2.6</v>
      </c>
      <c r="Y20" s="3">
        <v>84</v>
      </c>
      <c r="Z20" s="2">
        <v>2.6</v>
      </c>
      <c r="AB20" s="8">
        <v>74</v>
      </c>
      <c r="AC20" s="2">
        <v>2.6</v>
      </c>
      <c r="AE20" s="8">
        <v>230</v>
      </c>
      <c r="AF20" s="2">
        <v>2.6</v>
      </c>
      <c r="AH20" s="8">
        <v>210</v>
      </c>
      <c r="AI20" s="2">
        <v>2.6</v>
      </c>
      <c r="AK20" s="12">
        <v>11.4</v>
      </c>
      <c r="AL20" s="2">
        <v>2.6</v>
      </c>
      <c r="AN20" s="12">
        <v>7.2</v>
      </c>
      <c r="AO20" s="2">
        <v>2.6</v>
      </c>
      <c r="AQ20" s="12">
        <v>3.5</v>
      </c>
      <c r="AR20" s="2">
        <v>2.6</v>
      </c>
      <c r="AT20" s="12">
        <v>3</v>
      </c>
      <c r="AU20" s="2">
        <v>2.6</v>
      </c>
      <c r="AW20" s="12">
        <v>9.3000000000000007</v>
      </c>
      <c r="AX20" s="2">
        <v>2.6</v>
      </c>
      <c r="AZ20" s="12">
        <v>7.3</v>
      </c>
      <c r="BA20" s="2">
        <v>2.6</v>
      </c>
    </row>
    <row r="21" spans="1:53">
      <c r="A21" s="12">
        <v>12.7</v>
      </c>
      <c r="B21" s="2">
        <v>2.7</v>
      </c>
      <c r="D21" s="12">
        <v>13</v>
      </c>
      <c r="E21" s="2">
        <v>2.7</v>
      </c>
      <c r="G21" s="12">
        <v>15.7</v>
      </c>
      <c r="H21" s="2">
        <v>2.7</v>
      </c>
      <c r="J21" s="12">
        <v>16.5</v>
      </c>
      <c r="K21" s="2">
        <v>2.7</v>
      </c>
      <c r="M21" s="2">
        <v>15</v>
      </c>
      <c r="N21" s="19">
        <v>2.7</v>
      </c>
      <c r="P21" s="2">
        <v>13.5</v>
      </c>
      <c r="Q21" s="19">
        <v>2.7</v>
      </c>
      <c r="S21" s="8">
        <v>1530</v>
      </c>
      <c r="T21" s="2">
        <v>2.7</v>
      </c>
      <c r="V21" s="8">
        <v>1345</v>
      </c>
      <c r="W21" s="2">
        <v>2.7</v>
      </c>
      <c r="Y21" s="3">
        <v>85</v>
      </c>
      <c r="Z21" s="2">
        <v>2.7</v>
      </c>
      <c r="AB21" s="8">
        <v>75</v>
      </c>
      <c r="AC21" s="2">
        <v>2.7</v>
      </c>
      <c r="AE21" s="8">
        <v>235</v>
      </c>
      <c r="AF21" s="2">
        <v>2.7</v>
      </c>
      <c r="AH21" s="8">
        <v>215</v>
      </c>
      <c r="AI21" s="2">
        <v>2.7</v>
      </c>
      <c r="AK21" s="12">
        <v>11.8</v>
      </c>
      <c r="AL21" s="2">
        <v>2.7</v>
      </c>
      <c r="AN21" s="12">
        <v>7.4</v>
      </c>
      <c r="AO21" s="2">
        <v>2.7</v>
      </c>
      <c r="AQ21" s="12">
        <v>3.6</v>
      </c>
      <c r="AR21" s="2">
        <v>2.7</v>
      </c>
      <c r="AT21" s="12">
        <v>3.1</v>
      </c>
      <c r="AU21" s="2">
        <v>2.7</v>
      </c>
      <c r="AW21" s="12">
        <v>9.6</v>
      </c>
      <c r="AX21" s="2">
        <v>2.7</v>
      </c>
      <c r="AZ21" s="12">
        <v>7.6</v>
      </c>
      <c r="BA21" s="2">
        <v>2.7</v>
      </c>
    </row>
    <row r="22" spans="1:53">
      <c r="A22" s="12">
        <v>12.6</v>
      </c>
      <c r="B22" s="2">
        <v>2.8</v>
      </c>
      <c r="D22" s="12">
        <v>12.8</v>
      </c>
      <c r="E22" s="2">
        <v>2.8</v>
      </c>
      <c r="G22" s="12">
        <v>15.5</v>
      </c>
      <c r="H22" s="2">
        <v>2.8</v>
      </c>
      <c r="J22" s="12">
        <v>16.3</v>
      </c>
      <c r="K22" s="2">
        <v>2.8</v>
      </c>
      <c r="M22" s="2">
        <v>15.5</v>
      </c>
      <c r="N22" s="19">
        <v>2.8</v>
      </c>
      <c r="P22" s="2" t="s">
        <v>378</v>
      </c>
      <c r="Q22" s="19">
        <v>2.8</v>
      </c>
      <c r="S22" s="8">
        <v>1570</v>
      </c>
      <c r="T22" s="2">
        <v>2.8</v>
      </c>
      <c r="V22" s="8">
        <v>1385</v>
      </c>
      <c r="W22" s="2">
        <v>2.8</v>
      </c>
      <c r="Y22" s="3">
        <v>86</v>
      </c>
      <c r="Z22" s="2">
        <v>2.8</v>
      </c>
      <c r="AB22" s="8">
        <v>76</v>
      </c>
      <c r="AC22" s="2">
        <v>2.8</v>
      </c>
      <c r="AE22" s="8">
        <v>240</v>
      </c>
      <c r="AF22" s="2">
        <v>2.8</v>
      </c>
      <c r="AH22" s="8">
        <v>220</v>
      </c>
      <c r="AI22" s="2">
        <v>2.8</v>
      </c>
      <c r="AK22" s="12">
        <v>12.2</v>
      </c>
      <c r="AL22" s="2">
        <v>2.8</v>
      </c>
      <c r="AN22" s="12">
        <v>7.6</v>
      </c>
      <c r="AO22" s="2">
        <v>2.8</v>
      </c>
      <c r="AQ22" s="12">
        <v>3.8</v>
      </c>
      <c r="AR22" s="2">
        <v>2.8</v>
      </c>
      <c r="AT22" s="12">
        <v>3.3</v>
      </c>
      <c r="AU22" s="2">
        <v>2.8</v>
      </c>
      <c r="AW22" s="12">
        <v>9.9</v>
      </c>
      <c r="AX22" s="2">
        <v>2.8</v>
      </c>
      <c r="AZ22" s="12">
        <v>7.9</v>
      </c>
      <c r="BA22" s="2">
        <v>2.8</v>
      </c>
    </row>
    <row r="23" spans="1:53">
      <c r="A23" s="12">
        <v>12.45</v>
      </c>
      <c r="B23" s="2">
        <v>2.9</v>
      </c>
      <c r="D23" s="12">
        <v>12.65</v>
      </c>
      <c r="E23" s="2">
        <v>2.9</v>
      </c>
      <c r="G23" s="12">
        <v>15.35</v>
      </c>
      <c r="H23" s="2">
        <v>2.9</v>
      </c>
      <c r="J23" s="12">
        <v>16.149999999999999</v>
      </c>
      <c r="K23" s="2">
        <v>2.9</v>
      </c>
      <c r="M23" s="2">
        <v>16</v>
      </c>
      <c r="N23" s="19">
        <v>2.9</v>
      </c>
      <c r="P23" s="2">
        <v>14</v>
      </c>
      <c r="Q23" s="19">
        <v>2.9</v>
      </c>
      <c r="S23" s="8">
        <v>1610</v>
      </c>
      <c r="T23" s="2">
        <v>2.9</v>
      </c>
      <c r="V23" s="8">
        <v>1425</v>
      </c>
      <c r="W23" s="2">
        <v>2.9</v>
      </c>
      <c r="Y23" s="3">
        <v>88</v>
      </c>
      <c r="Z23" s="2">
        <v>2.9</v>
      </c>
      <c r="AB23" s="8">
        <v>77</v>
      </c>
      <c r="AC23" s="2">
        <v>2.9</v>
      </c>
      <c r="AE23" s="8">
        <v>245</v>
      </c>
      <c r="AF23" s="2">
        <v>2.9</v>
      </c>
      <c r="AH23" s="8">
        <v>225</v>
      </c>
      <c r="AI23" s="2">
        <v>2.9</v>
      </c>
      <c r="AK23" s="12">
        <v>12.6</v>
      </c>
      <c r="AL23" s="2">
        <v>2.9</v>
      </c>
      <c r="AN23" s="12">
        <v>7.8</v>
      </c>
      <c r="AO23" s="2">
        <v>2.9</v>
      </c>
      <c r="AQ23" s="12">
        <v>3.9</v>
      </c>
      <c r="AR23" s="2">
        <v>2.9</v>
      </c>
      <c r="AT23" s="12">
        <v>3.4</v>
      </c>
      <c r="AU23" s="2">
        <v>2.9</v>
      </c>
      <c r="AW23" s="12">
        <v>10.199999999999999</v>
      </c>
      <c r="AX23" s="2">
        <v>2.9</v>
      </c>
      <c r="AZ23" s="12">
        <v>8.1999999999999993</v>
      </c>
      <c r="BA23" s="2">
        <v>2.9</v>
      </c>
    </row>
    <row r="24" spans="1:53">
      <c r="A24" s="12">
        <v>12.3</v>
      </c>
      <c r="B24" s="2">
        <v>3</v>
      </c>
      <c r="D24" s="12">
        <v>12.5</v>
      </c>
      <c r="E24" s="2">
        <v>3</v>
      </c>
      <c r="G24" s="12">
        <v>15.2</v>
      </c>
      <c r="H24" s="2">
        <v>3</v>
      </c>
      <c r="J24" s="12">
        <v>16</v>
      </c>
      <c r="K24" s="2">
        <v>3</v>
      </c>
      <c r="M24" s="2">
        <v>16.5</v>
      </c>
      <c r="N24" s="19">
        <v>3</v>
      </c>
      <c r="P24" s="2">
        <v>14.5</v>
      </c>
      <c r="Q24" s="19">
        <v>3</v>
      </c>
      <c r="S24" s="8">
        <v>1650</v>
      </c>
      <c r="T24" s="2">
        <v>3</v>
      </c>
      <c r="V24" s="8">
        <v>1465</v>
      </c>
      <c r="W24" s="2">
        <v>3</v>
      </c>
      <c r="Y24" s="3">
        <v>89</v>
      </c>
      <c r="Z24" s="2">
        <v>3</v>
      </c>
      <c r="AB24" s="8">
        <v>79</v>
      </c>
      <c r="AC24" s="2">
        <v>3</v>
      </c>
      <c r="AE24" s="8">
        <v>250</v>
      </c>
      <c r="AF24" s="2">
        <v>3</v>
      </c>
      <c r="AH24" s="8">
        <v>230</v>
      </c>
      <c r="AI24" s="2">
        <v>3</v>
      </c>
      <c r="AK24" s="12">
        <v>13</v>
      </c>
      <c r="AL24" s="2">
        <v>3</v>
      </c>
      <c r="AN24" s="12">
        <v>8</v>
      </c>
      <c r="AO24" s="2">
        <v>3</v>
      </c>
      <c r="AQ24" s="12">
        <v>4</v>
      </c>
      <c r="AR24" s="2">
        <v>3</v>
      </c>
      <c r="AT24" s="12">
        <v>3.5</v>
      </c>
      <c r="AU24" s="2">
        <v>3</v>
      </c>
      <c r="AW24" s="12">
        <v>10.5</v>
      </c>
      <c r="AX24" s="2">
        <v>3</v>
      </c>
      <c r="AZ24" s="12">
        <v>8.5</v>
      </c>
      <c r="BA24" s="2">
        <v>3</v>
      </c>
    </row>
    <row r="25" spans="1:53">
      <c r="A25" s="12">
        <v>12.2</v>
      </c>
      <c r="B25" s="2">
        <v>3.1</v>
      </c>
      <c r="D25" s="12">
        <v>12.4</v>
      </c>
      <c r="E25" s="2">
        <v>3.1</v>
      </c>
      <c r="G25" s="12">
        <v>15.1</v>
      </c>
      <c r="H25" s="2">
        <v>3.1</v>
      </c>
      <c r="J25" s="12">
        <v>15.85</v>
      </c>
      <c r="K25" s="2">
        <v>3.1</v>
      </c>
      <c r="M25" s="2">
        <v>17</v>
      </c>
      <c r="N25" s="19">
        <v>3.1</v>
      </c>
      <c r="P25" s="2">
        <v>15</v>
      </c>
      <c r="Q25" s="19">
        <v>3.1</v>
      </c>
      <c r="S25" s="8">
        <v>1690</v>
      </c>
      <c r="T25" s="2">
        <v>3.1</v>
      </c>
      <c r="V25" s="15">
        <v>1505</v>
      </c>
      <c r="W25" s="2">
        <v>3.1</v>
      </c>
      <c r="Y25" s="3">
        <v>90</v>
      </c>
      <c r="Z25" s="2">
        <v>3.1</v>
      </c>
      <c r="AB25" s="8">
        <v>80</v>
      </c>
      <c r="AC25" s="2">
        <v>3.1</v>
      </c>
      <c r="AE25" s="8">
        <v>257</v>
      </c>
      <c r="AF25" s="2">
        <v>3.1</v>
      </c>
      <c r="AH25" s="8">
        <v>237</v>
      </c>
      <c r="AI25" s="2">
        <v>3.1</v>
      </c>
      <c r="AK25" s="12">
        <v>14.2</v>
      </c>
      <c r="AL25" s="2">
        <v>3.1</v>
      </c>
      <c r="AN25" s="12">
        <v>8.8000000000000007</v>
      </c>
      <c r="AO25" s="2">
        <v>3.1</v>
      </c>
      <c r="AQ25" s="12">
        <v>4.0999999999999996</v>
      </c>
      <c r="AR25" s="2">
        <v>3.1</v>
      </c>
      <c r="AT25" s="12">
        <v>3.6</v>
      </c>
      <c r="AU25" s="2">
        <v>3.1</v>
      </c>
      <c r="AW25" s="12">
        <v>11</v>
      </c>
      <c r="AX25" s="2">
        <v>3.1</v>
      </c>
      <c r="AZ25" s="12">
        <v>8.8000000000000007</v>
      </c>
      <c r="BA25" s="2">
        <v>3.1</v>
      </c>
    </row>
    <row r="26" spans="1:53">
      <c r="A26" s="12">
        <v>12.05</v>
      </c>
      <c r="B26" s="2">
        <v>3.2</v>
      </c>
      <c r="D26" s="12">
        <v>12.3</v>
      </c>
      <c r="E26" s="2">
        <v>3.2</v>
      </c>
      <c r="G26" s="12">
        <v>14.95</v>
      </c>
      <c r="H26" s="2">
        <v>3.2</v>
      </c>
      <c r="J26" s="12">
        <v>15.7</v>
      </c>
      <c r="K26" s="2">
        <v>3.2</v>
      </c>
      <c r="M26" s="2" t="s">
        <v>378</v>
      </c>
      <c r="N26" s="19">
        <v>3.2</v>
      </c>
      <c r="P26" s="2" t="s">
        <v>378</v>
      </c>
      <c r="Q26" s="19">
        <v>3.2</v>
      </c>
      <c r="S26" s="8">
        <v>1730</v>
      </c>
      <c r="T26" s="2">
        <v>3.2</v>
      </c>
      <c r="V26" s="15">
        <v>1555</v>
      </c>
      <c r="W26" s="2">
        <v>3.2</v>
      </c>
      <c r="Y26" s="3">
        <v>92</v>
      </c>
      <c r="Z26" s="2">
        <v>3.2</v>
      </c>
      <c r="AB26" s="8">
        <v>82</v>
      </c>
      <c r="AC26" s="2">
        <v>3.2</v>
      </c>
      <c r="AE26" s="8">
        <v>264</v>
      </c>
      <c r="AF26" s="2">
        <v>3.2</v>
      </c>
      <c r="AH26" s="8">
        <v>244</v>
      </c>
      <c r="AI26" s="2">
        <v>3.2</v>
      </c>
      <c r="AK26" s="12">
        <v>15.4</v>
      </c>
      <c r="AL26" s="2">
        <v>3.2</v>
      </c>
      <c r="AN26" s="12">
        <v>9.6</v>
      </c>
      <c r="AO26" s="2">
        <v>3.2</v>
      </c>
      <c r="AQ26" s="12">
        <v>4.3</v>
      </c>
      <c r="AR26" s="2">
        <v>3.2</v>
      </c>
      <c r="AT26" s="12">
        <v>3.7</v>
      </c>
      <c r="AU26" s="2">
        <v>3.2</v>
      </c>
      <c r="AW26" s="12">
        <v>11.5</v>
      </c>
      <c r="AX26" s="2">
        <v>3.2</v>
      </c>
      <c r="AZ26" s="12">
        <v>9.1</v>
      </c>
      <c r="BA26" s="2">
        <v>3.2</v>
      </c>
    </row>
    <row r="27" spans="1:53">
      <c r="A27" s="12">
        <v>11.95</v>
      </c>
      <c r="B27" s="2">
        <v>3.3</v>
      </c>
      <c r="D27" s="12">
        <v>12.2</v>
      </c>
      <c r="E27" s="2">
        <v>3.3</v>
      </c>
      <c r="G27" s="12">
        <v>14.85</v>
      </c>
      <c r="H27" s="2">
        <v>3.3</v>
      </c>
      <c r="J27" s="12">
        <v>15.6</v>
      </c>
      <c r="K27" s="2">
        <v>3.3</v>
      </c>
      <c r="M27" s="2">
        <v>17.5</v>
      </c>
      <c r="N27" s="19">
        <v>3.3</v>
      </c>
      <c r="P27" s="2">
        <v>15.5</v>
      </c>
      <c r="Q27" s="19">
        <v>3.3</v>
      </c>
      <c r="S27" s="8">
        <v>1770</v>
      </c>
      <c r="T27" s="2">
        <v>3.3</v>
      </c>
      <c r="V27" s="15">
        <v>1595</v>
      </c>
      <c r="W27" s="2">
        <v>3.3</v>
      </c>
      <c r="Y27" s="3">
        <v>95</v>
      </c>
      <c r="Z27" s="2">
        <v>3.3</v>
      </c>
      <c r="AB27" s="8">
        <v>85</v>
      </c>
      <c r="AC27" s="2">
        <v>3.3</v>
      </c>
      <c r="AE27" s="8">
        <v>271</v>
      </c>
      <c r="AF27" s="2">
        <v>3.3</v>
      </c>
      <c r="AH27" s="8">
        <v>251</v>
      </c>
      <c r="AI27" s="2">
        <v>3.3</v>
      </c>
      <c r="AK27" s="12">
        <v>16.600000000000001</v>
      </c>
      <c r="AL27" s="2">
        <v>3.3</v>
      </c>
      <c r="AN27" s="12">
        <v>10.4</v>
      </c>
      <c r="AO27" s="2">
        <v>3.3</v>
      </c>
      <c r="AQ27" s="12">
        <v>4.4000000000000004</v>
      </c>
      <c r="AR27" s="2">
        <v>3.3</v>
      </c>
      <c r="AT27" s="12">
        <v>3.9</v>
      </c>
      <c r="AU27" s="2">
        <v>3.3</v>
      </c>
      <c r="AW27" s="12">
        <v>12</v>
      </c>
      <c r="AX27" s="2">
        <v>3.3</v>
      </c>
      <c r="AZ27" s="12">
        <v>9.4</v>
      </c>
      <c r="BA27" s="2">
        <v>3.3</v>
      </c>
    </row>
    <row r="28" spans="1:53">
      <c r="A28" s="12">
        <v>11.8</v>
      </c>
      <c r="B28" s="2">
        <v>3.4</v>
      </c>
      <c r="D28" s="12">
        <v>12.1</v>
      </c>
      <c r="E28" s="2">
        <v>3.4</v>
      </c>
      <c r="G28" s="12">
        <v>14.7</v>
      </c>
      <c r="H28" s="2">
        <v>3.4</v>
      </c>
      <c r="J28" s="12">
        <v>15.45</v>
      </c>
      <c r="K28" s="2">
        <v>3.4</v>
      </c>
      <c r="M28" s="2">
        <v>18</v>
      </c>
      <c r="N28" s="19">
        <v>3.4</v>
      </c>
      <c r="P28" s="2" t="s">
        <v>378</v>
      </c>
      <c r="Q28" s="19">
        <v>3.4</v>
      </c>
      <c r="S28" s="8">
        <v>1810</v>
      </c>
      <c r="T28" s="2">
        <v>3.4</v>
      </c>
      <c r="V28" s="15">
        <v>1635</v>
      </c>
      <c r="W28" s="2">
        <v>3.4</v>
      </c>
      <c r="Y28" s="3">
        <v>97</v>
      </c>
      <c r="Z28" s="2">
        <v>3.4</v>
      </c>
      <c r="AB28" s="8">
        <v>87</v>
      </c>
      <c r="AC28" s="2">
        <v>3.4</v>
      </c>
      <c r="AE28" s="8">
        <v>278</v>
      </c>
      <c r="AF28" s="2">
        <v>3.4</v>
      </c>
      <c r="AH28" s="8">
        <v>258</v>
      </c>
      <c r="AI28" s="2">
        <v>3.4</v>
      </c>
      <c r="AK28" s="12">
        <v>17.8</v>
      </c>
      <c r="AL28" s="2">
        <v>3.4</v>
      </c>
      <c r="AN28" s="12">
        <v>11.2</v>
      </c>
      <c r="AO28" s="2">
        <v>3.4</v>
      </c>
      <c r="AQ28" s="12">
        <v>4.5999999999999996</v>
      </c>
      <c r="AR28" s="2">
        <v>3.4</v>
      </c>
      <c r="AT28" s="12">
        <v>4</v>
      </c>
      <c r="AU28" s="2">
        <v>3.4</v>
      </c>
      <c r="AW28" s="12">
        <v>12.5</v>
      </c>
      <c r="AX28" s="2">
        <v>3.4</v>
      </c>
      <c r="AZ28" s="12">
        <v>9.6999999999999993</v>
      </c>
      <c r="BA28" s="2">
        <v>3.4</v>
      </c>
    </row>
    <row r="29" spans="1:53">
      <c r="A29" s="12">
        <v>11.7</v>
      </c>
      <c r="B29" s="2">
        <v>3.5</v>
      </c>
      <c r="D29" s="12">
        <v>12</v>
      </c>
      <c r="E29" s="2">
        <v>3.5</v>
      </c>
      <c r="G29" s="12">
        <v>14.6</v>
      </c>
      <c r="H29" s="2">
        <v>3.5</v>
      </c>
      <c r="J29" s="12">
        <v>15.3</v>
      </c>
      <c r="K29" s="2">
        <v>3.5</v>
      </c>
      <c r="M29" s="2">
        <v>18.5</v>
      </c>
      <c r="N29" s="19">
        <v>3.5</v>
      </c>
      <c r="P29" s="2">
        <v>16</v>
      </c>
      <c r="Q29" s="19">
        <v>3.5</v>
      </c>
      <c r="S29" s="8">
        <v>1850</v>
      </c>
      <c r="T29" s="2">
        <v>3.5</v>
      </c>
      <c r="V29" s="15">
        <v>1675</v>
      </c>
      <c r="W29" s="2">
        <v>3.5</v>
      </c>
      <c r="Y29" s="3">
        <v>99</v>
      </c>
      <c r="Z29" s="2">
        <v>3.5</v>
      </c>
      <c r="AB29" s="8">
        <v>89</v>
      </c>
      <c r="AC29" s="2">
        <v>3.5</v>
      </c>
      <c r="AE29" s="8">
        <v>285</v>
      </c>
      <c r="AF29" s="2">
        <v>3.5</v>
      </c>
      <c r="AH29" s="8">
        <v>265</v>
      </c>
      <c r="AI29" s="2">
        <v>3.5</v>
      </c>
      <c r="AK29" s="12">
        <v>19</v>
      </c>
      <c r="AL29" s="2">
        <v>3.5</v>
      </c>
      <c r="AN29" s="12">
        <v>12</v>
      </c>
      <c r="AO29" s="2">
        <v>3.5</v>
      </c>
      <c r="AQ29" s="12">
        <v>4.7</v>
      </c>
      <c r="AR29" s="2">
        <v>3.5</v>
      </c>
      <c r="AT29" s="12">
        <v>4.0999999999999996</v>
      </c>
      <c r="AU29" s="2">
        <v>3.5</v>
      </c>
      <c r="AW29" s="12">
        <v>13</v>
      </c>
      <c r="AX29" s="2">
        <v>3.5</v>
      </c>
      <c r="AZ29" s="12">
        <v>10</v>
      </c>
      <c r="BA29" s="2">
        <v>3.5</v>
      </c>
    </row>
    <row r="30" spans="1:53" ht="15" customHeight="1">
      <c r="A30" s="12">
        <v>11.55</v>
      </c>
      <c r="B30" s="2">
        <v>3.6</v>
      </c>
      <c r="D30" s="12">
        <v>11.9</v>
      </c>
      <c r="E30" s="2">
        <v>3.6</v>
      </c>
      <c r="G30" s="12">
        <v>14.5</v>
      </c>
      <c r="H30" s="2">
        <v>3.6</v>
      </c>
      <c r="J30" s="12">
        <v>15.15</v>
      </c>
      <c r="K30" s="2">
        <v>3.6</v>
      </c>
      <c r="M30" s="2" t="s">
        <v>378</v>
      </c>
      <c r="N30" s="19">
        <v>3.6</v>
      </c>
      <c r="P30" s="2">
        <v>16.5</v>
      </c>
      <c r="Q30" s="19">
        <v>3.6</v>
      </c>
      <c r="S30" s="8">
        <v>1890</v>
      </c>
      <c r="T30" s="2">
        <v>3.6</v>
      </c>
      <c r="V30" s="15">
        <v>1715</v>
      </c>
      <c r="W30" s="2">
        <v>3.6</v>
      </c>
      <c r="Y30" s="3">
        <v>100</v>
      </c>
      <c r="Z30" s="2">
        <v>3.6</v>
      </c>
      <c r="AB30" s="8">
        <v>90</v>
      </c>
      <c r="AC30" s="2">
        <v>3.6</v>
      </c>
      <c r="AE30" s="8">
        <v>292</v>
      </c>
      <c r="AF30" s="2">
        <v>3.6</v>
      </c>
      <c r="AH30" s="8">
        <v>272</v>
      </c>
      <c r="AI30" s="2">
        <v>3.6</v>
      </c>
      <c r="AK30" s="12">
        <v>20.2</v>
      </c>
      <c r="AL30" s="2">
        <v>3.6</v>
      </c>
      <c r="AN30" s="12">
        <v>12.8</v>
      </c>
      <c r="AO30" s="2">
        <v>3.6</v>
      </c>
      <c r="AQ30" s="12">
        <v>4.9000000000000004</v>
      </c>
      <c r="AR30" s="2">
        <v>3.6</v>
      </c>
      <c r="AT30" s="12">
        <v>4.2</v>
      </c>
      <c r="AU30" s="2">
        <v>3.6</v>
      </c>
      <c r="AW30" s="12">
        <v>13.5</v>
      </c>
      <c r="AX30" s="2">
        <v>3.6</v>
      </c>
      <c r="AZ30" s="12">
        <v>10.199999999999999</v>
      </c>
      <c r="BA30" s="2">
        <v>3.6</v>
      </c>
    </row>
    <row r="31" spans="1:53">
      <c r="A31" s="12">
        <v>11.4</v>
      </c>
      <c r="B31" s="2">
        <v>3.7</v>
      </c>
      <c r="D31" s="12">
        <v>11.75</v>
      </c>
      <c r="E31" s="2">
        <v>3.7</v>
      </c>
      <c r="G31" s="12">
        <v>14.35</v>
      </c>
      <c r="H31" s="2">
        <v>3.7</v>
      </c>
      <c r="J31" s="12">
        <v>15</v>
      </c>
      <c r="K31" s="2">
        <v>3.7</v>
      </c>
      <c r="M31" s="2">
        <v>19</v>
      </c>
      <c r="N31" s="19">
        <v>3.7</v>
      </c>
      <c r="P31" s="2">
        <v>17</v>
      </c>
      <c r="Q31" s="19">
        <v>3.7</v>
      </c>
      <c r="S31" s="8">
        <v>1930</v>
      </c>
      <c r="T31" s="2">
        <v>3.7</v>
      </c>
      <c r="V31" s="15">
        <v>1755</v>
      </c>
      <c r="W31" s="2">
        <v>3.7</v>
      </c>
      <c r="Y31" s="3">
        <v>102</v>
      </c>
      <c r="Z31" s="2">
        <v>3.7</v>
      </c>
      <c r="AB31" s="8">
        <v>92</v>
      </c>
      <c r="AC31" s="2">
        <v>3.7</v>
      </c>
      <c r="AE31" s="8">
        <v>299</v>
      </c>
      <c r="AF31" s="2">
        <v>3.7</v>
      </c>
      <c r="AH31" s="8">
        <v>279</v>
      </c>
      <c r="AI31" s="2">
        <v>3.7</v>
      </c>
      <c r="AK31" s="12">
        <v>21.4</v>
      </c>
      <c r="AL31" s="2">
        <v>3.7</v>
      </c>
      <c r="AN31" s="12">
        <v>13.6</v>
      </c>
      <c r="AO31" s="2">
        <v>3.7</v>
      </c>
      <c r="AQ31" s="12">
        <v>5</v>
      </c>
      <c r="AR31" s="2">
        <v>3.7</v>
      </c>
      <c r="AT31" s="12">
        <v>4.3</v>
      </c>
      <c r="AU31" s="2">
        <v>3.7</v>
      </c>
      <c r="AW31" s="12">
        <v>14</v>
      </c>
      <c r="AX31" s="2">
        <v>3.7</v>
      </c>
      <c r="AZ31" s="12">
        <v>10.4</v>
      </c>
      <c r="BA31" s="2">
        <v>3.7</v>
      </c>
    </row>
    <row r="32" spans="1:53">
      <c r="A32" s="12">
        <v>11.3</v>
      </c>
      <c r="B32" s="2">
        <v>3.8</v>
      </c>
      <c r="D32" s="12">
        <v>11.65</v>
      </c>
      <c r="E32" s="2">
        <v>3.8</v>
      </c>
      <c r="G32" s="12">
        <v>14.25</v>
      </c>
      <c r="H32" s="2">
        <v>3.8</v>
      </c>
      <c r="J32" s="12">
        <v>14.8</v>
      </c>
      <c r="K32" s="2">
        <v>3.8</v>
      </c>
      <c r="M32" s="2">
        <v>19.5</v>
      </c>
      <c r="N32" s="19">
        <v>3.8</v>
      </c>
      <c r="P32" s="2">
        <v>17.5</v>
      </c>
      <c r="Q32" s="19">
        <v>3.8</v>
      </c>
      <c r="S32" s="8">
        <v>1970</v>
      </c>
      <c r="T32" s="2">
        <v>3.8</v>
      </c>
      <c r="V32" s="15">
        <v>1795</v>
      </c>
      <c r="W32" s="2">
        <v>3.8</v>
      </c>
      <c r="Y32" s="3">
        <v>105</v>
      </c>
      <c r="Z32" s="2">
        <v>3.8</v>
      </c>
      <c r="AB32" s="8">
        <v>95</v>
      </c>
      <c r="AC32" s="2">
        <v>3.8</v>
      </c>
      <c r="AE32" s="8">
        <v>306</v>
      </c>
      <c r="AF32" s="2">
        <v>3.8</v>
      </c>
      <c r="AH32" s="8">
        <v>286</v>
      </c>
      <c r="AI32" s="2">
        <v>3.8</v>
      </c>
      <c r="AK32" s="12">
        <v>22.6</v>
      </c>
      <c r="AL32" s="2">
        <v>3.8</v>
      </c>
      <c r="AN32" s="12">
        <v>14.4</v>
      </c>
      <c r="AO32" s="2">
        <v>3.8</v>
      </c>
      <c r="AQ32" s="12">
        <v>5.2</v>
      </c>
      <c r="AR32" s="2">
        <v>3.8</v>
      </c>
      <c r="AT32" s="12">
        <v>4.5</v>
      </c>
      <c r="AU32" s="2">
        <v>3.8</v>
      </c>
      <c r="AW32" s="12">
        <v>14.5</v>
      </c>
      <c r="AX32" s="2">
        <v>3.8</v>
      </c>
      <c r="AZ32" s="12">
        <v>10.6</v>
      </c>
      <c r="BA32" s="2">
        <v>3.8</v>
      </c>
    </row>
    <row r="33" spans="1:53">
      <c r="A33" s="12">
        <v>11.15</v>
      </c>
      <c r="B33" s="2">
        <v>3.9</v>
      </c>
      <c r="D33" s="12">
        <v>11.5</v>
      </c>
      <c r="E33" s="2">
        <v>3.9</v>
      </c>
      <c r="G33" s="12">
        <v>14.1</v>
      </c>
      <c r="H33" s="2">
        <v>3.9</v>
      </c>
      <c r="J33" s="12">
        <v>14.65</v>
      </c>
      <c r="K33" s="2">
        <v>3.9</v>
      </c>
      <c r="M33" s="2">
        <v>20</v>
      </c>
      <c r="N33" s="19">
        <v>3.9</v>
      </c>
      <c r="P33" s="52">
        <v>18</v>
      </c>
      <c r="Q33" s="19">
        <v>3.9</v>
      </c>
      <c r="S33" s="8">
        <v>2010</v>
      </c>
      <c r="T33" s="2">
        <v>3.9</v>
      </c>
      <c r="V33" s="15">
        <v>1835</v>
      </c>
      <c r="W33" s="2">
        <v>3.9</v>
      </c>
      <c r="Y33" s="3">
        <v>106</v>
      </c>
      <c r="Z33" s="2">
        <v>3.9</v>
      </c>
      <c r="AB33" s="8">
        <v>96</v>
      </c>
      <c r="AC33" s="2">
        <v>3.9</v>
      </c>
      <c r="AE33" s="8">
        <v>313</v>
      </c>
      <c r="AF33" s="2">
        <v>3.9</v>
      </c>
      <c r="AH33" s="8">
        <v>293</v>
      </c>
      <c r="AI33" s="2">
        <v>3.9</v>
      </c>
      <c r="AK33" s="12">
        <v>23.8</v>
      </c>
      <c r="AL33" s="2">
        <v>3.9</v>
      </c>
      <c r="AN33" s="12">
        <v>15.2</v>
      </c>
      <c r="AO33" s="2">
        <v>3.9</v>
      </c>
      <c r="AQ33" s="12">
        <v>5.3</v>
      </c>
      <c r="AR33" s="2">
        <v>3.9</v>
      </c>
      <c r="AT33" s="12">
        <v>4.5999999999999996</v>
      </c>
      <c r="AU33" s="2">
        <v>3.9</v>
      </c>
      <c r="AW33" s="12">
        <v>15</v>
      </c>
      <c r="AX33" s="2">
        <v>3.9</v>
      </c>
      <c r="AZ33" s="12">
        <v>10.8</v>
      </c>
      <c r="BA33" s="2">
        <v>3.9</v>
      </c>
    </row>
    <row r="34" spans="1:53">
      <c r="A34" s="12">
        <v>11</v>
      </c>
      <c r="B34" s="2">
        <v>4</v>
      </c>
      <c r="D34" s="12">
        <v>11.4</v>
      </c>
      <c r="E34" s="2">
        <v>4</v>
      </c>
      <c r="G34" s="12">
        <v>14</v>
      </c>
      <c r="H34" s="2">
        <v>4</v>
      </c>
      <c r="J34" s="12">
        <v>14.5</v>
      </c>
      <c r="K34" s="2">
        <v>4</v>
      </c>
      <c r="M34" s="2">
        <v>20.5</v>
      </c>
      <c r="N34" s="19">
        <v>4</v>
      </c>
      <c r="P34" s="50">
        <v>18.5</v>
      </c>
      <c r="Q34" s="19">
        <v>4</v>
      </c>
      <c r="S34" s="8">
        <v>2050</v>
      </c>
      <c r="T34" s="2">
        <v>4</v>
      </c>
      <c r="V34" s="15">
        <v>1875</v>
      </c>
      <c r="W34" s="2">
        <v>4</v>
      </c>
      <c r="Y34" s="3">
        <v>107</v>
      </c>
      <c r="Z34" s="2">
        <v>4</v>
      </c>
      <c r="AB34" s="8">
        <v>98</v>
      </c>
      <c r="AC34" s="2">
        <v>4</v>
      </c>
      <c r="AE34" s="8">
        <v>320</v>
      </c>
      <c r="AF34" s="2">
        <v>4</v>
      </c>
      <c r="AH34" s="8">
        <v>300</v>
      </c>
      <c r="AI34" s="2">
        <v>4</v>
      </c>
      <c r="AK34" s="12">
        <v>25</v>
      </c>
      <c r="AL34" s="2">
        <v>4</v>
      </c>
      <c r="AN34" s="12">
        <v>16</v>
      </c>
      <c r="AO34" s="2">
        <v>4</v>
      </c>
      <c r="AQ34" s="12">
        <v>5.5</v>
      </c>
      <c r="AR34" s="2">
        <v>4</v>
      </c>
      <c r="AT34" s="12">
        <v>4.7</v>
      </c>
      <c r="AU34" s="2">
        <v>4</v>
      </c>
      <c r="AW34" s="12">
        <v>15.5</v>
      </c>
      <c r="AX34" s="2">
        <v>4</v>
      </c>
      <c r="AZ34" s="12">
        <v>11</v>
      </c>
      <c r="BA34" s="2">
        <v>4</v>
      </c>
    </row>
    <row r="35" spans="1:53">
      <c r="A35" s="12">
        <v>10.9</v>
      </c>
      <c r="B35" s="2">
        <v>4.0999999999999996</v>
      </c>
      <c r="D35" s="12">
        <v>11.25</v>
      </c>
      <c r="E35" s="2">
        <v>4.0999999999999996</v>
      </c>
      <c r="G35" s="12">
        <v>13.85</v>
      </c>
      <c r="H35" s="2">
        <v>4.0999999999999996</v>
      </c>
      <c r="J35" s="12">
        <v>14.4</v>
      </c>
      <c r="K35" s="2">
        <v>4.0999999999999996</v>
      </c>
      <c r="M35" s="52">
        <v>21</v>
      </c>
      <c r="N35" s="19">
        <v>4.0999999999999996</v>
      </c>
      <c r="P35" s="52">
        <v>19</v>
      </c>
      <c r="Q35" s="19">
        <v>4.0999999999999996</v>
      </c>
      <c r="S35" s="8">
        <v>2090</v>
      </c>
      <c r="T35" s="2">
        <v>4.0999999999999996</v>
      </c>
      <c r="V35" s="15">
        <v>1915</v>
      </c>
      <c r="W35" s="2">
        <v>4.0999999999999996</v>
      </c>
      <c r="Y35" s="3">
        <v>109</v>
      </c>
      <c r="Z35" s="2">
        <v>4.0999999999999996</v>
      </c>
      <c r="AB35" s="8">
        <v>99</v>
      </c>
      <c r="AC35" s="2">
        <v>4.0999999999999996</v>
      </c>
      <c r="AE35" s="8">
        <v>328</v>
      </c>
      <c r="AF35" s="2">
        <v>4.0999999999999996</v>
      </c>
      <c r="AH35" s="8">
        <v>307</v>
      </c>
      <c r="AI35" s="2">
        <v>4.0999999999999996</v>
      </c>
      <c r="AK35" s="12">
        <v>25.9</v>
      </c>
      <c r="AL35" s="2">
        <v>4.0999999999999996</v>
      </c>
      <c r="AN35" s="12">
        <v>16.8</v>
      </c>
      <c r="AO35" s="2">
        <v>4.0999999999999996</v>
      </c>
      <c r="AQ35" s="12">
        <v>5.7</v>
      </c>
      <c r="AR35" s="2">
        <v>4.0999999999999996</v>
      </c>
      <c r="AT35" s="12">
        <v>4.9000000000000004</v>
      </c>
      <c r="AU35" s="2">
        <v>4.0999999999999996</v>
      </c>
      <c r="AW35" s="12">
        <v>16</v>
      </c>
      <c r="AX35" s="2">
        <v>4.0999999999999996</v>
      </c>
      <c r="AZ35" s="12">
        <v>11.4</v>
      </c>
      <c r="BA35" s="2">
        <v>4.0999999999999996</v>
      </c>
    </row>
    <row r="36" spans="1:53">
      <c r="A36" s="12">
        <v>10.75</v>
      </c>
      <c r="B36" s="2">
        <v>4.2</v>
      </c>
      <c r="D36" s="12">
        <v>11.1</v>
      </c>
      <c r="E36" s="2">
        <v>4.2</v>
      </c>
      <c r="G36" s="12">
        <v>13.7</v>
      </c>
      <c r="H36" s="2">
        <v>4.2</v>
      </c>
      <c r="J36" s="12">
        <v>14.25</v>
      </c>
      <c r="K36" s="2">
        <v>4.2</v>
      </c>
      <c r="M36" s="2">
        <v>21.5</v>
      </c>
      <c r="N36" s="19">
        <v>4.2</v>
      </c>
      <c r="P36" s="52">
        <v>19.5</v>
      </c>
      <c r="Q36" s="19">
        <v>4.2</v>
      </c>
      <c r="S36" s="8">
        <v>2130</v>
      </c>
      <c r="T36" s="2">
        <v>4.2</v>
      </c>
      <c r="V36" s="15">
        <v>1955</v>
      </c>
      <c r="W36" s="2">
        <v>4.2</v>
      </c>
      <c r="Y36" s="3">
        <v>110</v>
      </c>
      <c r="Z36" s="2">
        <v>4.2</v>
      </c>
      <c r="AB36" s="8">
        <v>100</v>
      </c>
      <c r="AC36" s="2">
        <v>4.2</v>
      </c>
      <c r="AE36" s="8">
        <v>336</v>
      </c>
      <c r="AF36" s="2">
        <v>4.2</v>
      </c>
      <c r="AH36" s="8">
        <v>314</v>
      </c>
      <c r="AI36" s="2">
        <v>4.2</v>
      </c>
      <c r="AK36" s="12">
        <v>26.8</v>
      </c>
      <c r="AL36" s="2">
        <v>4.2</v>
      </c>
      <c r="AN36" s="12">
        <v>17.600000000000001</v>
      </c>
      <c r="AO36" s="2">
        <v>4.2</v>
      </c>
      <c r="AQ36" s="12">
        <v>5.8</v>
      </c>
      <c r="AR36" s="2">
        <v>4.2</v>
      </c>
      <c r="AT36" s="12">
        <v>5</v>
      </c>
      <c r="AU36" s="2">
        <v>4.2</v>
      </c>
      <c r="AW36" s="12">
        <v>16.5</v>
      </c>
      <c r="AX36" s="2">
        <v>4.2</v>
      </c>
      <c r="AZ36" s="12">
        <v>11.8</v>
      </c>
      <c r="BA36" s="2">
        <v>4.2</v>
      </c>
    </row>
    <row r="37" spans="1:53">
      <c r="A37" s="12">
        <v>10.65</v>
      </c>
      <c r="B37" s="2">
        <v>4.3</v>
      </c>
      <c r="D37" s="12">
        <v>11</v>
      </c>
      <c r="E37" s="2">
        <v>4.3</v>
      </c>
      <c r="G37" s="12">
        <v>13.5</v>
      </c>
      <c r="H37" s="2">
        <v>4.3</v>
      </c>
      <c r="J37" s="12">
        <v>14.15</v>
      </c>
      <c r="K37" s="2">
        <v>4.3</v>
      </c>
      <c r="M37" s="52">
        <v>22</v>
      </c>
      <c r="N37" s="19">
        <v>4.3</v>
      </c>
      <c r="P37" s="2">
        <v>20</v>
      </c>
      <c r="Q37" s="19">
        <v>4.3</v>
      </c>
      <c r="S37" s="8">
        <v>2170</v>
      </c>
      <c r="T37" s="2">
        <v>4.3</v>
      </c>
      <c r="V37" s="15">
        <v>1995</v>
      </c>
      <c r="W37" s="2">
        <v>4.3</v>
      </c>
      <c r="Y37" s="3">
        <v>111</v>
      </c>
      <c r="Z37" s="2">
        <v>4.3</v>
      </c>
      <c r="AB37" s="8">
        <v>101</v>
      </c>
      <c r="AC37" s="2">
        <v>4.3</v>
      </c>
      <c r="AE37" s="8">
        <v>344</v>
      </c>
      <c r="AF37" s="2">
        <v>4.3</v>
      </c>
      <c r="AH37" s="8">
        <v>321</v>
      </c>
      <c r="AI37" s="2">
        <v>4.3</v>
      </c>
      <c r="AK37" s="12">
        <v>27.7</v>
      </c>
      <c r="AL37" s="2">
        <v>4.3</v>
      </c>
      <c r="AN37" s="12">
        <v>18.399999999999999</v>
      </c>
      <c r="AO37" s="2">
        <v>4.3</v>
      </c>
      <c r="AQ37" s="12">
        <v>6</v>
      </c>
      <c r="AR37" s="2">
        <v>4.3</v>
      </c>
      <c r="AT37" s="12">
        <v>5.2</v>
      </c>
      <c r="AU37" s="2">
        <v>4.3</v>
      </c>
      <c r="AW37" s="12">
        <v>17</v>
      </c>
      <c r="AX37" s="2">
        <v>4.3</v>
      </c>
      <c r="AZ37" s="12">
        <v>12.2</v>
      </c>
      <c r="BA37" s="2">
        <v>4.3</v>
      </c>
    </row>
    <row r="38" spans="1:53">
      <c r="A38" s="12">
        <v>10.5</v>
      </c>
      <c r="B38" s="2">
        <v>4.4000000000000004</v>
      </c>
      <c r="D38" s="12">
        <v>10.85</v>
      </c>
      <c r="E38" s="2">
        <v>4.4000000000000004</v>
      </c>
      <c r="G38" s="12">
        <v>13.35</v>
      </c>
      <c r="H38" s="2">
        <v>4.4000000000000004</v>
      </c>
      <c r="J38" s="12">
        <v>14</v>
      </c>
      <c r="K38" s="2">
        <v>4.4000000000000004</v>
      </c>
      <c r="M38" s="52">
        <v>22.5</v>
      </c>
      <c r="N38" s="19">
        <v>4.4000000000000004</v>
      </c>
      <c r="P38" s="52">
        <v>20.5</v>
      </c>
      <c r="Q38" s="19">
        <v>4.4000000000000004</v>
      </c>
      <c r="S38" s="8">
        <v>2210</v>
      </c>
      <c r="T38" s="2">
        <v>4.4000000000000004</v>
      </c>
      <c r="V38" s="15">
        <v>2035</v>
      </c>
      <c r="W38" s="2">
        <v>4.4000000000000004</v>
      </c>
      <c r="Y38" s="3">
        <v>112</v>
      </c>
      <c r="Z38" s="2">
        <v>4.4000000000000004</v>
      </c>
      <c r="AB38" s="8">
        <v>102</v>
      </c>
      <c r="AC38" s="2">
        <v>4.4000000000000004</v>
      </c>
      <c r="AE38" s="8">
        <v>352</v>
      </c>
      <c r="AF38" s="2">
        <v>4.4000000000000004</v>
      </c>
      <c r="AH38" s="8">
        <v>328</v>
      </c>
      <c r="AI38" s="2">
        <v>4.4000000000000004</v>
      </c>
      <c r="AK38" s="12">
        <v>28.6</v>
      </c>
      <c r="AL38" s="2">
        <v>4.4000000000000004</v>
      </c>
      <c r="AN38" s="12">
        <v>19.2</v>
      </c>
      <c r="AO38" s="2">
        <v>4.4000000000000004</v>
      </c>
      <c r="AQ38" s="12">
        <v>6.1</v>
      </c>
      <c r="AR38" s="2">
        <v>4.4000000000000004</v>
      </c>
      <c r="AT38" s="12">
        <v>5.3</v>
      </c>
      <c r="AU38" s="2">
        <v>4.4000000000000004</v>
      </c>
      <c r="AW38" s="12">
        <v>17.5</v>
      </c>
      <c r="AX38" s="2">
        <v>4.4000000000000004</v>
      </c>
      <c r="AZ38" s="12">
        <v>12.6</v>
      </c>
      <c r="BA38" s="2">
        <v>4.4000000000000004</v>
      </c>
    </row>
    <row r="39" spans="1:53">
      <c r="A39" s="12">
        <v>10.4</v>
      </c>
      <c r="B39" s="2">
        <v>4.5</v>
      </c>
      <c r="D39" s="12">
        <v>10.7</v>
      </c>
      <c r="E39" s="2">
        <v>4.5</v>
      </c>
      <c r="G39" s="12">
        <v>13.2</v>
      </c>
      <c r="H39" s="2">
        <v>4.5</v>
      </c>
      <c r="J39" s="12">
        <v>13.9</v>
      </c>
      <c r="K39" s="2">
        <v>4.5</v>
      </c>
      <c r="M39" s="2">
        <v>23</v>
      </c>
      <c r="N39" s="19">
        <v>4.5</v>
      </c>
      <c r="P39" s="52" t="s">
        <v>378</v>
      </c>
      <c r="Q39" s="19">
        <v>4.5</v>
      </c>
      <c r="S39" s="8">
        <v>2250</v>
      </c>
      <c r="T39" s="2">
        <v>4.5</v>
      </c>
      <c r="V39" s="15">
        <v>2075</v>
      </c>
      <c r="W39" s="2">
        <v>4.5</v>
      </c>
      <c r="Y39" s="3">
        <v>113</v>
      </c>
      <c r="Z39" s="2">
        <v>4.5</v>
      </c>
      <c r="AB39" s="8">
        <v>103</v>
      </c>
      <c r="AC39" s="2">
        <v>4.5</v>
      </c>
      <c r="AE39" s="8">
        <v>360</v>
      </c>
      <c r="AF39" s="2">
        <v>4.5</v>
      </c>
      <c r="AH39" s="8">
        <v>335</v>
      </c>
      <c r="AI39" s="2">
        <v>4.5</v>
      </c>
      <c r="AK39" s="12">
        <v>29.5</v>
      </c>
      <c r="AL39" s="2">
        <v>4.5</v>
      </c>
      <c r="AN39" s="12">
        <v>20</v>
      </c>
      <c r="AO39" s="2">
        <v>4.5</v>
      </c>
      <c r="AQ39" s="12">
        <v>6.3</v>
      </c>
      <c r="AR39" s="2">
        <v>4.5</v>
      </c>
      <c r="AT39" s="12">
        <v>5.5</v>
      </c>
      <c r="AU39" s="2">
        <v>4.5</v>
      </c>
      <c r="AW39" s="12">
        <v>18</v>
      </c>
      <c r="AX39" s="2">
        <v>4.5</v>
      </c>
      <c r="AZ39" s="12">
        <v>13</v>
      </c>
      <c r="BA39" s="2">
        <v>4.5</v>
      </c>
    </row>
    <row r="40" spans="1:53">
      <c r="A40" s="12">
        <v>10.25</v>
      </c>
      <c r="B40" s="2">
        <v>4.5999999999999996</v>
      </c>
      <c r="D40" s="12">
        <v>10.55</v>
      </c>
      <c r="E40" s="2">
        <v>4.5999999999999996</v>
      </c>
      <c r="G40" s="12">
        <v>13</v>
      </c>
      <c r="H40" s="2">
        <v>4.5999999999999996</v>
      </c>
      <c r="J40" s="12">
        <v>13.8</v>
      </c>
      <c r="K40" s="2">
        <v>4.5999999999999996</v>
      </c>
      <c r="M40" s="52" t="s">
        <v>378</v>
      </c>
      <c r="N40" s="19">
        <v>4.5999999999999996</v>
      </c>
      <c r="P40" s="2">
        <v>21</v>
      </c>
      <c r="Q40" s="19">
        <v>4.5999999999999996</v>
      </c>
      <c r="S40" s="8">
        <v>2290</v>
      </c>
      <c r="T40" s="2">
        <v>4.5999999999999996</v>
      </c>
      <c r="V40" s="15">
        <v>2115</v>
      </c>
      <c r="W40" s="2">
        <v>4.5999999999999996</v>
      </c>
      <c r="Y40" s="3">
        <v>114</v>
      </c>
      <c r="Z40" s="2">
        <v>4.5999999999999996</v>
      </c>
      <c r="AB40" s="8">
        <v>104</v>
      </c>
      <c r="AC40" s="2">
        <v>4.5999999999999996</v>
      </c>
      <c r="AE40" s="8">
        <v>368</v>
      </c>
      <c r="AF40" s="2">
        <v>4.5999999999999996</v>
      </c>
      <c r="AH40" s="8">
        <v>342</v>
      </c>
      <c r="AI40" s="2">
        <v>4.5999999999999996</v>
      </c>
      <c r="AK40" s="12">
        <v>30.4</v>
      </c>
      <c r="AL40" s="2">
        <v>4.5999999999999996</v>
      </c>
      <c r="AN40" s="12">
        <v>20.8</v>
      </c>
      <c r="AO40" s="2">
        <v>4.5999999999999996</v>
      </c>
      <c r="AQ40" s="12">
        <v>6.4</v>
      </c>
      <c r="AR40" s="2">
        <v>4.5999999999999996</v>
      </c>
      <c r="AT40" s="12">
        <v>5.6</v>
      </c>
      <c r="AU40" s="2">
        <v>4.5999999999999996</v>
      </c>
      <c r="AW40" s="12">
        <v>18.600000000000001</v>
      </c>
      <c r="AX40" s="2">
        <v>4.5999999999999996</v>
      </c>
      <c r="AZ40" s="12">
        <v>13.4</v>
      </c>
      <c r="BA40" s="2">
        <v>4.5999999999999996</v>
      </c>
    </row>
    <row r="41" spans="1:53">
      <c r="A41" s="12">
        <v>10.1</v>
      </c>
      <c r="B41" s="2">
        <v>4.7</v>
      </c>
      <c r="D41" s="12">
        <v>10.4</v>
      </c>
      <c r="E41" s="2">
        <v>4.7</v>
      </c>
      <c r="G41" s="12">
        <v>12.85</v>
      </c>
      <c r="H41" s="2">
        <v>4.7</v>
      </c>
      <c r="J41" s="12">
        <v>13.65</v>
      </c>
      <c r="K41" s="2">
        <v>4.7</v>
      </c>
      <c r="M41" s="2">
        <v>23.5</v>
      </c>
      <c r="N41" s="19">
        <v>4.7</v>
      </c>
      <c r="P41" s="2">
        <v>21.5</v>
      </c>
      <c r="Q41" s="19">
        <v>4.7</v>
      </c>
      <c r="S41" s="8">
        <v>2330</v>
      </c>
      <c r="T41" s="2">
        <v>4.7</v>
      </c>
      <c r="V41" s="15">
        <v>2155</v>
      </c>
      <c r="W41" s="2">
        <v>4.7</v>
      </c>
      <c r="Y41" s="3">
        <v>115</v>
      </c>
      <c r="Z41" s="2">
        <v>4.7</v>
      </c>
      <c r="AB41" s="8">
        <v>105</v>
      </c>
      <c r="AC41" s="2">
        <v>4.7</v>
      </c>
      <c r="AE41" s="8">
        <v>376</v>
      </c>
      <c r="AF41" s="2">
        <v>4.7</v>
      </c>
      <c r="AH41" s="8">
        <v>349</v>
      </c>
      <c r="AI41" s="2">
        <v>4.7</v>
      </c>
      <c r="AK41" s="12">
        <v>31.3</v>
      </c>
      <c r="AL41" s="2">
        <v>4.7</v>
      </c>
      <c r="AN41" s="12">
        <v>21.6</v>
      </c>
      <c r="AO41" s="2">
        <v>4.7</v>
      </c>
      <c r="AQ41" s="12">
        <v>6.6</v>
      </c>
      <c r="AR41" s="2">
        <v>4.7</v>
      </c>
      <c r="AT41" s="12">
        <v>5.7</v>
      </c>
      <c r="AU41" s="2">
        <v>4.7</v>
      </c>
      <c r="AW41" s="12">
        <v>19.2</v>
      </c>
      <c r="AX41" s="2">
        <v>4.7</v>
      </c>
      <c r="AZ41" s="12">
        <v>13.8</v>
      </c>
      <c r="BA41" s="2">
        <v>4.7</v>
      </c>
    </row>
    <row r="42" spans="1:53">
      <c r="A42" s="12">
        <v>9.9</v>
      </c>
      <c r="B42" s="2">
        <v>4.8</v>
      </c>
      <c r="D42" s="12">
        <v>10.3</v>
      </c>
      <c r="E42" s="2">
        <v>4.8</v>
      </c>
      <c r="G42" s="12">
        <v>12.65</v>
      </c>
      <c r="H42" s="2">
        <v>4.8</v>
      </c>
      <c r="J42" s="12">
        <v>13.55</v>
      </c>
      <c r="K42" s="2">
        <v>4.8</v>
      </c>
      <c r="M42" s="2">
        <v>24</v>
      </c>
      <c r="N42" s="19">
        <v>4.8</v>
      </c>
      <c r="P42" s="52">
        <v>22</v>
      </c>
      <c r="Q42" s="19">
        <v>4.8</v>
      </c>
      <c r="S42" s="8">
        <v>2370</v>
      </c>
      <c r="T42" s="2">
        <v>4.8</v>
      </c>
      <c r="V42" s="15">
        <v>2195</v>
      </c>
      <c r="W42" s="2">
        <v>4.8</v>
      </c>
      <c r="Y42" s="3">
        <v>116</v>
      </c>
      <c r="Z42" s="2">
        <v>4.8</v>
      </c>
      <c r="AB42" s="8">
        <v>106</v>
      </c>
      <c r="AC42" s="2">
        <v>4.8</v>
      </c>
      <c r="AE42" s="8">
        <v>384</v>
      </c>
      <c r="AF42" s="2">
        <v>4.8</v>
      </c>
      <c r="AH42" s="8">
        <v>356</v>
      </c>
      <c r="AI42" s="2">
        <v>4.8</v>
      </c>
      <c r="AK42" s="12">
        <v>32.200000000000003</v>
      </c>
      <c r="AL42" s="2">
        <v>4.8</v>
      </c>
      <c r="AN42" s="12">
        <v>22.4</v>
      </c>
      <c r="AO42" s="2">
        <v>4.8</v>
      </c>
      <c r="AQ42" s="12">
        <v>6.7</v>
      </c>
      <c r="AR42" s="2">
        <v>4.8</v>
      </c>
      <c r="AT42" s="12">
        <v>5.8</v>
      </c>
      <c r="AU42" s="2">
        <v>4.8</v>
      </c>
      <c r="AW42" s="12">
        <v>19.8</v>
      </c>
      <c r="AX42" s="2">
        <v>4.8</v>
      </c>
      <c r="AZ42" s="12">
        <v>14.2</v>
      </c>
      <c r="BA42" s="2">
        <v>4.8</v>
      </c>
    </row>
    <row r="43" spans="1:53">
      <c r="A43" s="12">
        <v>9.75</v>
      </c>
      <c r="B43" s="2">
        <v>4.9000000000000004</v>
      </c>
      <c r="D43" s="12">
        <v>10.15</v>
      </c>
      <c r="E43" s="2">
        <v>4.9000000000000004</v>
      </c>
      <c r="G43" s="12">
        <v>12.5</v>
      </c>
      <c r="H43" s="2">
        <v>4.9000000000000004</v>
      </c>
      <c r="J43" s="12">
        <v>13.4</v>
      </c>
      <c r="K43" s="2">
        <v>4.9000000000000004</v>
      </c>
      <c r="M43" s="52">
        <v>24.5</v>
      </c>
      <c r="N43" s="19">
        <v>4.9000000000000004</v>
      </c>
      <c r="P43" s="2">
        <v>22.5</v>
      </c>
      <c r="Q43" s="19">
        <v>4.9000000000000004</v>
      </c>
      <c r="S43" s="8">
        <v>2410</v>
      </c>
      <c r="T43" s="2">
        <v>4.9000000000000004</v>
      </c>
      <c r="V43" s="15">
        <v>2235</v>
      </c>
      <c r="W43" s="2">
        <v>4.9000000000000004</v>
      </c>
      <c r="Y43" s="3">
        <v>117</v>
      </c>
      <c r="Z43" s="2">
        <v>4.9000000000000004</v>
      </c>
      <c r="AB43" s="8">
        <v>107</v>
      </c>
      <c r="AC43" s="2">
        <v>4.9000000000000004</v>
      </c>
      <c r="AE43" s="8">
        <v>392</v>
      </c>
      <c r="AF43" s="2">
        <v>4.9000000000000004</v>
      </c>
      <c r="AH43" s="8">
        <v>363</v>
      </c>
      <c r="AI43" s="2">
        <v>4.9000000000000004</v>
      </c>
      <c r="AK43" s="12">
        <v>33.1</v>
      </c>
      <c r="AL43" s="2">
        <v>4.9000000000000004</v>
      </c>
      <c r="AN43" s="12">
        <v>23.2</v>
      </c>
      <c r="AO43" s="2">
        <v>4.9000000000000004</v>
      </c>
      <c r="AQ43" s="12">
        <v>6.9</v>
      </c>
      <c r="AR43" s="2">
        <v>4.9000000000000004</v>
      </c>
      <c r="AT43" s="12">
        <v>5.9</v>
      </c>
      <c r="AU43" s="2">
        <v>4.9000000000000004</v>
      </c>
      <c r="AW43" s="12">
        <v>20.399999999999999</v>
      </c>
      <c r="AX43" s="2">
        <v>4.9000000000000004</v>
      </c>
      <c r="AZ43" s="12">
        <v>14.6</v>
      </c>
      <c r="BA43" s="2">
        <v>4.9000000000000004</v>
      </c>
    </row>
    <row r="44" spans="1:53">
      <c r="A44" s="12">
        <v>9.6</v>
      </c>
      <c r="B44" s="2">
        <v>5</v>
      </c>
      <c r="D44" s="12">
        <v>10</v>
      </c>
      <c r="E44" s="2">
        <v>5</v>
      </c>
      <c r="G44" s="12">
        <v>12.3</v>
      </c>
      <c r="H44" s="2">
        <v>5</v>
      </c>
      <c r="J44" s="12">
        <v>13.3</v>
      </c>
      <c r="K44" s="2">
        <v>5</v>
      </c>
      <c r="M44" s="2">
        <v>25</v>
      </c>
      <c r="N44" s="19">
        <v>5</v>
      </c>
      <c r="P44" s="2">
        <v>23</v>
      </c>
      <c r="Q44" s="19">
        <v>5</v>
      </c>
      <c r="S44" s="8">
        <v>2450</v>
      </c>
      <c r="T44" s="2">
        <v>5</v>
      </c>
      <c r="V44" s="8">
        <v>2275</v>
      </c>
      <c r="W44" s="2">
        <v>5</v>
      </c>
      <c r="Y44" s="3">
        <v>118</v>
      </c>
      <c r="Z44" s="2">
        <v>5</v>
      </c>
      <c r="AB44" s="8">
        <v>108</v>
      </c>
      <c r="AC44" s="2">
        <v>5</v>
      </c>
      <c r="AE44" s="8">
        <v>400</v>
      </c>
      <c r="AF44" s="2">
        <v>5</v>
      </c>
      <c r="AH44" s="8">
        <v>370</v>
      </c>
      <c r="AI44" s="2">
        <v>5</v>
      </c>
      <c r="AK44" s="12">
        <v>34</v>
      </c>
      <c r="AL44" s="2">
        <v>5</v>
      </c>
      <c r="AN44" s="12">
        <v>24</v>
      </c>
      <c r="AO44" s="2">
        <v>5</v>
      </c>
      <c r="AQ44" s="12">
        <v>7</v>
      </c>
      <c r="AR44" s="2">
        <v>5</v>
      </c>
      <c r="AT44" s="12">
        <v>6</v>
      </c>
      <c r="AU44" s="2">
        <v>5</v>
      </c>
      <c r="AW44" s="12">
        <v>21</v>
      </c>
      <c r="AX44" s="2">
        <v>5</v>
      </c>
      <c r="AZ44" s="12">
        <v>15</v>
      </c>
      <c r="BA44" s="2">
        <v>5</v>
      </c>
    </row>
    <row r="45" spans="1:53">
      <c r="A45" s="12">
        <v>9.5500000000000007</v>
      </c>
      <c r="B45" s="2">
        <v>5.0999999999999996</v>
      </c>
      <c r="D45" s="12">
        <v>9.9499999999999993</v>
      </c>
      <c r="E45" s="2">
        <v>5.0999999999999996</v>
      </c>
      <c r="G45" s="12">
        <v>12.25</v>
      </c>
      <c r="H45" s="2">
        <v>5.0999999999999996</v>
      </c>
      <c r="J45" s="12">
        <v>13.2</v>
      </c>
      <c r="K45" s="2">
        <v>5.0999999999999996</v>
      </c>
      <c r="M45" s="52" t="s">
        <v>378</v>
      </c>
      <c r="N45" s="19">
        <v>5.0999999999999996</v>
      </c>
      <c r="P45" s="52">
        <v>23.5</v>
      </c>
      <c r="Q45" s="19">
        <v>5.0999999999999996</v>
      </c>
      <c r="S45" s="8">
        <v>2480</v>
      </c>
      <c r="T45" s="2">
        <v>5.0999999999999996</v>
      </c>
      <c r="V45" s="8">
        <v>2305</v>
      </c>
      <c r="W45" s="2">
        <v>5.0999999999999996</v>
      </c>
      <c r="Y45" s="3">
        <v>119</v>
      </c>
      <c r="Z45" s="2">
        <v>5.0999999999999996</v>
      </c>
      <c r="AB45" s="8">
        <v>109</v>
      </c>
      <c r="AC45" s="2">
        <v>5.0999999999999996</v>
      </c>
      <c r="AE45" s="8">
        <v>403</v>
      </c>
      <c r="AF45" s="2">
        <v>5.0999999999999996</v>
      </c>
      <c r="AH45" s="8">
        <v>374</v>
      </c>
      <c r="AI45" s="2">
        <v>5.0999999999999996</v>
      </c>
      <c r="AK45" s="12">
        <v>34.9</v>
      </c>
      <c r="AL45" s="2">
        <v>5.0999999999999996</v>
      </c>
      <c r="AN45" s="12">
        <v>24.8</v>
      </c>
      <c r="AO45" s="2">
        <v>5.0999999999999996</v>
      </c>
      <c r="AQ45" s="16">
        <v>7.1</v>
      </c>
      <c r="AR45" s="2">
        <v>5.0999999999999996</v>
      </c>
      <c r="AT45" s="12">
        <v>6.1</v>
      </c>
      <c r="AU45" s="2">
        <v>5.0999999999999996</v>
      </c>
      <c r="AW45" s="12">
        <v>21.3</v>
      </c>
      <c r="AX45" s="2">
        <v>5.0999999999999996</v>
      </c>
      <c r="AZ45" s="12">
        <v>15.4</v>
      </c>
      <c r="BA45" s="2">
        <v>5.0999999999999996</v>
      </c>
    </row>
    <row r="46" spans="1:53">
      <c r="A46" s="12">
        <v>9.5</v>
      </c>
      <c r="B46" s="2">
        <v>5.2</v>
      </c>
      <c r="D46" s="12">
        <v>9.9</v>
      </c>
      <c r="E46" s="2">
        <v>5.2</v>
      </c>
      <c r="G46" s="12">
        <v>12.2</v>
      </c>
      <c r="H46" s="2">
        <v>5.2</v>
      </c>
      <c r="J46" s="12">
        <v>13.15</v>
      </c>
      <c r="K46" s="2">
        <v>5.2</v>
      </c>
      <c r="M46" s="72">
        <v>25.5</v>
      </c>
      <c r="N46" s="19">
        <v>5.2</v>
      </c>
      <c r="P46" s="3" t="s">
        <v>378</v>
      </c>
      <c r="Q46" s="19">
        <v>5.2</v>
      </c>
      <c r="S46" s="8">
        <v>2510</v>
      </c>
      <c r="T46" s="2">
        <v>5.2</v>
      </c>
      <c r="V46" s="8">
        <v>2335</v>
      </c>
      <c r="W46" s="2">
        <v>5.2</v>
      </c>
      <c r="Y46" s="3">
        <v>120</v>
      </c>
      <c r="Z46" s="2">
        <v>5.2</v>
      </c>
      <c r="AB46" s="8">
        <v>110</v>
      </c>
      <c r="AC46" s="2">
        <v>5.2</v>
      </c>
      <c r="AE46" s="8">
        <v>406</v>
      </c>
      <c r="AF46" s="2">
        <v>5.2</v>
      </c>
      <c r="AH46" s="8">
        <v>378</v>
      </c>
      <c r="AI46" s="2">
        <v>5.2</v>
      </c>
      <c r="AK46" s="12">
        <v>35.799999999999997</v>
      </c>
      <c r="AL46" s="2">
        <v>5.2</v>
      </c>
      <c r="AN46" s="12">
        <v>25.7</v>
      </c>
      <c r="AO46" s="2">
        <v>5.2</v>
      </c>
      <c r="AQ46" s="16">
        <v>7.2</v>
      </c>
      <c r="AR46" s="2">
        <v>5.2</v>
      </c>
      <c r="AT46" s="12">
        <v>6.2</v>
      </c>
      <c r="AU46" s="2">
        <v>5.2</v>
      </c>
      <c r="AW46" s="12">
        <v>21.6</v>
      </c>
      <c r="AX46" s="2">
        <v>5.2</v>
      </c>
      <c r="AZ46" s="12">
        <v>15.8</v>
      </c>
      <c r="BA46" s="2">
        <v>5.2</v>
      </c>
    </row>
    <row r="47" spans="1:53">
      <c r="A47" s="12">
        <v>9.4</v>
      </c>
      <c r="B47" s="2">
        <v>5.3</v>
      </c>
      <c r="D47" s="12">
        <v>9.8000000000000007</v>
      </c>
      <c r="E47" s="2">
        <v>5.3</v>
      </c>
      <c r="G47" s="12">
        <v>12.2</v>
      </c>
      <c r="H47" s="2">
        <v>5.3</v>
      </c>
      <c r="J47" s="12">
        <v>13.05</v>
      </c>
      <c r="K47" s="2">
        <v>5.3</v>
      </c>
      <c r="M47" s="72">
        <v>26</v>
      </c>
      <c r="N47" s="19">
        <v>5.3</v>
      </c>
      <c r="P47" s="3">
        <v>24</v>
      </c>
      <c r="Q47" s="19">
        <v>5.3</v>
      </c>
      <c r="S47" s="8">
        <v>2540</v>
      </c>
      <c r="T47" s="2">
        <v>5.3</v>
      </c>
      <c r="V47" s="8">
        <v>2365</v>
      </c>
      <c r="W47" s="2">
        <v>5.3</v>
      </c>
      <c r="Y47" s="3">
        <v>121</v>
      </c>
      <c r="Z47" s="2">
        <v>5.3</v>
      </c>
      <c r="AB47" s="8">
        <v>111</v>
      </c>
      <c r="AC47" s="2">
        <v>5.3</v>
      </c>
      <c r="AE47" s="8">
        <v>409</v>
      </c>
      <c r="AF47" s="2">
        <v>5.3</v>
      </c>
      <c r="AH47" s="8">
        <v>382</v>
      </c>
      <c r="AI47" s="2">
        <v>5.3</v>
      </c>
      <c r="AK47" s="12">
        <v>36.700000000000003</v>
      </c>
      <c r="AL47" s="2">
        <v>5.3</v>
      </c>
      <c r="AN47" s="12">
        <v>26.5</v>
      </c>
      <c r="AO47" s="2">
        <v>5.3</v>
      </c>
      <c r="AQ47" s="16">
        <v>7.4</v>
      </c>
      <c r="AR47" s="2">
        <v>5.3</v>
      </c>
      <c r="AT47" s="12">
        <v>6.3</v>
      </c>
      <c r="AU47" s="2">
        <v>5.3</v>
      </c>
      <c r="AW47" s="12">
        <v>21.9</v>
      </c>
      <c r="AX47" s="2">
        <v>5.3</v>
      </c>
      <c r="AZ47" s="12">
        <v>16.2</v>
      </c>
      <c r="BA47" s="2">
        <v>5.3</v>
      </c>
    </row>
    <row r="48" spans="1:53">
      <c r="A48" s="12">
        <v>9.35</v>
      </c>
      <c r="B48" s="2">
        <v>5.4</v>
      </c>
      <c r="D48" s="12">
        <v>9.75</v>
      </c>
      <c r="E48" s="2">
        <v>5.4</v>
      </c>
      <c r="G48" s="12">
        <v>12.15</v>
      </c>
      <c r="H48" s="2">
        <v>5.4</v>
      </c>
      <c r="J48" s="12">
        <v>13</v>
      </c>
      <c r="K48" s="2">
        <v>5.4</v>
      </c>
      <c r="M48" s="72" t="s">
        <v>378</v>
      </c>
      <c r="N48" s="19">
        <v>5.4</v>
      </c>
      <c r="P48" s="3">
        <v>24.5</v>
      </c>
      <c r="Q48" s="19">
        <v>5.4</v>
      </c>
      <c r="S48" s="8">
        <v>2570</v>
      </c>
      <c r="T48" s="2">
        <v>5.4</v>
      </c>
      <c r="V48" s="8">
        <v>2395</v>
      </c>
      <c r="W48" s="2">
        <v>5.4</v>
      </c>
      <c r="Y48" s="3">
        <v>122</v>
      </c>
      <c r="Z48" s="2">
        <v>5.4</v>
      </c>
      <c r="AB48" s="8">
        <v>112</v>
      </c>
      <c r="AC48" s="2">
        <v>5.4</v>
      </c>
      <c r="AE48" s="8">
        <v>412</v>
      </c>
      <c r="AF48" s="2">
        <v>5.4</v>
      </c>
      <c r="AH48" s="8">
        <v>386</v>
      </c>
      <c r="AI48" s="2">
        <v>5.4</v>
      </c>
      <c r="AK48" s="12">
        <v>37.6</v>
      </c>
      <c r="AL48" s="2">
        <v>5.4</v>
      </c>
      <c r="AN48" s="12">
        <v>27.4</v>
      </c>
      <c r="AO48" s="2">
        <v>5.4</v>
      </c>
      <c r="AQ48" s="16">
        <v>7.5</v>
      </c>
      <c r="AR48" s="2">
        <v>5.4</v>
      </c>
      <c r="AT48" s="12">
        <v>6.4</v>
      </c>
      <c r="AU48" s="2">
        <v>5.4</v>
      </c>
      <c r="AW48" s="12">
        <v>22.2</v>
      </c>
      <c r="AX48" s="2">
        <v>5.4</v>
      </c>
      <c r="AZ48" s="12">
        <v>16.600000000000001</v>
      </c>
      <c r="BA48" s="2">
        <v>5.4</v>
      </c>
    </row>
    <row r="49" spans="1:53">
      <c r="A49" s="12">
        <v>9.3000000000000007</v>
      </c>
      <c r="B49" s="2">
        <v>5.5</v>
      </c>
      <c r="D49" s="12">
        <v>9.6999999999999993</v>
      </c>
      <c r="E49" s="2">
        <v>5.5</v>
      </c>
      <c r="G49" s="12">
        <v>12.1</v>
      </c>
      <c r="H49" s="2">
        <v>5.5</v>
      </c>
      <c r="J49" s="12">
        <v>12.9</v>
      </c>
      <c r="K49" s="2">
        <v>5.5</v>
      </c>
      <c r="M49" s="72">
        <v>26.5</v>
      </c>
      <c r="N49" s="19">
        <v>5.5</v>
      </c>
      <c r="P49" s="3" t="s">
        <v>378</v>
      </c>
      <c r="Q49" s="19">
        <v>5.5</v>
      </c>
      <c r="S49" s="8">
        <v>2600</v>
      </c>
      <c r="T49" s="2">
        <v>5.5</v>
      </c>
      <c r="V49" s="8">
        <v>2425</v>
      </c>
      <c r="W49" s="2">
        <v>5.5</v>
      </c>
      <c r="Y49" s="3">
        <v>123</v>
      </c>
      <c r="Z49" s="2">
        <v>5.5</v>
      </c>
      <c r="AB49" s="8">
        <v>113</v>
      </c>
      <c r="AC49" s="2">
        <v>5.5</v>
      </c>
      <c r="AE49" s="8">
        <v>415</v>
      </c>
      <c r="AF49" s="2">
        <v>5.5</v>
      </c>
      <c r="AH49" s="8">
        <v>390</v>
      </c>
      <c r="AI49" s="2">
        <v>5.5</v>
      </c>
      <c r="AK49" s="12">
        <v>38.5</v>
      </c>
      <c r="AL49" s="2">
        <v>5.5</v>
      </c>
      <c r="AN49" s="12">
        <v>28.2</v>
      </c>
      <c r="AO49" s="2">
        <v>5.5</v>
      </c>
      <c r="AQ49" s="16">
        <v>7.6</v>
      </c>
      <c r="AR49" s="2">
        <v>5.5</v>
      </c>
      <c r="AT49" s="12">
        <v>6.5</v>
      </c>
      <c r="AU49" s="2">
        <v>5.5</v>
      </c>
      <c r="AW49" s="12">
        <v>22.5</v>
      </c>
      <c r="AX49" s="2">
        <v>5.5</v>
      </c>
      <c r="AZ49" s="12">
        <v>17</v>
      </c>
      <c r="BA49" s="2">
        <v>5.5</v>
      </c>
    </row>
    <row r="50" spans="1:53">
      <c r="A50" s="12">
        <v>9.1999999999999993</v>
      </c>
      <c r="B50" s="2">
        <v>5.6</v>
      </c>
      <c r="D50" s="12">
        <v>9.65</v>
      </c>
      <c r="E50" s="2">
        <v>5.6</v>
      </c>
      <c r="G50" s="12">
        <v>12.05</v>
      </c>
      <c r="H50" s="2">
        <v>5.6</v>
      </c>
      <c r="J50" s="12">
        <v>12.8</v>
      </c>
      <c r="K50" s="2">
        <v>5.6</v>
      </c>
      <c r="M50" s="72" t="s">
        <v>378</v>
      </c>
      <c r="N50" s="19">
        <v>5.6</v>
      </c>
      <c r="P50" s="3" t="s">
        <v>378</v>
      </c>
      <c r="Q50" s="19">
        <v>5.6</v>
      </c>
      <c r="S50" s="8">
        <v>2630</v>
      </c>
      <c r="T50" s="2">
        <v>5.6</v>
      </c>
      <c r="V50" s="8">
        <v>2455</v>
      </c>
      <c r="W50" s="2">
        <v>5.6</v>
      </c>
      <c r="Y50" s="3">
        <v>124</v>
      </c>
      <c r="Z50" s="2">
        <v>5.6</v>
      </c>
      <c r="AB50" s="8">
        <v>114</v>
      </c>
      <c r="AC50" s="2">
        <v>5.6</v>
      </c>
      <c r="AE50" s="8">
        <v>418</v>
      </c>
      <c r="AF50" s="2">
        <v>5.6</v>
      </c>
      <c r="AH50" s="8">
        <v>394</v>
      </c>
      <c r="AI50" s="2">
        <v>5.6</v>
      </c>
      <c r="AK50" s="12">
        <v>39.4</v>
      </c>
      <c r="AL50" s="2">
        <v>5.6</v>
      </c>
      <c r="AN50" s="12">
        <v>29.1</v>
      </c>
      <c r="AO50" s="2">
        <v>5.6</v>
      </c>
      <c r="AQ50" s="16">
        <v>7.7</v>
      </c>
      <c r="AR50" s="2">
        <v>5.6</v>
      </c>
      <c r="AT50" s="12">
        <v>6.6</v>
      </c>
      <c r="AU50" s="2">
        <v>5.6</v>
      </c>
      <c r="AW50" s="12">
        <v>22.8</v>
      </c>
      <c r="AX50" s="2">
        <v>5.6</v>
      </c>
      <c r="AZ50" s="12">
        <v>17.2</v>
      </c>
      <c r="BA50" s="2">
        <v>5.6</v>
      </c>
    </row>
    <row r="51" spans="1:53">
      <c r="A51" s="12">
        <v>9.15</v>
      </c>
      <c r="B51" s="2">
        <v>5.7</v>
      </c>
      <c r="D51" s="12">
        <v>9.6</v>
      </c>
      <c r="E51" s="2">
        <v>5.7</v>
      </c>
      <c r="G51" s="12">
        <v>12</v>
      </c>
      <c r="H51" s="2">
        <v>5.7</v>
      </c>
      <c r="J51" s="12">
        <v>12.7</v>
      </c>
      <c r="K51" s="2">
        <v>5.7</v>
      </c>
      <c r="M51" s="72" t="s">
        <v>378</v>
      </c>
      <c r="N51" s="19">
        <v>5.7</v>
      </c>
      <c r="P51" s="3">
        <v>25</v>
      </c>
      <c r="Q51" s="19">
        <v>5.7</v>
      </c>
      <c r="S51" s="8">
        <v>2660</v>
      </c>
      <c r="T51" s="2">
        <v>5.7</v>
      </c>
      <c r="V51" s="8">
        <v>2485</v>
      </c>
      <c r="W51" s="2">
        <v>5.7</v>
      </c>
      <c r="Y51" s="3">
        <v>125</v>
      </c>
      <c r="Z51" s="2">
        <v>5.7</v>
      </c>
      <c r="AB51" s="8">
        <v>115</v>
      </c>
      <c r="AC51" s="2">
        <v>5.7</v>
      </c>
      <c r="AE51" s="8">
        <v>421</v>
      </c>
      <c r="AF51" s="2">
        <v>5.7</v>
      </c>
      <c r="AH51" s="8">
        <v>398</v>
      </c>
      <c r="AI51" s="2">
        <v>5.7</v>
      </c>
      <c r="AK51" s="12">
        <v>40.299999999999997</v>
      </c>
      <c r="AL51" s="2">
        <v>5.7</v>
      </c>
      <c r="AN51" s="12">
        <v>29.9</v>
      </c>
      <c r="AO51" s="2">
        <v>5.7</v>
      </c>
      <c r="AQ51" s="16">
        <v>7.8</v>
      </c>
      <c r="AR51" s="2">
        <v>5.7</v>
      </c>
      <c r="AT51" s="12">
        <v>6.7</v>
      </c>
      <c r="AU51" s="2">
        <v>5.7</v>
      </c>
      <c r="AW51" s="12">
        <v>23.1</v>
      </c>
      <c r="AX51" s="2">
        <v>5.7</v>
      </c>
      <c r="AZ51" s="12">
        <v>17.399999999999999</v>
      </c>
      <c r="BA51" s="2">
        <v>5.7</v>
      </c>
    </row>
    <row r="52" spans="1:53">
      <c r="A52" s="12">
        <v>9.0500000000000007</v>
      </c>
      <c r="B52" s="2">
        <v>5.8</v>
      </c>
      <c r="D52" s="12">
        <v>9.5</v>
      </c>
      <c r="E52" s="2">
        <v>5.8</v>
      </c>
      <c r="G52" s="12">
        <v>11.9</v>
      </c>
      <c r="H52" s="2">
        <v>5.8</v>
      </c>
      <c r="J52" s="12">
        <v>12.6</v>
      </c>
      <c r="K52" s="2">
        <v>5.8</v>
      </c>
      <c r="M52" s="72">
        <v>27</v>
      </c>
      <c r="N52" s="19">
        <v>5.8</v>
      </c>
      <c r="P52" s="3" t="s">
        <v>378</v>
      </c>
      <c r="Q52" s="19">
        <v>5.8</v>
      </c>
      <c r="S52" s="8">
        <v>2690</v>
      </c>
      <c r="T52" s="2">
        <v>5.8</v>
      </c>
      <c r="V52" s="8">
        <v>2515</v>
      </c>
      <c r="W52" s="2">
        <v>5.8</v>
      </c>
      <c r="Y52" s="3">
        <v>127</v>
      </c>
      <c r="Z52" s="2">
        <v>5.8</v>
      </c>
      <c r="AB52" s="8">
        <v>117</v>
      </c>
      <c r="AC52" s="2">
        <v>5.8</v>
      </c>
      <c r="AE52" s="8">
        <v>424</v>
      </c>
      <c r="AF52" s="2">
        <v>5.8</v>
      </c>
      <c r="AH52" s="8">
        <v>402</v>
      </c>
      <c r="AI52" s="2">
        <v>5.8</v>
      </c>
      <c r="AK52" s="12">
        <v>41.2</v>
      </c>
      <c r="AL52" s="2">
        <v>5.8</v>
      </c>
      <c r="AN52" s="12">
        <v>30.8</v>
      </c>
      <c r="AO52" s="2">
        <v>5.8</v>
      </c>
      <c r="AQ52" s="16">
        <v>8</v>
      </c>
      <c r="AR52" s="2">
        <v>5.8</v>
      </c>
      <c r="AT52" s="12">
        <v>6.8</v>
      </c>
      <c r="AU52" s="2">
        <v>5.8</v>
      </c>
      <c r="AW52" s="12">
        <v>23.4</v>
      </c>
      <c r="AX52" s="2">
        <v>5.8</v>
      </c>
      <c r="AZ52" s="12">
        <v>17.600000000000001</v>
      </c>
      <c r="BA52" s="2">
        <v>5.8</v>
      </c>
    </row>
    <row r="53" spans="1:53">
      <c r="A53" s="12">
        <v>9</v>
      </c>
      <c r="B53" s="2">
        <v>5.9</v>
      </c>
      <c r="D53" s="12">
        <v>9.4499999999999993</v>
      </c>
      <c r="E53" s="2">
        <v>5.9</v>
      </c>
      <c r="G53" s="12">
        <v>11.85</v>
      </c>
      <c r="H53" s="2">
        <v>5.9</v>
      </c>
      <c r="J53" s="12">
        <v>12.5</v>
      </c>
      <c r="K53" s="2">
        <v>5.9</v>
      </c>
      <c r="M53" s="72" t="s">
        <v>378</v>
      </c>
      <c r="N53" s="19">
        <v>5.9</v>
      </c>
      <c r="P53" s="3" t="s">
        <v>378</v>
      </c>
      <c r="Q53" s="19">
        <v>5.9</v>
      </c>
      <c r="S53" s="8">
        <v>2720</v>
      </c>
      <c r="T53" s="2">
        <v>5.9</v>
      </c>
      <c r="V53" s="8">
        <v>2545</v>
      </c>
      <c r="W53" s="2">
        <v>5.9</v>
      </c>
      <c r="Y53" s="3">
        <v>129</v>
      </c>
      <c r="Z53" s="2">
        <v>5.9</v>
      </c>
      <c r="AB53" s="8">
        <v>119</v>
      </c>
      <c r="AC53" s="2">
        <v>5.9</v>
      </c>
      <c r="AE53" s="8">
        <v>427</v>
      </c>
      <c r="AF53" s="2">
        <v>5.9</v>
      </c>
      <c r="AH53" s="8">
        <v>406</v>
      </c>
      <c r="AI53" s="2">
        <v>5.9</v>
      </c>
      <c r="AK53" s="12">
        <v>42.1</v>
      </c>
      <c r="AL53" s="2">
        <v>5.9</v>
      </c>
      <c r="AN53" s="12">
        <v>31.6</v>
      </c>
      <c r="AO53" s="2">
        <v>5.9</v>
      </c>
      <c r="AQ53" s="16">
        <v>8.1</v>
      </c>
      <c r="AR53" s="2">
        <v>5.9</v>
      </c>
      <c r="AT53" s="12">
        <v>6.9</v>
      </c>
      <c r="AU53" s="2">
        <v>5.9</v>
      </c>
      <c r="AW53" s="12">
        <v>23.7</v>
      </c>
      <c r="AX53" s="2">
        <v>5.9</v>
      </c>
      <c r="AZ53" s="12">
        <v>17.8</v>
      </c>
      <c r="BA53" s="2">
        <v>5.9</v>
      </c>
    </row>
    <row r="54" spans="1:53">
      <c r="A54" s="12">
        <v>8.9</v>
      </c>
      <c r="B54" s="2">
        <v>6</v>
      </c>
      <c r="D54" s="12">
        <v>9.4</v>
      </c>
      <c r="E54" s="2">
        <v>6</v>
      </c>
      <c r="G54" s="12">
        <v>11.8</v>
      </c>
      <c r="H54" s="2">
        <v>6</v>
      </c>
      <c r="J54" s="12">
        <v>12.4</v>
      </c>
      <c r="K54" s="2">
        <v>6</v>
      </c>
      <c r="M54" s="72">
        <v>27.5</v>
      </c>
      <c r="N54" s="52">
        <v>6</v>
      </c>
      <c r="P54" s="3">
        <v>25.5</v>
      </c>
      <c r="Q54" s="52">
        <v>6</v>
      </c>
      <c r="S54" s="8">
        <v>2750</v>
      </c>
      <c r="T54" s="2">
        <v>6</v>
      </c>
      <c r="V54" s="8">
        <v>2575</v>
      </c>
      <c r="W54" s="2">
        <v>6</v>
      </c>
      <c r="Y54" s="3">
        <v>130</v>
      </c>
      <c r="Z54" s="2">
        <v>6</v>
      </c>
      <c r="AB54" s="8">
        <v>120</v>
      </c>
      <c r="AC54" s="2">
        <v>6</v>
      </c>
      <c r="AE54" s="8">
        <v>430</v>
      </c>
      <c r="AF54" s="2">
        <v>6</v>
      </c>
      <c r="AH54" s="8">
        <v>410</v>
      </c>
      <c r="AI54" s="2">
        <v>6</v>
      </c>
      <c r="AK54" s="12">
        <v>43</v>
      </c>
      <c r="AL54" s="2">
        <v>6</v>
      </c>
      <c r="AN54" s="12">
        <v>32.5</v>
      </c>
      <c r="AO54" s="2">
        <v>6</v>
      </c>
      <c r="AQ54" s="16">
        <v>8.1999999999999993</v>
      </c>
      <c r="AR54" s="2">
        <v>6</v>
      </c>
      <c r="AT54" s="12">
        <v>7</v>
      </c>
      <c r="AU54" s="2">
        <v>6</v>
      </c>
      <c r="AW54" s="12">
        <v>24</v>
      </c>
      <c r="AX54" s="2">
        <v>6</v>
      </c>
      <c r="AZ54" s="12">
        <v>18</v>
      </c>
      <c r="BA54" s="2">
        <v>6</v>
      </c>
    </row>
    <row r="55" spans="1:53">
      <c r="A55" s="49"/>
      <c r="B55" s="2"/>
      <c r="D55" s="49"/>
      <c r="E55" s="2"/>
      <c r="G55" s="49"/>
      <c r="H55" s="2"/>
      <c r="J55" s="49"/>
      <c r="K55" s="2"/>
      <c r="M55" s="49"/>
      <c r="P55" s="54"/>
      <c r="Q55" s="2"/>
      <c r="S55" s="54"/>
      <c r="V55" s="54"/>
      <c r="W55" s="2"/>
      <c r="Y55" s="54"/>
      <c r="Z55" s="2"/>
      <c r="AB55" s="54"/>
      <c r="AC55" s="2"/>
      <c r="AE55" s="54"/>
      <c r="AF55" s="2"/>
      <c r="AH55" s="54"/>
      <c r="AI55" s="2"/>
      <c r="AK55" s="54"/>
      <c r="AL55" s="2"/>
      <c r="AN55" s="54"/>
      <c r="AO55" s="2"/>
      <c r="AQ55" s="54"/>
      <c r="AR55" s="2"/>
      <c r="AT55" s="54"/>
      <c r="AU55" s="2"/>
      <c r="AW55" s="49"/>
      <c r="AX55" s="2"/>
      <c r="AZ55" s="49"/>
      <c r="BA55" s="2"/>
    </row>
    <row r="56" spans="1:53">
      <c r="K56" s="2"/>
    </row>
  </sheetData>
  <sortState xmlns:xlrd2="http://schemas.microsoft.com/office/spreadsheetml/2017/richdata2" ref="N71:N111">
    <sortCondition ref="N70:N111"/>
  </sortState>
  <mergeCells count="18">
    <mergeCell ref="AZ2:BA2"/>
    <mergeCell ref="AK2:AL2"/>
    <mergeCell ref="AN2:AO2"/>
    <mergeCell ref="AQ2:AR2"/>
    <mergeCell ref="AT2:AU2"/>
    <mergeCell ref="AW2:AX2"/>
    <mergeCell ref="AH2:AI2"/>
    <mergeCell ref="S2:T2"/>
    <mergeCell ref="V2:W2"/>
    <mergeCell ref="M2:N2"/>
    <mergeCell ref="P2:Q2"/>
    <mergeCell ref="A2:B2"/>
    <mergeCell ref="D2:E2"/>
    <mergeCell ref="Y2:Z2"/>
    <mergeCell ref="AB2:AC2"/>
    <mergeCell ref="AE2:AF2"/>
    <mergeCell ref="G2:H2"/>
    <mergeCell ref="J2:K2"/>
  </mergeCells>
  <pageMargins left="0.7" right="0.7" top="0.78740157499999996" bottom="0.78740157499999996" header="0.3" footer="0.3"/>
  <pageSetup paperSize="9" orientation="portrait" verticalDpi="4294967295" r:id="rId1"/>
  <tableParts count="1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BA56"/>
  <sheetViews>
    <sheetView zoomScale="85" zoomScaleNormal="85" workbookViewId="0"/>
  </sheetViews>
  <sheetFormatPr baseColWidth="10" defaultColWidth="11.5703125" defaultRowHeight="15"/>
  <cols>
    <col min="3" max="3" width="1.140625" customWidth="1"/>
    <col min="6" max="6" width="2.7109375" customWidth="1"/>
    <col min="9" max="9" width="1.140625" customWidth="1"/>
    <col min="12" max="12" width="2.7109375" customWidth="1"/>
    <col min="15" max="15" width="1.140625" customWidth="1"/>
    <col min="18" max="18" width="2.7109375" customWidth="1"/>
    <col min="21" max="21" width="1.140625" customWidth="1"/>
    <col min="24" max="24" width="2.7109375" customWidth="1"/>
    <col min="26" max="26" width="11.5703125" customWidth="1"/>
    <col min="27" max="27" width="1.140625" customWidth="1"/>
    <col min="28" max="28" width="11.7109375" customWidth="1"/>
    <col min="30" max="30" width="2.7109375" customWidth="1"/>
    <col min="33" max="33" width="1.140625" customWidth="1"/>
    <col min="36" max="36" width="2.7109375" customWidth="1"/>
    <col min="39" max="39" width="1.140625" customWidth="1"/>
    <col min="42" max="42" width="2.7109375" customWidth="1"/>
    <col min="43" max="43" width="11.7109375" customWidth="1"/>
    <col min="45" max="45" width="1.140625" customWidth="1"/>
    <col min="46" max="46" width="11.7109375" customWidth="1"/>
    <col min="48" max="48" width="2.7109375" customWidth="1"/>
    <col min="49" max="49" width="11.7109375" customWidth="1"/>
    <col min="51" max="51" width="1.140625" customWidth="1"/>
    <col min="52" max="53" width="11.5703125" customWidth="1"/>
  </cols>
  <sheetData>
    <row r="1" spans="1:53">
      <c r="A1" s="4" t="str">
        <f>INDEX(StdDisziplinen[StdDisziplin],1)</f>
        <v>60-m-Lauf</v>
      </c>
      <c r="G1" s="4" t="str">
        <f>INDEX(StdDisziplinen[StdDisziplin],2)</f>
        <v>80-m-Lauf</v>
      </c>
      <c r="M1" s="4" t="str">
        <f>INDEX(StdDisziplinen[StdDisziplin],3)</f>
        <v>12-Min.-Lauf (Halle)</v>
      </c>
      <c r="S1" s="4" t="str">
        <f>INDEX(StdDisziplinen[StdDisziplin],4)</f>
        <v>12-Min.-Lauf (im Freien)</v>
      </c>
      <c r="Y1" s="4" t="str">
        <f>INDEX(StdDisziplinen[StdDisziplin],5)</f>
        <v>Hochsprung</v>
      </c>
      <c r="AE1" s="4" t="str">
        <f>INDEX(StdDisziplinen[StdDisziplin],6)</f>
        <v>Weitsprung</v>
      </c>
      <c r="AK1" s="4" t="str">
        <f>INDEX(StdDisziplinen[StdDisziplin],7)</f>
        <v>Ballwurf</v>
      </c>
      <c r="AQ1" s="4" t="str">
        <f>INDEX(StdDisziplinen[StdDisziplin],8)</f>
        <v>Kugelstossen</v>
      </c>
      <c r="AW1" s="4" t="str">
        <f>INDEX(StdDisziplinen[StdDisziplin],9)</f>
        <v>Speerwurf</v>
      </c>
    </row>
    <row r="2" spans="1:53">
      <c r="A2" s="90" t="str">
        <f>Stammdaten!$F$6</f>
        <v>Knaben_K2</v>
      </c>
      <c r="B2" s="90"/>
      <c r="C2" s="5"/>
      <c r="D2" s="90" t="str">
        <f>Stammdaten!$F$7</f>
        <v>Mädchen_M2</v>
      </c>
      <c r="E2" s="90"/>
      <c r="G2" s="90" t="str">
        <f>$A$2</f>
        <v>Knaben_K2</v>
      </c>
      <c r="H2" s="90"/>
      <c r="I2" s="5"/>
      <c r="J2" s="90" t="str">
        <f>$D$2</f>
        <v>Mädchen_M2</v>
      </c>
      <c r="K2" s="90"/>
      <c r="M2" s="90" t="str">
        <f>$A$2</f>
        <v>Knaben_K2</v>
      </c>
      <c r="N2" s="90"/>
      <c r="O2" s="5"/>
      <c r="P2" s="90" t="str">
        <f>$D$2</f>
        <v>Mädchen_M2</v>
      </c>
      <c r="Q2" s="90"/>
      <c r="S2" s="90" t="str">
        <f>$A$2</f>
        <v>Knaben_K2</v>
      </c>
      <c r="T2" s="90"/>
      <c r="U2" s="5"/>
      <c r="V2" s="90" t="str">
        <f>$D$2</f>
        <v>Mädchen_M2</v>
      </c>
      <c r="W2" s="90"/>
      <c r="Y2" s="90" t="str">
        <f>$A$2</f>
        <v>Knaben_K2</v>
      </c>
      <c r="Z2" s="90"/>
      <c r="AA2" s="5"/>
      <c r="AB2" s="90" t="str">
        <f>$D$2</f>
        <v>Mädchen_M2</v>
      </c>
      <c r="AC2" s="90"/>
      <c r="AE2" s="90" t="str">
        <f>$A$2</f>
        <v>Knaben_K2</v>
      </c>
      <c r="AF2" s="90"/>
      <c r="AG2" s="5"/>
      <c r="AH2" s="90" t="str">
        <f>$D$2</f>
        <v>Mädchen_M2</v>
      </c>
      <c r="AI2" s="90"/>
      <c r="AK2" s="90" t="str">
        <f>$A$2</f>
        <v>Knaben_K2</v>
      </c>
      <c r="AL2" s="90"/>
      <c r="AM2" s="5"/>
      <c r="AN2" s="90" t="str">
        <f>$D$2</f>
        <v>Mädchen_M2</v>
      </c>
      <c r="AO2" s="90"/>
      <c r="AQ2" s="90" t="str">
        <f>$A$2</f>
        <v>Knaben_K2</v>
      </c>
      <c r="AR2" s="90"/>
      <c r="AS2" s="5"/>
      <c r="AT2" s="90" t="str">
        <f>$D$2</f>
        <v>Mädchen_M2</v>
      </c>
      <c r="AU2" s="90"/>
      <c r="AW2" s="90" t="str">
        <f>$A$2</f>
        <v>Knaben_K2</v>
      </c>
      <c r="AX2" s="90"/>
      <c r="AY2" s="5"/>
      <c r="AZ2" s="90" t="str">
        <f>$D$2</f>
        <v>Mädchen_M2</v>
      </c>
      <c r="BA2" s="90"/>
    </row>
    <row r="3" spans="1:53">
      <c r="A3" s="1" t="s">
        <v>22</v>
      </c>
      <c r="B3" s="1" t="s">
        <v>7</v>
      </c>
      <c r="D3" s="1" t="s">
        <v>22</v>
      </c>
      <c r="E3" s="1" t="s">
        <v>7</v>
      </c>
      <c r="G3" s="1" t="s">
        <v>22</v>
      </c>
      <c r="H3" s="1" t="s">
        <v>7</v>
      </c>
      <c r="J3" s="1" t="s">
        <v>22</v>
      </c>
      <c r="K3" s="1" t="s">
        <v>7</v>
      </c>
      <c r="M3" s="1" t="s">
        <v>22</v>
      </c>
      <c r="N3" s="1" t="s">
        <v>7</v>
      </c>
      <c r="P3" s="1" t="s">
        <v>22</v>
      </c>
      <c r="Q3" s="1" t="s">
        <v>7</v>
      </c>
      <c r="S3" s="1" t="s">
        <v>22</v>
      </c>
      <c r="T3" s="1" t="s">
        <v>7</v>
      </c>
      <c r="V3" s="1" t="s">
        <v>22</v>
      </c>
      <c r="W3" s="1" t="s">
        <v>7</v>
      </c>
      <c r="Y3" s="1" t="s">
        <v>22</v>
      </c>
      <c r="Z3" s="1" t="s">
        <v>7</v>
      </c>
      <c r="AB3" s="6" t="s">
        <v>22</v>
      </c>
      <c r="AC3" s="1" t="s">
        <v>7</v>
      </c>
      <c r="AE3" s="1" t="s">
        <v>22</v>
      </c>
      <c r="AF3" s="1" t="s">
        <v>7</v>
      </c>
      <c r="AH3" s="6" t="s">
        <v>22</v>
      </c>
      <c r="AI3" s="1" t="s">
        <v>7</v>
      </c>
      <c r="AK3" s="1" t="s">
        <v>22</v>
      </c>
      <c r="AL3" s="1" t="s">
        <v>7</v>
      </c>
      <c r="AN3" s="6" t="s">
        <v>22</v>
      </c>
      <c r="AO3" s="1" t="s">
        <v>7</v>
      </c>
      <c r="AQ3" s="1" t="s">
        <v>22</v>
      </c>
      <c r="AR3" s="1" t="s">
        <v>7</v>
      </c>
      <c r="AT3" s="6" t="s">
        <v>22</v>
      </c>
      <c r="AU3" s="1" t="s">
        <v>7</v>
      </c>
      <c r="AW3" s="1" t="s">
        <v>22</v>
      </c>
      <c r="AX3" s="1" t="s">
        <v>7</v>
      </c>
      <c r="AZ3" s="6" t="s">
        <v>22</v>
      </c>
      <c r="BA3" s="1" t="s">
        <v>7</v>
      </c>
    </row>
    <row r="4" spans="1:53">
      <c r="A4" s="12"/>
      <c r="B4" s="2"/>
      <c r="G4" s="12"/>
      <c r="H4" s="2"/>
      <c r="J4" s="12"/>
      <c r="K4" s="2"/>
      <c r="M4" s="2"/>
      <c r="N4" s="2"/>
      <c r="P4" s="2"/>
      <c r="Q4" s="2"/>
      <c r="S4" s="8"/>
      <c r="T4" s="2"/>
      <c r="V4" s="8"/>
      <c r="W4" s="2"/>
      <c r="Y4" s="8"/>
      <c r="Z4" s="2"/>
      <c r="AB4" s="8"/>
      <c r="AC4" s="2"/>
      <c r="AE4" s="8"/>
      <c r="AF4" s="2"/>
      <c r="AH4" s="8"/>
      <c r="AI4" s="2"/>
      <c r="AK4" s="8"/>
      <c r="AL4" s="2"/>
      <c r="AN4" s="8"/>
      <c r="AO4" s="2"/>
      <c r="AQ4" s="8"/>
      <c r="AR4" s="2"/>
      <c r="AT4" s="8"/>
      <c r="AU4" s="2"/>
      <c r="AW4" s="8"/>
      <c r="AX4" s="2"/>
      <c r="AZ4" s="8"/>
      <c r="BA4" s="2"/>
    </row>
    <row r="5" spans="1:53">
      <c r="A5" s="12"/>
      <c r="B5" s="2"/>
      <c r="G5" s="12"/>
      <c r="H5" s="2"/>
      <c r="J5" s="12"/>
      <c r="K5" s="2"/>
      <c r="M5" s="2"/>
      <c r="N5" s="2"/>
      <c r="P5" s="2"/>
      <c r="Q5" s="2"/>
      <c r="S5" s="8"/>
      <c r="T5" s="2"/>
      <c r="V5" s="8"/>
      <c r="W5" s="2"/>
      <c r="Y5" s="8"/>
      <c r="Z5" s="2"/>
      <c r="AB5" s="8"/>
      <c r="AC5" s="2"/>
      <c r="AE5" s="8"/>
      <c r="AF5" s="2"/>
      <c r="AH5" s="8"/>
      <c r="AI5" s="2"/>
      <c r="AK5" s="8"/>
      <c r="AL5" s="2"/>
      <c r="AN5" s="8"/>
      <c r="AO5" s="2"/>
      <c r="AQ5" s="8"/>
      <c r="AR5" s="2"/>
      <c r="AT5" s="8"/>
      <c r="AU5" s="2"/>
      <c r="AW5" s="8"/>
      <c r="AX5" s="2"/>
      <c r="AZ5" s="8"/>
      <c r="BA5" s="2"/>
    </row>
    <row r="6" spans="1:53">
      <c r="A6" s="12"/>
      <c r="B6" s="2"/>
      <c r="G6" s="12"/>
      <c r="H6" s="2"/>
      <c r="J6" s="12"/>
      <c r="K6" s="2"/>
      <c r="M6" s="2"/>
      <c r="N6" s="2"/>
      <c r="P6" s="2"/>
      <c r="Q6" s="2"/>
      <c r="S6" s="8"/>
      <c r="T6" s="2"/>
      <c r="V6" s="8"/>
      <c r="W6" s="2"/>
      <c r="Y6" s="8"/>
      <c r="Z6" s="2"/>
      <c r="AB6" s="8"/>
      <c r="AC6" s="2"/>
      <c r="AE6" s="8"/>
      <c r="AF6" s="2"/>
      <c r="AH6" s="8"/>
      <c r="AI6" s="2"/>
      <c r="AK6" s="8"/>
      <c r="AL6" s="2"/>
      <c r="AN6" s="8"/>
      <c r="AO6" s="2"/>
      <c r="AQ6" s="8"/>
      <c r="AR6" s="2"/>
      <c r="AT6" s="8"/>
      <c r="AU6" s="2"/>
      <c r="AW6" s="8"/>
      <c r="AX6" s="2"/>
      <c r="AZ6" s="8"/>
      <c r="BA6" s="2"/>
    </row>
    <row r="7" spans="1:53">
      <c r="A7" s="12"/>
      <c r="B7" s="2"/>
      <c r="G7" s="12"/>
      <c r="H7" s="2"/>
      <c r="J7" s="12"/>
      <c r="K7" s="2"/>
      <c r="M7" s="2"/>
      <c r="N7" s="2"/>
      <c r="P7" s="2"/>
      <c r="Q7" s="2"/>
      <c r="S7" s="8"/>
      <c r="T7" s="2"/>
      <c r="V7" s="8"/>
      <c r="W7" s="2"/>
      <c r="Y7" s="8"/>
      <c r="Z7" s="2"/>
      <c r="AB7" s="8"/>
      <c r="AC7" s="2"/>
      <c r="AE7" s="8"/>
      <c r="AF7" s="2"/>
      <c r="AH7" s="8"/>
      <c r="AI7" s="2"/>
      <c r="AK7" s="8"/>
      <c r="AL7" s="2"/>
      <c r="AN7" s="8"/>
      <c r="AO7" s="2"/>
      <c r="AQ7" s="8"/>
      <c r="AR7" s="2"/>
      <c r="AT7" s="8"/>
      <c r="AU7" s="2"/>
      <c r="AW7" s="8"/>
      <c r="AX7" s="2"/>
      <c r="AZ7" s="8"/>
      <c r="BA7" s="2"/>
    </row>
    <row r="8" spans="1:53">
      <c r="A8" s="12"/>
      <c r="B8" s="2"/>
      <c r="G8" s="12"/>
      <c r="H8" s="2"/>
      <c r="J8" s="12"/>
      <c r="K8" s="2"/>
      <c r="M8" s="2"/>
      <c r="N8" s="2"/>
      <c r="P8" s="2"/>
      <c r="Q8" s="2"/>
      <c r="S8" s="8"/>
      <c r="T8" s="2"/>
      <c r="V8" s="8"/>
      <c r="W8" s="2"/>
      <c r="Y8" s="8"/>
      <c r="Z8" s="2"/>
      <c r="AB8" s="8"/>
      <c r="AC8" s="2"/>
      <c r="AE8" s="8"/>
      <c r="AF8" s="2"/>
      <c r="AH8" s="8"/>
      <c r="AI8" s="2"/>
      <c r="AK8" s="8"/>
      <c r="AL8" s="2"/>
      <c r="AN8" s="8"/>
      <c r="AO8" s="2"/>
      <c r="AQ8" s="8"/>
      <c r="AR8" s="2"/>
      <c r="AT8" s="8"/>
      <c r="AU8" s="2"/>
      <c r="AW8" s="8"/>
      <c r="AX8" s="2"/>
      <c r="AZ8" s="8"/>
      <c r="BA8" s="2"/>
    </row>
    <row r="9" spans="1:53">
      <c r="A9" s="12"/>
      <c r="B9" s="2"/>
      <c r="G9" s="12"/>
      <c r="H9" s="2"/>
      <c r="J9" s="12"/>
      <c r="K9" s="2"/>
      <c r="M9" s="2"/>
      <c r="N9" s="2"/>
      <c r="P9" s="2"/>
      <c r="Q9" s="2"/>
      <c r="S9" s="8"/>
      <c r="T9" s="2"/>
      <c r="V9" s="8"/>
      <c r="W9" s="2"/>
      <c r="Y9" s="8"/>
      <c r="Z9" s="2"/>
      <c r="AB9" s="8"/>
      <c r="AC9" s="2"/>
      <c r="AE9" s="8"/>
      <c r="AF9" s="2"/>
      <c r="AH9" s="8"/>
      <c r="AI9" s="2"/>
      <c r="AK9" s="8"/>
      <c r="AL9" s="2"/>
      <c r="AN9" s="8"/>
      <c r="AO9" s="2"/>
      <c r="AQ9" s="8"/>
      <c r="AR9" s="2"/>
      <c r="AT9" s="8"/>
      <c r="AU9" s="2"/>
      <c r="AW9" s="8"/>
      <c r="AX9" s="2"/>
      <c r="AZ9" s="8"/>
      <c r="BA9" s="2"/>
    </row>
    <row r="10" spans="1:53">
      <c r="A10" s="12"/>
      <c r="B10" s="2"/>
      <c r="G10" s="12"/>
      <c r="H10" s="2"/>
      <c r="J10" s="12"/>
      <c r="K10" s="2"/>
      <c r="M10" s="2"/>
      <c r="N10" s="2"/>
      <c r="P10" s="2"/>
      <c r="Q10" s="2"/>
      <c r="S10" s="8"/>
      <c r="T10" s="2"/>
      <c r="V10" s="8"/>
      <c r="W10" s="2"/>
      <c r="Y10" s="8"/>
      <c r="Z10" s="2"/>
      <c r="AB10" s="8"/>
      <c r="AC10" s="2"/>
      <c r="AE10" s="8"/>
      <c r="AF10" s="2"/>
      <c r="AH10" s="8"/>
      <c r="AI10" s="2"/>
      <c r="AK10" s="8"/>
      <c r="AL10" s="2"/>
      <c r="AN10" s="8"/>
      <c r="AO10" s="2"/>
      <c r="AQ10" s="8"/>
      <c r="AR10" s="2"/>
      <c r="AT10" s="8"/>
      <c r="AU10" s="2"/>
      <c r="AW10" s="8"/>
      <c r="AX10" s="2"/>
      <c r="AZ10" s="8"/>
      <c r="BA10" s="2"/>
    </row>
    <row r="11" spans="1:53">
      <c r="A11" s="12"/>
      <c r="B11" s="2"/>
      <c r="G11" s="12"/>
      <c r="H11" s="2"/>
      <c r="J11" s="12"/>
      <c r="K11" s="2"/>
      <c r="M11" s="2"/>
      <c r="N11" s="2"/>
      <c r="P11" s="2"/>
      <c r="Q11" s="2"/>
      <c r="S11" s="8"/>
      <c r="T11" s="2"/>
      <c r="V11" s="8"/>
      <c r="W11" s="2"/>
      <c r="Y11" s="8"/>
      <c r="Z11" s="2"/>
      <c r="AB11" s="8"/>
      <c r="AC11" s="2"/>
      <c r="AE11" s="8"/>
      <c r="AF11" s="2"/>
      <c r="AH11" s="8"/>
      <c r="AI11" s="2"/>
      <c r="AK11" s="8"/>
      <c r="AL11" s="2"/>
      <c r="AN11" s="8"/>
      <c r="AO11" s="2"/>
      <c r="AQ11" s="8"/>
      <c r="AR11" s="2"/>
      <c r="AT11" s="8"/>
      <c r="AU11" s="2"/>
      <c r="AW11" s="8"/>
      <c r="AX11" s="2"/>
      <c r="AZ11" s="8"/>
      <c r="BA11" s="2"/>
    </row>
    <row r="12" spans="1:53">
      <c r="A12" s="12"/>
      <c r="B12" s="2"/>
      <c r="G12" s="12"/>
      <c r="H12" s="2"/>
      <c r="J12" s="12"/>
      <c r="K12" s="2"/>
      <c r="M12" s="2"/>
      <c r="N12" s="2"/>
      <c r="P12" s="2"/>
      <c r="Q12" s="2"/>
      <c r="S12" s="8"/>
      <c r="T12" s="2"/>
      <c r="V12" s="8"/>
      <c r="W12" s="2"/>
      <c r="Y12" s="8"/>
      <c r="Z12" s="2"/>
      <c r="AB12" s="8"/>
      <c r="AC12" s="2"/>
      <c r="AE12" s="8"/>
      <c r="AF12" s="2"/>
      <c r="AH12" s="8"/>
      <c r="AI12" s="2"/>
      <c r="AK12" s="8"/>
      <c r="AL12" s="2"/>
      <c r="AN12" s="8"/>
      <c r="AO12" s="2"/>
      <c r="AQ12" s="8"/>
      <c r="AR12" s="2"/>
      <c r="AT12" s="8"/>
      <c r="AU12" s="2"/>
      <c r="AW12" s="8"/>
      <c r="AX12" s="2"/>
      <c r="AZ12" s="8"/>
      <c r="BA12" s="2"/>
    </row>
    <row r="13" spans="1:53">
      <c r="A13" s="12"/>
      <c r="B13" s="2"/>
      <c r="G13" s="12"/>
      <c r="H13" s="2"/>
      <c r="J13" s="12"/>
      <c r="K13" s="2"/>
      <c r="M13" s="2"/>
      <c r="N13" s="2"/>
      <c r="P13" s="2"/>
      <c r="Q13" s="2"/>
      <c r="S13" s="8"/>
      <c r="T13" s="2"/>
      <c r="V13" s="8"/>
      <c r="W13" s="2"/>
      <c r="Y13" s="8"/>
      <c r="Z13" s="2"/>
      <c r="AB13" s="8"/>
      <c r="AC13" s="2"/>
      <c r="AE13" s="8"/>
      <c r="AF13" s="2"/>
      <c r="AH13" s="8"/>
      <c r="AI13" s="2"/>
      <c r="AK13" s="8"/>
      <c r="AL13" s="2"/>
      <c r="AN13" s="8"/>
      <c r="AO13" s="2"/>
      <c r="AQ13" s="8"/>
      <c r="AR13" s="2"/>
      <c r="AT13" s="8"/>
      <c r="AU13" s="2"/>
      <c r="AW13" s="8"/>
      <c r="AX13" s="2"/>
      <c r="AZ13" s="8"/>
      <c r="BA13" s="2"/>
    </row>
    <row r="14" spans="1:53">
      <c r="A14" s="12">
        <v>13.2</v>
      </c>
      <c r="B14" s="2">
        <v>2</v>
      </c>
      <c r="D14" s="12">
        <v>13.8</v>
      </c>
      <c r="E14" s="2">
        <v>2</v>
      </c>
      <c r="G14" s="51">
        <v>16.3</v>
      </c>
      <c r="H14" s="2">
        <v>2</v>
      </c>
      <c r="J14" s="51">
        <v>17.3</v>
      </c>
      <c r="K14" s="2">
        <v>2</v>
      </c>
      <c r="M14" s="2">
        <v>13.5</v>
      </c>
      <c r="N14" s="2">
        <v>2</v>
      </c>
      <c r="P14" s="2">
        <v>12</v>
      </c>
      <c r="Q14" s="2">
        <v>2</v>
      </c>
      <c r="S14" s="8">
        <v>1310</v>
      </c>
      <c r="T14" s="2">
        <v>2</v>
      </c>
      <c r="V14" s="8">
        <v>1110</v>
      </c>
      <c r="W14" s="2">
        <v>2</v>
      </c>
      <c r="Y14" s="8">
        <v>80</v>
      </c>
      <c r="Z14" s="2">
        <v>2</v>
      </c>
      <c r="AB14" s="8">
        <v>70</v>
      </c>
      <c r="AC14" s="2">
        <v>2</v>
      </c>
      <c r="AE14" s="8">
        <v>210</v>
      </c>
      <c r="AF14" s="2">
        <v>2</v>
      </c>
      <c r="AH14" s="8">
        <v>190</v>
      </c>
      <c r="AI14" s="2">
        <v>2</v>
      </c>
      <c r="AK14" s="12">
        <v>10</v>
      </c>
      <c r="AL14" s="2">
        <v>2</v>
      </c>
      <c r="AN14" s="12">
        <v>7</v>
      </c>
      <c r="AO14" s="2">
        <v>2</v>
      </c>
      <c r="AQ14" s="12">
        <v>3</v>
      </c>
      <c r="AR14" s="2">
        <v>2</v>
      </c>
      <c r="AT14" s="12">
        <v>2.5</v>
      </c>
      <c r="AU14" s="2">
        <v>2</v>
      </c>
      <c r="AW14" s="12">
        <v>8.5</v>
      </c>
      <c r="AX14" s="2">
        <v>2</v>
      </c>
      <c r="AZ14" s="12">
        <v>6.5</v>
      </c>
      <c r="BA14" s="2">
        <v>2</v>
      </c>
    </row>
    <row r="15" spans="1:53">
      <c r="A15" s="12">
        <v>13.05</v>
      </c>
      <c r="B15" s="2">
        <v>2.1</v>
      </c>
      <c r="D15" s="12">
        <v>13.65</v>
      </c>
      <c r="E15" s="2">
        <v>2.1</v>
      </c>
      <c r="G15" s="51">
        <v>16.149999999999999</v>
      </c>
      <c r="H15" s="2">
        <v>2.1</v>
      </c>
      <c r="J15" s="51">
        <v>17.149999999999999</v>
      </c>
      <c r="K15" s="2">
        <v>2.1</v>
      </c>
      <c r="M15" s="2" t="s">
        <v>378</v>
      </c>
      <c r="N15" s="2">
        <v>2.1</v>
      </c>
      <c r="P15" s="2" t="s">
        <v>378</v>
      </c>
      <c r="Q15" s="2">
        <v>2.1</v>
      </c>
      <c r="S15" s="8">
        <v>1340</v>
      </c>
      <c r="T15" s="2">
        <v>2.1</v>
      </c>
      <c r="V15" s="8">
        <v>1140</v>
      </c>
      <c r="W15" s="2">
        <v>2.1</v>
      </c>
      <c r="Y15" s="8">
        <v>82</v>
      </c>
      <c r="Z15" s="2">
        <v>2.1</v>
      </c>
      <c r="AB15" s="8">
        <v>72</v>
      </c>
      <c r="AC15" s="2">
        <v>2.1</v>
      </c>
      <c r="AE15" s="8">
        <v>215</v>
      </c>
      <c r="AF15" s="2">
        <v>2.1</v>
      </c>
      <c r="AH15" s="8">
        <v>195</v>
      </c>
      <c r="AI15" s="2">
        <v>2.1</v>
      </c>
      <c r="AK15" s="12">
        <v>10.4</v>
      </c>
      <c r="AL15" s="2">
        <v>2.1</v>
      </c>
      <c r="AN15" s="12">
        <v>7.2</v>
      </c>
      <c r="AO15" s="2">
        <v>2.1</v>
      </c>
      <c r="AQ15" s="12">
        <v>3.1</v>
      </c>
      <c r="AR15" s="2">
        <v>2.1</v>
      </c>
      <c r="AT15" s="12">
        <v>2.6</v>
      </c>
      <c r="AU15" s="2">
        <v>2.1</v>
      </c>
      <c r="AW15" s="12">
        <v>8.8000000000000007</v>
      </c>
      <c r="AX15" s="2">
        <v>2.1</v>
      </c>
      <c r="AZ15" s="12">
        <v>6.7</v>
      </c>
      <c r="BA15" s="2">
        <v>2.1</v>
      </c>
    </row>
    <row r="16" spans="1:53">
      <c r="A16" s="12">
        <v>12.9</v>
      </c>
      <c r="B16" s="2">
        <v>2.2000000000000002</v>
      </c>
      <c r="D16" s="12">
        <v>13.5</v>
      </c>
      <c r="E16" s="2">
        <v>2.2000000000000002</v>
      </c>
      <c r="G16" s="51">
        <v>16</v>
      </c>
      <c r="H16" s="2">
        <v>2.2000000000000002</v>
      </c>
      <c r="J16" s="51">
        <v>17</v>
      </c>
      <c r="K16" s="2">
        <v>2.2000000000000002</v>
      </c>
      <c r="M16" s="2">
        <v>14</v>
      </c>
      <c r="N16" s="2">
        <v>2.2000000000000002</v>
      </c>
      <c r="P16" s="2">
        <v>12.5</v>
      </c>
      <c r="Q16" s="2">
        <v>2.2000000000000002</v>
      </c>
      <c r="S16" s="8">
        <v>1380</v>
      </c>
      <c r="T16" s="2">
        <v>2.2000000000000002</v>
      </c>
      <c r="V16" s="8">
        <v>1180</v>
      </c>
      <c r="W16" s="2">
        <v>2.2000000000000002</v>
      </c>
      <c r="Y16" s="8">
        <v>85</v>
      </c>
      <c r="Z16" s="2">
        <v>2.2000000000000002</v>
      </c>
      <c r="AB16" s="8">
        <v>75</v>
      </c>
      <c r="AC16" s="2">
        <v>2.2000000000000002</v>
      </c>
      <c r="AE16" s="8">
        <v>220</v>
      </c>
      <c r="AF16" s="2">
        <v>2.2000000000000002</v>
      </c>
      <c r="AH16" s="8">
        <v>200</v>
      </c>
      <c r="AI16" s="2">
        <v>2.2000000000000002</v>
      </c>
      <c r="AK16" s="12">
        <v>10.8</v>
      </c>
      <c r="AL16" s="2">
        <v>2.2000000000000002</v>
      </c>
      <c r="AN16" s="12">
        <v>7.4</v>
      </c>
      <c r="AO16" s="2">
        <v>2.2000000000000002</v>
      </c>
      <c r="AQ16" s="12">
        <v>3.2</v>
      </c>
      <c r="AR16" s="2">
        <v>2.2000000000000002</v>
      </c>
      <c r="AT16" s="12">
        <v>2.7</v>
      </c>
      <c r="AU16" s="2">
        <v>2.2000000000000002</v>
      </c>
      <c r="AW16" s="12">
        <v>9.1</v>
      </c>
      <c r="AX16" s="2">
        <v>2.2000000000000002</v>
      </c>
      <c r="AZ16" s="12">
        <v>6.9</v>
      </c>
      <c r="BA16" s="2">
        <v>2.2000000000000002</v>
      </c>
    </row>
    <row r="17" spans="1:53">
      <c r="A17" s="12">
        <v>12.8</v>
      </c>
      <c r="B17" s="2">
        <v>2.2999999999999998</v>
      </c>
      <c r="D17" s="12">
        <v>13.4</v>
      </c>
      <c r="E17" s="2">
        <v>2.2999999999999998</v>
      </c>
      <c r="G17" s="51">
        <v>15.9</v>
      </c>
      <c r="H17" s="2">
        <v>2.2999999999999998</v>
      </c>
      <c r="J17" s="51">
        <v>16.899999999999999</v>
      </c>
      <c r="K17" s="2">
        <v>2.2999999999999998</v>
      </c>
      <c r="M17" s="2" t="s">
        <v>378</v>
      </c>
      <c r="N17" s="2">
        <v>2.2999999999999998</v>
      </c>
      <c r="P17" s="2" t="s">
        <v>378</v>
      </c>
      <c r="Q17" s="2">
        <v>2.2999999999999998</v>
      </c>
      <c r="S17" s="8">
        <v>1420</v>
      </c>
      <c r="T17" s="2">
        <v>2.2999999999999998</v>
      </c>
      <c r="V17" s="8">
        <v>1220</v>
      </c>
      <c r="W17" s="2">
        <v>2.2999999999999998</v>
      </c>
      <c r="Y17" s="8">
        <v>86</v>
      </c>
      <c r="Z17" s="2">
        <v>2.2999999999999998</v>
      </c>
      <c r="AB17" s="8">
        <v>76</v>
      </c>
      <c r="AC17" s="2">
        <v>2.2999999999999998</v>
      </c>
      <c r="AE17" s="8">
        <v>225</v>
      </c>
      <c r="AF17" s="2">
        <v>2.2999999999999998</v>
      </c>
      <c r="AH17" s="8">
        <v>205</v>
      </c>
      <c r="AI17" s="2">
        <v>2.2999999999999998</v>
      </c>
      <c r="AK17" s="12">
        <v>11.2</v>
      </c>
      <c r="AL17" s="2">
        <v>2.2999999999999998</v>
      </c>
      <c r="AN17" s="12">
        <v>7.6</v>
      </c>
      <c r="AO17" s="2">
        <v>2.2999999999999998</v>
      </c>
      <c r="AQ17" s="12">
        <v>3.4</v>
      </c>
      <c r="AR17" s="2">
        <v>2.2999999999999998</v>
      </c>
      <c r="AT17" s="12">
        <v>2.9</v>
      </c>
      <c r="AU17" s="2">
        <v>2.2999999999999998</v>
      </c>
      <c r="AW17" s="12">
        <v>9.4</v>
      </c>
      <c r="AX17" s="2">
        <v>2.2999999999999998</v>
      </c>
      <c r="AZ17" s="12">
        <v>7.1</v>
      </c>
      <c r="BA17" s="2">
        <v>2.2999999999999998</v>
      </c>
    </row>
    <row r="18" spans="1:53">
      <c r="A18" s="12">
        <v>12.65</v>
      </c>
      <c r="B18" s="2">
        <v>2.4</v>
      </c>
      <c r="D18" s="12">
        <v>13.25</v>
      </c>
      <c r="E18" s="2">
        <v>2.4</v>
      </c>
      <c r="G18" s="51">
        <v>15.75</v>
      </c>
      <c r="H18" s="2">
        <v>2.4</v>
      </c>
      <c r="J18" s="51">
        <v>16.75</v>
      </c>
      <c r="K18" s="2">
        <v>2.4</v>
      </c>
      <c r="M18" s="2">
        <v>14.5</v>
      </c>
      <c r="N18" s="2">
        <v>2.4</v>
      </c>
      <c r="P18" s="2">
        <v>13</v>
      </c>
      <c r="Q18" s="2">
        <v>2.4</v>
      </c>
      <c r="S18" s="8">
        <v>1460</v>
      </c>
      <c r="T18" s="2">
        <v>2.4</v>
      </c>
      <c r="V18" s="8">
        <v>1260</v>
      </c>
      <c r="W18" s="2">
        <v>2.4</v>
      </c>
      <c r="Y18" s="8">
        <v>87</v>
      </c>
      <c r="Z18" s="2">
        <v>2.4</v>
      </c>
      <c r="AB18" s="8">
        <v>77</v>
      </c>
      <c r="AC18" s="2">
        <v>2.4</v>
      </c>
      <c r="AE18" s="8">
        <v>230</v>
      </c>
      <c r="AF18" s="2">
        <v>2.4</v>
      </c>
      <c r="AH18" s="8">
        <v>210</v>
      </c>
      <c r="AI18" s="2">
        <v>2.4</v>
      </c>
      <c r="AK18" s="12">
        <v>11.6</v>
      </c>
      <c r="AL18" s="2">
        <v>2.4</v>
      </c>
      <c r="AN18" s="12">
        <v>7.8</v>
      </c>
      <c r="AO18" s="2">
        <v>2.4</v>
      </c>
      <c r="AQ18" s="12">
        <v>3.5</v>
      </c>
      <c r="AR18" s="2">
        <v>2.4</v>
      </c>
      <c r="AT18" s="12">
        <v>3</v>
      </c>
      <c r="AU18" s="2">
        <v>2.4</v>
      </c>
      <c r="AW18" s="12">
        <v>9.6999999999999993</v>
      </c>
      <c r="AX18" s="2">
        <v>2.4</v>
      </c>
      <c r="AZ18" s="12">
        <v>7.3</v>
      </c>
      <c r="BA18" s="2">
        <v>2.4</v>
      </c>
    </row>
    <row r="19" spans="1:53">
      <c r="A19" s="12">
        <v>12.5</v>
      </c>
      <c r="B19" s="2">
        <v>2.5</v>
      </c>
      <c r="D19" s="12">
        <v>13.1</v>
      </c>
      <c r="E19" s="2">
        <v>2.5</v>
      </c>
      <c r="G19" s="51">
        <v>15.6</v>
      </c>
      <c r="H19" s="2">
        <v>2.5</v>
      </c>
      <c r="J19" s="51">
        <v>16.600000000000001</v>
      </c>
      <c r="K19" s="2">
        <v>2.5</v>
      </c>
      <c r="M19" s="2">
        <v>15</v>
      </c>
      <c r="N19" s="2">
        <v>2.5</v>
      </c>
      <c r="P19" s="2" t="s">
        <v>378</v>
      </c>
      <c r="Q19" s="2">
        <v>2.5</v>
      </c>
      <c r="S19" s="8">
        <v>1500</v>
      </c>
      <c r="T19" s="2">
        <v>2.5</v>
      </c>
      <c r="V19" s="8">
        <v>1300</v>
      </c>
      <c r="W19" s="2">
        <v>2.5</v>
      </c>
      <c r="Y19" s="8">
        <v>88</v>
      </c>
      <c r="Z19" s="2">
        <v>2.5</v>
      </c>
      <c r="AB19" s="8">
        <v>78</v>
      </c>
      <c r="AC19" s="2">
        <v>2.5</v>
      </c>
      <c r="AE19" s="8">
        <v>235</v>
      </c>
      <c r="AF19" s="2">
        <v>2.5</v>
      </c>
      <c r="AH19" s="8">
        <v>215</v>
      </c>
      <c r="AI19" s="2">
        <v>2.5</v>
      </c>
      <c r="AK19" s="12">
        <v>12</v>
      </c>
      <c r="AL19" s="2">
        <v>2.5</v>
      </c>
      <c r="AN19" s="12">
        <v>8</v>
      </c>
      <c r="AO19" s="2">
        <v>2.5</v>
      </c>
      <c r="AQ19" s="12">
        <v>3.6</v>
      </c>
      <c r="AR19" s="2">
        <v>2.5</v>
      </c>
      <c r="AT19" s="12">
        <v>3.1</v>
      </c>
      <c r="AU19" s="2">
        <v>2.5</v>
      </c>
      <c r="AW19" s="12">
        <v>10</v>
      </c>
      <c r="AX19" s="2">
        <v>2.5</v>
      </c>
      <c r="AZ19" s="12">
        <v>7.5</v>
      </c>
      <c r="BA19" s="2">
        <v>2.5</v>
      </c>
    </row>
    <row r="20" spans="1:53">
      <c r="A20" s="12">
        <v>12.35</v>
      </c>
      <c r="B20" s="2">
        <v>2.6</v>
      </c>
      <c r="D20" s="12">
        <v>12.95</v>
      </c>
      <c r="E20" s="2">
        <v>2.6</v>
      </c>
      <c r="G20" s="51">
        <v>15.45</v>
      </c>
      <c r="H20" s="2">
        <v>2.6</v>
      </c>
      <c r="J20" s="51">
        <v>16.45</v>
      </c>
      <c r="K20" s="2">
        <v>2.6</v>
      </c>
      <c r="M20" s="2" t="s">
        <v>378</v>
      </c>
      <c r="N20" s="2">
        <v>2.6</v>
      </c>
      <c r="P20" s="2">
        <v>14.5</v>
      </c>
      <c r="Q20" s="2">
        <v>2.6</v>
      </c>
      <c r="S20" s="8">
        <v>1540</v>
      </c>
      <c r="T20" s="2">
        <v>2.6</v>
      </c>
      <c r="V20" s="8">
        <v>1340</v>
      </c>
      <c r="W20" s="2">
        <v>2.6</v>
      </c>
      <c r="Y20" s="8">
        <v>89</v>
      </c>
      <c r="Z20" s="2">
        <v>2.6</v>
      </c>
      <c r="AB20" s="8">
        <v>79</v>
      </c>
      <c r="AC20" s="2">
        <v>2.6</v>
      </c>
      <c r="AE20" s="8">
        <v>240</v>
      </c>
      <c r="AF20" s="2">
        <v>2.6</v>
      </c>
      <c r="AH20" s="8">
        <v>220</v>
      </c>
      <c r="AI20" s="2">
        <v>2.6</v>
      </c>
      <c r="AK20" s="12">
        <v>12.6</v>
      </c>
      <c r="AL20" s="2">
        <v>2.6</v>
      </c>
      <c r="AN20" s="12">
        <v>8.1999999999999993</v>
      </c>
      <c r="AO20" s="2">
        <v>2.6</v>
      </c>
      <c r="AQ20" s="12">
        <v>3.7</v>
      </c>
      <c r="AR20" s="2">
        <v>2.6</v>
      </c>
      <c r="AT20" s="12">
        <v>3.2</v>
      </c>
      <c r="AU20" s="2">
        <v>2.6</v>
      </c>
      <c r="AW20" s="12">
        <v>10.3</v>
      </c>
      <c r="AX20" s="2">
        <v>2.6</v>
      </c>
      <c r="AZ20" s="12">
        <v>7.8</v>
      </c>
      <c r="BA20" s="2">
        <v>2.6</v>
      </c>
    </row>
    <row r="21" spans="1:53">
      <c r="A21" s="12">
        <v>12.2</v>
      </c>
      <c r="B21" s="2">
        <v>2.7</v>
      </c>
      <c r="D21" s="12">
        <v>12.8</v>
      </c>
      <c r="E21" s="2">
        <v>2.7</v>
      </c>
      <c r="G21" s="51">
        <v>15.3</v>
      </c>
      <c r="H21" s="2">
        <v>2.7</v>
      </c>
      <c r="J21" s="51">
        <v>16.3</v>
      </c>
      <c r="K21" s="2">
        <v>2.7</v>
      </c>
      <c r="M21" s="2">
        <v>15.5</v>
      </c>
      <c r="N21" s="2">
        <v>2.7</v>
      </c>
      <c r="P21" s="2">
        <v>14</v>
      </c>
      <c r="Q21" s="2">
        <v>2.7</v>
      </c>
      <c r="S21" s="8">
        <v>1580</v>
      </c>
      <c r="T21" s="2">
        <v>2.7</v>
      </c>
      <c r="V21" s="8">
        <v>1380</v>
      </c>
      <c r="W21" s="2">
        <v>2.7</v>
      </c>
      <c r="Y21" s="8">
        <v>90</v>
      </c>
      <c r="Z21" s="2">
        <v>2.7</v>
      </c>
      <c r="AB21" s="8">
        <v>80</v>
      </c>
      <c r="AC21" s="2">
        <v>2.7</v>
      </c>
      <c r="AE21" s="8">
        <v>245</v>
      </c>
      <c r="AF21" s="2">
        <v>2.7</v>
      </c>
      <c r="AH21" s="8">
        <v>225</v>
      </c>
      <c r="AI21" s="2">
        <v>2.7</v>
      </c>
      <c r="AK21" s="12">
        <v>13.2</v>
      </c>
      <c r="AL21" s="2">
        <v>2.7</v>
      </c>
      <c r="AN21" s="12">
        <v>8.4</v>
      </c>
      <c r="AO21" s="2">
        <v>2.7</v>
      </c>
      <c r="AQ21" s="12">
        <v>3.9</v>
      </c>
      <c r="AR21" s="2">
        <v>2.7</v>
      </c>
      <c r="AT21" s="12">
        <v>3.3</v>
      </c>
      <c r="AU21" s="2">
        <v>2.7</v>
      </c>
      <c r="AW21" s="12">
        <v>10.6</v>
      </c>
      <c r="AX21" s="2">
        <v>2.7</v>
      </c>
      <c r="AZ21" s="12">
        <v>8.1</v>
      </c>
      <c r="BA21" s="2">
        <v>2.7</v>
      </c>
    </row>
    <row r="22" spans="1:53">
      <c r="A22" s="12">
        <v>12</v>
      </c>
      <c r="B22" s="2">
        <v>2.8</v>
      </c>
      <c r="D22" s="12">
        <v>12.7</v>
      </c>
      <c r="E22" s="2">
        <v>2.8</v>
      </c>
      <c r="G22" s="51">
        <v>15.1</v>
      </c>
      <c r="H22" s="2">
        <v>2.8</v>
      </c>
      <c r="J22" s="51">
        <v>16.100000000000001</v>
      </c>
      <c r="K22" s="2">
        <v>2.8</v>
      </c>
      <c r="M22" s="2">
        <v>16</v>
      </c>
      <c r="N22" s="2">
        <v>2.8</v>
      </c>
      <c r="P22" s="2" t="s">
        <v>378</v>
      </c>
      <c r="Q22" s="2">
        <v>2.8</v>
      </c>
      <c r="S22" s="8">
        <v>1620</v>
      </c>
      <c r="T22" s="2">
        <v>2.8</v>
      </c>
      <c r="V22" s="8">
        <v>1420</v>
      </c>
      <c r="W22" s="2">
        <v>2.8</v>
      </c>
      <c r="Y22" s="8">
        <v>91</v>
      </c>
      <c r="Z22" s="2">
        <v>2.8</v>
      </c>
      <c r="AB22" s="8">
        <v>81</v>
      </c>
      <c r="AC22" s="2">
        <v>2.8</v>
      </c>
      <c r="AE22" s="8">
        <v>250</v>
      </c>
      <c r="AF22" s="2">
        <v>2.8</v>
      </c>
      <c r="AH22" s="8">
        <v>230</v>
      </c>
      <c r="AI22" s="2">
        <v>2.8</v>
      </c>
      <c r="AK22" s="12">
        <v>13.8</v>
      </c>
      <c r="AL22" s="2">
        <v>2.8</v>
      </c>
      <c r="AN22" s="12">
        <v>8.6</v>
      </c>
      <c r="AO22" s="2">
        <v>2.8</v>
      </c>
      <c r="AQ22" s="12">
        <v>4</v>
      </c>
      <c r="AR22" s="2">
        <v>2.8</v>
      </c>
      <c r="AT22" s="12">
        <v>3.5</v>
      </c>
      <c r="AU22" s="2">
        <v>2.8</v>
      </c>
      <c r="AW22" s="12">
        <v>10.9</v>
      </c>
      <c r="AX22" s="2">
        <v>2.8</v>
      </c>
      <c r="AZ22" s="12">
        <v>8.4</v>
      </c>
      <c r="BA22" s="2">
        <v>2.8</v>
      </c>
    </row>
    <row r="23" spans="1:53">
      <c r="A23" s="12">
        <v>11.85</v>
      </c>
      <c r="B23" s="2">
        <v>2.9</v>
      </c>
      <c r="D23" s="12">
        <v>12.55</v>
      </c>
      <c r="E23" s="2">
        <v>2.9</v>
      </c>
      <c r="G23" s="51">
        <v>14.95</v>
      </c>
      <c r="H23" s="2">
        <v>2.9</v>
      </c>
      <c r="J23" s="51">
        <v>15.95</v>
      </c>
      <c r="K23" s="2">
        <v>2.9</v>
      </c>
      <c r="M23" s="2">
        <v>16.5</v>
      </c>
      <c r="N23" s="2">
        <v>2.9</v>
      </c>
      <c r="P23" s="2">
        <v>14.5</v>
      </c>
      <c r="Q23" s="2">
        <v>2.9</v>
      </c>
      <c r="S23" s="8">
        <v>1660</v>
      </c>
      <c r="T23" s="2">
        <v>2.9</v>
      </c>
      <c r="V23" s="8">
        <v>1460</v>
      </c>
      <c r="W23" s="2">
        <v>2.9</v>
      </c>
      <c r="Y23" s="8">
        <v>92</v>
      </c>
      <c r="Z23" s="2">
        <v>2.9</v>
      </c>
      <c r="AB23" s="8">
        <v>82</v>
      </c>
      <c r="AC23" s="2">
        <v>2.9</v>
      </c>
      <c r="AE23" s="8">
        <v>255</v>
      </c>
      <c r="AF23" s="2">
        <v>2.9</v>
      </c>
      <c r="AH23" s="8">
        <v>235</v>
      </c>
      <c r="AI23" s="2">
        <v>2.9</v>
      </c>
      <c r="AK23" s="12">
        <v>14.4</v>
      </c>
      <c r="AL23" s="2">
        <v>2.9</v>
      </c>
      <c r="AN23" s="12">
        <v>8.8000000000000007</v>
      </c>
      <c r="AO23" s="2">
        <v>2.9</v>
      </c>
      <c r="AQ23" s="12">
        <v>4.2</v>
      </c>
      <c r="AR23" s="2">
        <v>2.9</v>
      </c>
      <c r="AT23" s="12">
        <v>3.6</v>
      </c>
      <c r="AU23" s="2">
        <v>2.9</v>
      </c>
      <c r="AW23" s="12">
        <v>11.2</v>
      </c>
      <c r="AX23" s="2">
        <v>2.9</v>
      </c>
      <c r="AZ23" s="12">
        <v>8.6999999999999993</v>
      </c>
      <c r="BA23" s="2">
        <v>2.9</v>
      </c>
    </row>
    <row r="24" spans="1:53">
      <c r="A24" s="16">
        <v>11.7</v>
      </c>
      <c r="B24" s="2">
        <v>3</v>
      </c>
      <c r="D24" s="12">
        <v>12.4</v>
      </c>
      <c r="E24" s="2">
        <v>3</v>
      </c>
      <c r="G24" s="51">
        <v>14.8</v>
      </c>
      <c r="H24" s="2">
        <v>3</v>
      </c>
      <c r="J24" s="51">
        <v>15.8</v>
      </c>
      <c r="K24" s="2">
        <v>3</v>
      </c>
      <c r="M24" s="2">
        <v>17</v>
      </c>
      <c r="N24" s="2">
        <v>3</v>
      </c>
      <c r="P24" s="2">
        <v>15</v>
      </c>
      <c r="Q24" s="2">
        <v>3</v>
      </c>
      <c r="S24" s="8">
        <v>1700</v>
      </c>
      <c r="T24" s="2">
        <v>3</v>
      </c>
      <c r="V24" s="8">
        <v>1500</v>
      </c>
      <c r="W24" s="2">
        <v>3</v>
      </c>
      <c r="Y24" s="8">
        <v>94</v>
      </c>
      <c r="Z24" s="2">
        <v>3</v>
      </c>
      <c r="AB24" s="8">
        <v>84</v>
      </c>
      <c r="AC24" s="2">
        <v>3</v>
      </c>
      <c r="AE24" s="8">
        <v>260</v>
      </c>
      <c r="AF24" s="2">
        <v>3</v>
      </c>
      <c r="AH24" s="8">
        <v>240</v>
      </c>
      <c r="AI24" s="2">
        <v>3</v>
      </c>
      <c r="AK24" s="12">
        <v>15</v>
      </c>
      <c r="AL24" s="2">
        <v>3</v>
      </c>
      <c r="AN24" s="12">
        <v>9</v>
      </c>
      <c r="AO24" s="2">
        <v>3</v>
      </c>
      <c r="AQ24" s="12">
        <v>4.3</v>
      </c>
      <c r="AR24" s="2">
        <v>3</v>
      </c>
      <c r="AT24" s="12">
        <v>3.7</v>
      </c>
      <c r="AU24" s="2">
        <v>3</v>
      </c>
      <c r="AW24" s="12">
        <v>11.5</v>
      </c>
      <c r="AX24" s="2">
        <v>3</v>
      </c>
      <c r="AZ24" s="12">
        <v>9</v>
      </c>
      <c r="BA24" s="2">
        <v>3</v>
      </c>
    </row>
    <row r="25" spans="1:53">
      <c r="A25" s="16">
        <v>11.6</v>
      </c>
      <c r="B25" s="2">
        <v>3.1</v>
      </c>
      <c r="D25" s="12">
        <v>12.3</v>
      </c>
      <c r="E25" s="2">
        <v>3.1</v>
      </c>
      <c r="G25" s="51">
        <v>14.7</v>
      </c>
      <c r="H25" s="2">
        <v>3.1</v>
      </c>
      <c r="J25" s="51">
        <v>15.65</v>
      </c>
      <c r="K25" s="2">
        <v>3.1</v>
      </c>
      <c r="M25" s="2" t="s">
        <v>378</v>
      </c>
      <c r="N25" s="2">
        <v>3.1</v>
      </c>
      <c r="P25" s="2" t="s">
        <v>378</v>
      </c>
      <c r="Q25" s="2">
        <v>3.1</v>
      </c>
      <c r="S25" s="8">
        <v>1740</v>
      </c>
      <c r="T25" s="2">
        <v>3.1</v>
      </c>
      <c r="V25" s="8">
        <v>1540</v>
      </c>
      <c r="W25" s="2">
        <v>3.1</v>
      </c>
      <c r="Y25" s="8">
        <v>95</v>
      </c>
      <c r="Z25" s="2">
        <v>3.1</v>
      </c>
      <c r="AB25" s="8">
        <v>85</v>
      </c>
      <c r="AC25" s="2">
        <v>3.1</v>
      </c>
      <c r="AE25" s="8">
        <v>267</v>
      </c>
      <c r="AF25" s="2">
        <v>3.1</v>
      </c>
      <c r="AH25" s="8">
        <v>247</v>
      </c>
      <c r="AI25" s="2">
        <v>3.1</v>
      </c>
      <c r="AK25" s="12">
        <v>16.2</v>
      </c>
      <c r="AL25" s="2">
        <v>3.1</v>
      </c>
      <c r="AN25" s="12">
        <v>9.8000000000000007</v>
      </c>
      <c r="AO25" s="2">
        <v>3.1</v>
      </c>
      <c r="AQ25" s="12">
        <v>4.4000000000000004</v>
      </c>
      <c r="AR25" s="2">
        <v>3.1</v>
      </c>
      <c r="AT25" s="12">
        <v>3.8</v>
      </c>
      <c r="AU25" s="2">
        <v>3.1</v>
      </c>
      <c r="AW25" s="12">
        <v>12</v>
      </c>
      <c r="AX25" s="2">
        <v>3.1</v>
      </c>
      <c r="AZ25" s="12">
        <v>9.3000000000000007</v>
      </c>
      <c r="BA25" s="2">
        <v>3.1</v>
      </c>
    </row>
    <row r="26" spans="1:53">
      <c r="A26" s="16">
        <v>11.5</v>
      </c>
      <c r="B26" s="2">
        <v>3.2</v>
      </c>
      <c r="D26" s="12">
        <v>12.2</v>
      </c>
      <c r="E26" s="2">
        <v>3.2</v>
      </c>
      <c r="G26" s="51">
        <v>14.55</v>
      </c>
      <c r="H26" s="2">
        <v>3.2</v>
      </c>
      <c r="J26" s="51">
        <v>15.5</v>
      </c>
      <c r="K26" s="2">
        <v>3.2</v>
      </c>
      <c r="M26" s="2">
        <v>17.5</v>
      </c>
      <c r="N26" s="2">
        <v>3.2</v>
      </c>
      <c r="P26" s="2">
        <v>15.5</v>
      </c>
      <c r="Q26" s="2">
        <v>3.2</v>
      </c>
      <c r="S26" s="8">
        <v>1780</v>
      </c>
      <c r="T26" s="2">
        <v>3.2</v>
      </c>
      <c r="V26" s="8">
        <v>1580</v>
      </c>
      <c r="W26" s="2">
        <v>3.2</v>
      </c>
      <c r="Y26" s="8">
        <v>97</v>
      </c>
      <c r="Z26" s="2">
        <v>3.2</v>
      </c>
      <c r="AB26" s="8">
        <v>87</v>
      </c>
      <c r="AC26" s="2">
        <v>3.2</v>
      </c>
      <c r="AE26" s="8">
        <v>274</v>
      </c>
      <c r="AF26" s="2">
        <v>3.2</v>
      </c>
      <c r="AH26" s="8">
        <v>254</v>
      </c>
      <c r="AI26" s="2">
        <v>3.2</v>
      </c>
      <c r="AK26" s="12">
        <v>17.399999999999999</v>
      </c>
      <c r="AL26" s="2">
        <v>3.2</v>
      </c>
      <c r="AN26" s="12">
        <v>10.6</v>
      </c>
      <c r="AO26" s="2">
        <v>3.2</v>
      </c>
      <c r="AQ26" s="12">
        <v>4.5999999999999996</v>
      </c>
      <c r="AR26" s="2">
        <v>3.2</v>
      </c>
      <c r="AT26" s="12">
        <v>4</v>
      </c>
      <c r="AU26" s="2">
        <v>3.2</v>
      </c>
      <c r="AW26" s="12">
        <v>12.5</v>
      </c>
      <c r="AX26" s="2">
        <v>3.2</v>
      </c>
      <c r="AZ26" s="12">
        <v>9.6</v>
      </c>
      <c r="BA26" s="2">
        <v>3.2</v>
      </c>
    </row>
    <row r="27" spans="1:53">
      <c r="A27" s="16">
        <v>11.4</v>
      </c>
      <c r="B27" s="2">
        <v>3.3</v>
      </c>
      <c r="D27" s="12">
        <v>12.1</v>
      </c>
      <c r="E27" s="2">
        <v>3.3</v>
      </c>
      <c r="G27" s="51">
        <v>14.45</v>
      </c>
      <c r="H27" s="2">
        <v>3.3</v>
      </c>
      <c r="J27" s="51">
        <v>15.4</v>
      </c>
      <c r="K27" s="2">
        <v>3.3</v>
      </c>
      <c r="M27" s="2">
        <v>18</v>
      </c>
      <c r="N27" s="2">
        <v>3.3</v>
      </c>
      <c r="P27" s="2">
        <v>16</v>
      </c>
      <c r="Q27" s="2">
        <v>3.3</v>
      </c>
      <c r="S27" s="8">
        <v>1820</v>
      </c>
      <c r="T27" s="2">
        <v>3.3</v>
      </c>
      <c r="V27" s="8">
        <v>1620</v>
      </c>
      <c r="W27" s="2">
        <v>3.3</v>
      </c>
      <c r="Y27" s="8">
        <v>100</v>
      </c>
      <c r="Z27" s="2">
        <v>3.3</v>
      </c>
      <c r="AB27" s="8">
        <v>90</v>
      </c>
      <c r="AC27" s="2">
        <v>3.3</v>
      </c>
      <c r="AE27" s="8">
        <v>281</v>
      </c>
      <c r="AF27" s="2">
        <v>3.3</v>
      </c>
      <c r="AH27" s="8">
        <v>261</v>
      </c>
      <c r="AI27" s="2">
        <v>3.3</v>
      </c>
      <c r="AK27" s="12">
        <v>18.600000000000001</v>
      </c>
      <c r="AL27" s="2">
        <v>3.3</v>
      </c>
      <c r="AN27" s="12">
        <v>11.4</v>
      </c>
      <c r="AO27" s="2">
        <v>3.3</v>
      </c>
      <c r="AQ27" s="12">
        <v>4.7</v>
      </c>
      <c r="AR27" s="2">
        <v>3.3</v>
      </c>
      <c r="AT27" s="12">
        <v>4.0999999999999996</v>
      </c>
      <c r="AU27" s="2">
        <v>3.3</v>
      </c>
      <c r="AW27" s="12">
        <v>13</v>
      </c>
      <c r="AX27" s="2">
        <v>3.3</v>
      </c>
      <c r="AZ27" s="12">
        <v>9.9</v>
      </c>
      <c r="BA27" s="2">
        <v>3.3</v>
      </c>
    </row>
    <row r="28" spans="1:53">
      <c r="A28" s="16">
        <v>11.3</v>
      </c>
      <c r="B28" s="2">
        <v>3.4</v>
      </c>
      <c r="D28" s="12">
        <v>12</v>
      </c>
      <c r="E28" s="2">
        <v>3.4</v>
      </c>
      <c r="G28" s="51">
        <v>14.3</v>
      </c>
      <c r="H28" s="2">
        <v>3.4</v>
      </c>
      <c r="J28" s="51">
        <v>15.25</v>
      </c>
      <c r="K28" s="2">
        <v>3.4</v>
      </c>
      <c r="M28" s="2">
        <v>18.5</v>
      </c>
      <c r="N28" s="2">
        <v>3.4</v>
      </c>
      <c r="P28" s="2" t="s">
        <v>378</v>
      </c>
      <c r="Q28" s="2">
        <v>3.4</v>
      </c>
      <c r="S28" s="8">
        <v>1860</v>
      </c>
      <c r="T28" s="2">
        <v>3.4</v>
      </c>
      <c r="V28" s="8">
        <v>1660</v>
      </c>
      <c r="W28" s="2">
        <v>3.4</v>
      </c>
      <c r="Y28" s="8">
        <v>102</v>
      </c>
      <c r="Z28" s="2">
        <v>3.4</v>
      </c>
      <c r="AB28" s="8">
        <v>92</v>
      </c>
      <c r="AC28" s="2">
        <v>3.4</v>
      </c>
      <c r="AE28" s="8">
        <v>288</v>
      </c>
      <c r="AF28" s="2">
        <v>3.4</v>
      </c>
      <c r="AH28" s="8">
        <v>268</v>
      </c>
      <c r="AI28" s="2">
        <v>3.4</v>
      </c>
      <c r="AK28" s="12">
        <v>19.8</v>
      </c>
      <c r="AL28" s="2">
        <v>3.4</v>
      </c>
      <c r="AN28" s="12">
        <v>12.2</v>
      </c>
      <c r="AO28" s="2">
        <v>3.4</v>
      </c>
      <c r="AQ28" s="12">
        <v>4.9000000000000004</v>
      </c>
      <c r="AR28" s="2">
        <v>3.4</v>
      </c>
      <c r="AT28" s="12">
        <v>4.3</v>
      </c>
      <c r="AU28" s="2">
        <v>3.4</v>
      </c>
      <c r="AW28" s="12">
        <v>13.5</v>
      </c>
      <c r="AX28" s="2">
        <v>3.4</v>
      </c>
      <c r="AZ28" s="12">
        <v>10.199999999999999</v>
      </c>
      <c r="BA28" s="2">
        <v>3.4</v>
      </c>
    </row>
    <row r="29" spans="1:53">
      <c r="A29" s="16">
        <v>11.2</v>
      </c>
      <c r="B29" s="2">
        <v>3.5</v>
      </c>
      <c r="D29" s="12">
        <v>11.9</v>
      </c>
      <c r="E29" s="2">
        <v>3.5</v>
      </c>
      <c r="G29" s="51">
        <v>14.2</v>
      </c>
      <c r="H29" s="2">
        <v>3.5</v>
      </c>
      <c r="J29" s="51">
        <v>15.1</v>
      </c>
      <c r="K29" s="2">
        <v>3.5</v>
      </c>
      <c r="M29" s="2">
        <v>19</v>
      </c>
      <c r="N29" s="2">
        <v>3.5</v>
      </c>
      <c r="P29" s="2">
        <v>16.5</v>
      </c>
      <c r="Q29" s="2">
        <v>3.5</v>
      </c>
      <c r="S29" s="8">
        <v>1900</v>
      </c>
      <c r="T29" s="2">
        <v>3.5</v>
      </c>
      <c r="V29" s="8">
        <v>1700</v>
      </c>
      <c r="W29" s="2">
        <v>3.5</v>
      </c>
      <c r="Y29" s="8">
        <v>104</v>
      </c>
      <c r="Z29" s="2">
        <v>3.5</v>
      </c>
      <c r="AB29" s="8">
        <v>94</v>
      </c>
      <c r="AC29" s="2">
        <v>3.5</v>
      </c>
      <c r="AE29" s="8">
        <v>295</v>
      </c>
      <c r="AF29" s="2">
        <v>3.5</v>
      </c>
      <c r="AH29" s="8">
        <v>275</v>
      </c>
      <c r="AI29" s="2">
        <v>3.5</v>
      </c>
      <c r="AK29" s="12">
        <v>21</v>
      </c>
      <c r="AL29" s="2">
        <v>3.5</v>
      </c>
      <c r="AN29" s="12">
        <v>13</v>
      </c>
      <c r="AO29" s="2">
        <v>3.5</v>
      </c>
      <c r="AQ29" s="12">
        <v>5</v>
      </c>
      <c r="AR29" s="2">
        <v>3.5</v>
      </c>
      <c r="AT29" s="12">
        <v>4.4000000000000004</v>
      </c>
      <c r="AU29" s="2">
        <v>3.5</v>
      </c>
      <c r="AW29" s="12">
        <v>14</v>
      </c>
      <c r="AX29" s="2">
        <v>3.5</v>
      </c>
      <c r="AZ29" s="12">
        <v>10.5</v>
      </c>
      <c r="BA29" s="2">
        <v>3.5</v>
      </c>
    </row>
    <row r="30" spans="1:53">
      <c r="A30" s="16">
        <v>11.1</v>
      </c>
      <c r="B30" s="2">
        <v>3.6</v>
      </c>
      <c r="D30" s="12">
        <v>11.8</v>
      </c>
      <c r="E30" s="2">
        <v>3.6</v>
      </c>
      <c r="G30" s="51">
        <v>14.05</v>
      </c>
      <c r="H30" s="2">
        <v>3.6</v>
      </c>
      <c r="J30" s="51">
        <v>14.95</v>
      </c>
      <c r="K30" s="2">
        <v>3.6</v>
      </c>
      <c r="M30" s="2">
        <v>19.5</v>
      </c>
      <c r="N30" s="2">
        <v>3.6</v>
      </c>
      <c r="P30" s="2">
        <v>17</v>
      </c>
      <c r="Q30" s="2">
        <v>3.6</v>
      </c>
      <c r="S30" s="8">
        <v>1940</v>
      </c>
      <c r="T30" s="2">
        <v>3.6</v>
      </c>
      <c r="V30" s="8">
        <v>1740</v>
      </c>
      <c r="W30" s="2">
        <v>3.6</v>
      </c>
      <c r="Y30" s="8">
        <v>105</v>
      </c>
      <c r="Z30" s="2">
        <v>3.6</v>
      </c>
      <c r="AB30" s="8">
        <v>95</v>
      </c>
      <c r="AC30" s="2">
        <v>3.6</v>
      </c>
      <c r="AE30" s="8">
        <v>302</v>
      </c>
      <c r="AF30" s="2">
        <v>3.6</v>
      </c>
      <c r="AH30" s="8">
        <v>282</v>
      </c>
      <c r="AI30" s="2">
        <v>3.6</v>
      </c>
      <c r="AK30" s="12">
        <v>22.4</v>
      </c>
      <c r="AL30" s="2">
        <v>3.6</v>
      </c>
      <c r="AN30" s="12">
        <v>13.9</v>
      </c>
      <c r="AO30" s="2">
        <v>3.6</v>
      </c>
      <c r="AQ30" s="12">
        <v>5.2</v>
      </c>
      <c r="AR30" s="2">
        <v>3.6</v>
      </c>
      <c r="AT30" s="12">
        <v>4.5999999999999996</v>
      </c>
      <c r="AU30" s="2">
        <v>3.6</v>
      </c>
      <c r="AW30" s="12">
        <v>14.6</v>
      </c>
      <c r="AX30" s="2">
        <v>3.6</v>
      </c>
      <c r="AZ30" s="12">
        <v>10.8</v>
      </c>
      <c r="BA30" s="2">
        <v>3.6</v>
      </c>
    </row>
    <row r="31" spans="1:53">
      <c r="A31" s="16">
        <v>10.95</v>
      </c>
      <c r="B31" s="2">
        <v>3.7</v>
      </c>
      <c r="D31" s="12">
        <v>11.65</v>
      </c>
      <c r="E31" s="2">
        <v>3.7</v>
      </c>
      <c r="G31" s="51">
        <v>13.9</v>
      </c>
      <c r="H31" s="2">
        <v>3.7</v>
      </c>
      <c r="J31" s="51">
        <v>14.8</v>
      </c>
      <c r="K31" s="2">
        <v>3.7</v>
      </c>
      <c r="M31" s="2" t="s">
        <v>378</v>
      </c>
      <c r="N31" s="2">
        <v>3.7</v>
      </c>
      <c r="P31" s="2">
        <v>17.5</v>
      </c>
      <c r="Q31" s="2">
        <v>3.7</v>
      </c>
      <c r="S31" s="8">
        <v>1980</v>
      </c>
      <c r="T31" s="2">
        <v>3.7</v>
      </c>
      <c r="V31" s="8">
        <v>1780</v>
      </c>
      <c r="W31" s="2">
        <v>3.7</v>
      </c>
      <c r="Y31" s="8">
        <v>107</v>
      </c>
      <c r="Z31" s="2">
        <v>3.7</v>
      </c>
      <c r="AB31" s="8">
        <v>97</v>
      </c>
      <c r="AC31" s="2">
        <v>3.7</v>
      </c>
      <c r="AE31" s="8">
        <v>309</v>
      </c>
      <c r="AF31" s="2">
        <v>3.7</v>
      </c>
      <c r="AH31" s="8">
        <v>289</v>
      </c>
      <c r="AI31" s="2">
        <v>3.7</v>
      </c>
      <c r="AK31" s="12">
        <v>23.8</v>
      </c>
      <c r="AL31" s="2">
        <v>3.7</v>
      </c>
      <c r="AN31" s="12">
        <v>14.8</v>
      </c>
      <c r="AO31" s="2">
        <v>3.7</v>
      </c>
      <c r="AQ31" s="12">
        <v>5.4</v>
      </c>
      <c r="AR31" s="2">
        <v>3.7</v>
      </c>
      <c r="AT31" s="12">
        <v>4.7</v>
      </c>
      <c r="AU31" s="2">
        <v>3.7</v>
      </c>
      <c r="AW31" s="12">
        <v>15.2</v>
      </c>
      <c r="AX31" s="2">
        <v>3.7</v>
      </c>
      <c r="AZ31" s="12">
        <v>11.1</v>
      </c>
      <c r="BA31" s="2">
        <v>3.7</v>
      </c>
    </row>
    <row r="32" spans="1:53">
      <c r="A32" s="16">
        <v>10.85</v>
      </c>
      <c r="B32" s="2">
        <v>3.8</v>
      </c>
      <c r="D32" s="12">
        <v>11.55</v>
      </c>
      <c r="E32" s="2">
        <v>3.8</v>
      </c>
      <c r="G32" s="51">
        <v>13.8</v>
      </c>
      <c r="H32" s="2">
        <v>3.8</v>
      </c>
      <c r="J32" s="51">
        <v>14.6</v>
      </c>
      <c r="K32" s="2">
        <v>3.8</v>
      </c>
      <c r="M32" s="2">
        <v>20</v>
      </c>
      <c r="N32" s="2">
        <v>3.8</v>
      </c>
      <c r="P32" s="2">
        <v>18</v>
      </c>
      <c r="Q32" s="2">
        <v>3.8</v>
      </c>
      <c r="S32" s="8">
        <v>2020</v>
      </c>
      <c r="T32" s="2">
        <v>3.8</v>
      </c>
      <c r="V32" s="8">
        <v>1820</v>
      </c>
      <c r="W32" s="2">
        <v>3.8</v>
      </c>
      <c r="Y32" s="8">
        <v>110</v>
      </c>
      <c r="Z32" s="2">
        <v>3.8</v>
      </c>
      <c r="AB32" s="8">
        <v>100</v>
      </c>
      <c r="AC32" s="2">
        <v>3.8</v>
      </c>
      <c r="AE32" s="8">
        <v>316</v>
      </c>
      <c r="AF32" s="2">
        <v>3.8</v>
      </c>
      <c r="AH32" s="8">
        <v>296</v>
      </c>
      <c r="AI32" s="2">
        <v>3.8</v>
      </c>
      <c r="AK32" s="12">
        <v>25.2</v>
      </c>
      <c r="AL32" s="2">
        <v>3.8</v>
      </c>
      <c r="AN32" s="12">
        <v>15.7</v>
      </c>
      <c r="AO32" s="2">
        <v>3.8</v>
      </c>
      <c r="AQ32" s="12">
        <v>5.6</v>
      </c>
      <c r="AR32" s="2">
        <v>3.8</v>
      </c>
      <c r="AT32" s="12">
        <v>4.9000000000000004</v>
      </c>
      <c r="AU32" s="2">
        <v>3.8</v>
      </c>
      <c r="AW32" s="12">
        <v>15.8</v>
      </c>
      <c r="AX32" s="2">
        <v>3.8</v>
      </c>
      <c r="AZ32" s="12">
        <v>11.4</v>
      </c>
      <c r="BA32" s="2">
        <v>3.8</v>
      </c>
    </row>
    <row r="33" spans="1:53">
      <c r="A33" s="16">
        <v>10.7</v>
      </c>
      <c r="B33" s="2">
        <v>3.9</v>
      </c>
      <c r="D33" s="12">
        <v>11.4</v>
      </c>
      <c r="E33" s="2">
        <v>3.9</v>
      </c>
      <c r="G33" s="51">
        <v>13.65</v>
      </c>
      <c r="H33" s="2">
        <v>3.9</v>
      </c>
      <c r="J33" s="51">
        <v>14.45</v>
      </c>
      <c r="K33" s="2">
        <v>3.9</v>
      </c>
      <c r="M33" s="2">
        <v>20.5</v>
      </c>
      <c r="N33" s="2">
        <v>3.9</v>
      </c>
      <c r="P33" s="52">
        <v>18.5</v>
      </c>
      <c r="Q33" s="2">
        <v>3.9</v>
      </c>
      <c r="S33" s="8">
        <v>2060</v>
      </c>
      <c r="T33" s="2">
        <v>3.9</v>
      </c>
      <c r="V33" s="8">
        <v>1860</v>
      </c>
      <c r="W33" s="2">
        <v>3.9</v>
      </c>
      <c r="Y33" s="8">
        <v>111</v>
      </c>
      <c r="Z33" s="2">
        <v>3.9</v>
      </c>
      <c r="AB33" s="8">
        <v>101</v>
      </c>
      <c r="AC33" s="2">
        <v>3.9</v>
      </c>
      <c r="AE33" s="8">
        <v>323</v>
      </c>
      <c r="AF33" s="2">
        <v>3.9</v>
      </c>
      <c r="AH33" s="8">
        <v>303</v>
      </c>
      <c r="AI33" s="2">
        <v>3.9</v>
      </c>
      <c r="AK33" s="12">
        <v>26.6</v>
      </c>
      <c r="AL33" s="2">
        <v>3.9</v>
      </c>
      <c r="AN33" s="12">
        <v>16.600000000000001</v>
      </c>
      <c r="AO33" s="2">
        <v>3.9</v>
      </c>
      <c r="AQ33" s="12">
        <v>5.8</v>
      </c>
      <c r="AR33" s="2">
        <v>3.9</v>
      </c>
      <c r="AT33" s="12">
        <v>5</v>
      </c>
      <c r="AU33" s="2">
        <v>3.9</v>
      </c>
      <c r="AW33" s="12">
        <v>16.399999999999999</v>
      </c>
      <c r="AX33" s="2">
        <v>3.9</v>
      </c>
      <c r="AZ33" s="12">
        <v>11.7</v>
      </c>
      <c r="BA33" s="2">
        <v>3.9</v>
      </c>
    </row>
    <row r="34" spans="1:53">
      <c r="A34" s="16">
        <v>10.6</v>
      </c>
      <c r="B34" s="2">
        <v>4</v>
      </c>
      <c r="D34" s="12">
        <v>11.3</v>
      </c>
      <c r="E34" s="2">
        <v>4</v>
      </c>
      <c r="G34" s="51">
        <v>13.5</v>
      </c>
      <c r="H34" s="2">
        <v>4</v>
      </c>
      <c r="J34" s="51">
        <v>14.3</v>
      </c>
      <c r="K34" s="2">
        <v>4</v>
      </c>
      <c r="M34" s="2">
        <v>21</v>
      </c>
      <c r="N34" s="2">
        <v>4</v>
      </c>
      <c r="P34" s="52">
        <v>19</v>
      </c>
      <c r="Q34" s="2">
        <v>4</v>
      </c>
      <c r="S34" s="8">
        <v>2100</v>
      </c>
      <c r="T34" s="2">
        <v>4</v>
      </c>
      <c r="V34" s="8">
        <v>1900</v>
      </c>
      <c r="W34" s="2">
        <v>4</v>
      </c>
      <c r="Y34" s="8">
        <v>112</v>
      </c>
      <c r="Z34" s="2">
        <v>4</v>
      </c>
      <c r="AB34" s="8">
        <v>102</v>
      </c>
      <c r="AC34" s="2">
        <v>4</v>
      </c>
      <c r="AE34" s="8">
        <v>330</v>
      </c>
      <c r="AF34" s="2">
        <v>4</v>
      </c>
      <c r="AH34" s="8">
        <v>310</v>
      </c>
      <c r="AI34" s="2">
        <v>4</v>
      </c>
      <c r="AK34" s="12">
        <v>28</v>
      </c>
      <c r="AL34" s="2">
        <v>4</v>
      </c>
      <c r="AN34" s="12">
        <v>17.5</v>
      </c>
      <c r="AO34" s="2">
        <v>4</v>
      </c>
      <c r="AQ34" s="12">
        <v>6</v>
      </c>
      <c r="AR34" s="2">
        <v>4</v>
      </c>
      <c r="AT34" s="12">
        <v>5.2</v>
      </c>
      <c r="AU34" s="2">
        <v>4</v>
      </c>
      <c r="AW34" s="12">
        <v>17</v>
      </c>
      <c r="AX34" s="2">
        <v>4</v>
      </c>
      <c r="AZ34" s="12">
        <v>12</v>
      </c>
      <c r="BA34" s="2">
        <v>4</v>
      </c>
    </row>
    <row r="35" spans="1:53">
      <c r="A35" s="16">
        <v>10.5</v>
      </c>
      <c r="B35" s="2">
        <v>4.0999999999999996</v>
      </c>
      <c r="D35" s="12">
        <v>11.15</v>
      </c>
      <c r="E35" s="2">
        <v>4.0999999999999996</v>
      </c>
      <c r="G35" s="51">
        <v>13.35</v>
      </c>
      <c r="H35" s="2">
        <v>4.0999999999999996</v>
      </c>
      <c r="J35" s="51">
        <v>14.2</v>
      </c>
      <c r="K35" s="2">
        <v>4.0999999999999996</v>
      </c>
      <c r="M35" s="52">
        <v>21.5</v>
      </c>
      <c r="N35" s="2">
        <v>4.0999999999999996</v>
      </c>
      <c r="P35" s="52">
        <v>19.5</v>
      </c>
      <c r="Q35" s="2">
        <v>4.0999999999999996</v>
      </c>
      <c r="S35" s="8">
        <v>2140</v>
      </c>
      <c r="T35" s="2">
        <v>4.0999999999999996</v>
      </c>
      <c r="V35" s="8">
        <v>1940</v>
      </c>
      <c r="W35" s="2">
        <v>4.0999999999999996</v>
      </c>
      <c r="Y35" s="8">
        <v>114</v>
      </c>
      <c r="Z35" s="2">
        <v>4.0999999999999996</v>
      </c>
      <c r="AB35" s="8">
        <v>104</v>
      </c>
      <c r="AC35" s="2">
        <v>4.0999999999999996</v>
      </c>
      <c r="AE35" s="8">
        <v>339</v>
      </c>
      <c r="AF35" s="2">
        <v>4.0999999999999996</v>
      </c>
      <c r="AH35" s="8">
        <v>317</v>
      </c>
      <c r="AI35" s="2">
        <v>4.0999999999999996</v>
      </c>
      <c r="AK35" s="12">
        <v>29</v>
      </c>
      <c r="AL35" s="2">
        <v>4.0999999999999996</v>
      </c>
      <c r="AN35" s="12">
        <v>18.3</v>
      </c>
      <c r="AO35" s="2">
        <v>4.0999999999999996</v>
      </c>
      <c r="AQ35" s="12">
        <v>6.2</v>
      </c>
      <c r="AR35" s="2">
        <v>4.0999999999999996</v>
      </c>
      <c r="AT35" s="12">
        <v>5.4</v>
      </c>
      <c r="AU35" s="2">
        <v>4.0999999999999996</v>
      </c>
      <c r="AW35" s="12">
        <v>17.5</v>
      </c>
      <c r="AX35" s="2">
        <v>4.0999999999999996</v>
      </c>
      <c r="AZ35" s="12">
        <v>12.4</v>
      </c>
      <c r="BA35" s="2">
        <v>4.0999999999999996</v>
      </c>
    </row>
    <row r="36" spans="1:53">
      <c r="A36" s="16">
        <v>10.35</v>
      </c>
      <c r="B36" s="2">
        <v>4.2</v>
      </c>
      <c r="D36" s="12">
        <v>11</v>
      </c>
      <c r="E36" s="2">
        <v>4.2</v>
      </c>
      <c r="G36" s="51">
        <v>13.2</v>
      </c>
      <c r="H36" s="2">
        <v>4.2</v>
      </c>
      <c r="J36" s="51">
        <v>14.05</v>
      </c>
      <c r="K36" s="2">
        <v>4.2</v>
      </c>
      <c r="M36" s="2">
        <v>22</v>
      </c>
      <c r="N36" s="2">
        <v>4.2</v>
      </c>
      <c r="P36" s="52">
        <v>20</v>
      </c>
      <c r="Q36" s="2">
        <v>4.2</v>
      </c>
      <c r="S36" s="8">
        <v>2180</v>
      </c>
      <c r="T36" s="2">
        <v>4.2</v>
      </c>
      <c r="V36" s="8">
        <v>1980</v>
      </c>
      <c r="W36" s="2">
        <v>4.2</v>
      </c>
      <c r="Y36" s="8">
        <v>115</v>
      </c>
      <c r="Z36" s="2">
        <v>4.2</v>
      </c>
      <c r="AB36" s="8">
        <v>105</v>
      </c>
      <c r="AC36" s="2">
        <v>4.2</v>
      </c>
      <c r="AE36" s="8">
        <v>348</v>
      </c>
      <c r="AF36" s="2">
        <v>4.2</v>
      </c>
      <c r="AH36" s="8">
        <v>324</v>
      </c>
      <c r="AI36" s="2">
        <v>4.2</v>
      </c>
      <c r="AK36" s="12">
        <v>30</v>
      </c>
      <c r="AL36" s="2">
        <v>4.2</v>
      </c>
      <c r="AN36" s="12">
        <v>19.2</v>
      </c>
      <c r="AO36" s="2">
        <v>4.2</v>
      </c>
      <c r="AQ36" s="12">
        <v>6.4</v>
      </c>
      <c r="AR36" s="2">
        <v>4.2</v>
      </c>
      <c r="AT36" s="12">
        <v>5.5</v>
      </c>
      <c r="AU36" s="2">
        <v>4.2</v>
      </c>
      <c r="AW36" s="12">
        <v>18</v>
      </c>
      <c r="AX36" s="2">
        <v>4.2</v>
      </c>
      <c r="AZ36" s="12">
        <v>12.8</v>
      </c>
      <c r="BA36" s="2">
        <v>4.2</v>
      </c>
    </row>
    <row r="37" spans="1:53">
      <c r="A37" s="16">
        <v>10.25</v>
      </c>
      <c r="B37" s="2">
        <v>4.3</v>
      </c>
      <c r="D37" s="12">
        <v>10.8</v>
      </c>
      <c r="E37" s="2">
        <v>4.3</v>
      </c>
      <c r="G37" s="51">
        <v>13.1</v>
      </c>
      <c r="H37" s="2">
        <v>4.3</v>
      </c>
      <c r="J37" s="51">
        <v>13.95</v>
      </c>
      <c r="K37" s="2">
        <v>4.3</v>
      </c>
      <c r="M37" s="52">
        <v>22.5</v>
      </c>
      <c r="N37" s="2">
        <v>4.3</v>
      </c>
      <c r="P37" s="2">
        <v>20.5</v>
      </c>
      <c r="Q37" s="2">
        <v>4.3</v>
      </c>
      <c r="S37" s="8">
        <v>2220</v>
      </c>
      <c r="T37" s="2">
        <v>4.3</v>
      </c>
      <c r="V37" s="8">
        <v>2020</v>
      </c>
      <c r="W37" s="2">
        <v>4.3</v>
      </c>
      <c r="Y37" s="8">
        <v>116</v>
      </c>
      <c r="Z37" s="2">
        <v>4.3</v>
      </c>
      <c r="AB37" s="8">
        <v>106</v>
      </c>
      <c r="AC37" s="2">
        <v>4.3</v>
      </c>
      <c r="AE37" s="8">
        <v>357</v>
      </c>
      <c r="AF37" s="2">
        <v>4.3</v>
      </c>
      <c r="AH37" s="8">
        <v>331</v>
      </c>
      <c r="AI37" s="2">
        <v>4.3</v>
      </c>
      <c r="AK37" s="12">
        <v>31</v>
      </c>
      <c r="AL37" s="2">
        <v>4.3</v>
      </c>
      <c r="AN37" s="12">
        <v>20</v>
      </c>
      <c r="AO37" s="2">
        <v>4.3</v>
      </c>
      <c r="AQ37" s="12">
        <v>6.6</v>
      </c>
      <c r="AR37" s="2">
        <v>4.3</v>
      </c>
      <c r="AT37" s="12">
        <v>5.7</v>
      </c>
      <c r="AU37" s="2">
        <v>4.3</v>
      </c>
      <c r="AW37" s="12">
        <v>18.5</v>
      </c>
      <c r="AX37" s="2">
        <v>4.3</v>
      </c>
      <c r="AZ37" s="12">
        <v>13.2</v>
      </c>
      <c r="BA37" s="2">
        <v>4.3</v>
      </c>
    </row>
    <row r="38" spans="1:53">
      <c r="A38" s="16">
        <v>10.1</v>
      </c>
      <c r="B38" s="2">
        <v>4.4000000000000004</v>
      </c>
      <c r="D38" s="12">
        <v>10.65</v>
      </c>
      <c r="E38" s="2">
        <v>4.4000000000000004</v>
      </c>
      <c r="G38" s="51">
        <v>12.95</v>
      </c>
      <c r="H38" s="2">
        <v>4.4000000000000004</v>
      </c>
      <c r="J38" s="51">
        <v>13.8</v>
      </c>
      <c r="K38" s="2">
        <v>4.4000000000000004</v>
      </c>
      <c r="M38" s="52" t="s">
        <v>378</v>
      </c>
      <c r="N38" s="2">
        <v>4.4000000000000004</v>
      </c>
      <c r="P38" s="52" t="s">
        <v>378</v>
      </c>
      <c r="Q38" s="2">
        <v>4.4000000000000004</v>
      </c>
      <c r="S38" s="8">
        <v>2260</v>
      </c>
      <c r="T38" s="2">
        <v>4.4000000000000004</v>
      </c>
      <c r="V38" s="8">
        <v>2060</v>
      </c>
      <c r="W38" s="2">
        <v>4.4000000000000004</v>
      </c>
      <c r="Y38" s="8">
        <v>117</v>
      </c>
      <c r="Z38" s="2">
        <v>4.4000000000000004</v>
      </c>
      <c r="AB38" s="8">
        <v>107</v>
      </c>
      <c r="AC38" s="2">
        <v>4.4000000000000004</v>
      </c>
      <c r="AE38" s="8">
        <v>366</v>
      </c>
      <c r="AF38" s="2">
        <v>4.4000000000000004</v>
      </c>
      <c r="AH38" s="8">
        <v>338</v>
      </c>
      <c r="AI38" s="2">
        <v>4.4000000000000004</v>
      </c>
      <c r="AK38" s="12">
        <v>32</v>
      </c>
      <c r="AL38" s="2">
        <v>4.4000000000000004</v>
      </c>
      <c r="AN38" s="12">
        <v>20.9</v>
      </c>
      <c r="AO38" s="2">
        <v>4.4000000000000004</v>
      </c>
      <c r="AQ38" s="12">
        <v>6.8</v>
      </c>
      <c r="AR38" s="2">
        <v>4.4000000000000004</v>
      </c>
      <c r="AT38" s="12">
        <v>5.8</v>
      </c>
      <c r="AU38" s="2">
        <v>4.4000000000000004</v>
      </c>
      <c r="AW38" s="12">
        <v>19</v>
      </c>
      <c r="AX38" s="2">
        <v>4.4000000000000004</v>
      </c>
      <c r="AZ38" s="12">
        <v>13.6</v>
      </c>
      <c r="BA38" s="2">
        <v>4.4000000000000004</v>
      </c>
    </row>
    <row r="39" spans="1:53">
      <c r="A39" s="16">
        <v>10</v>
      </c>
      <c r="B39" s="2">
        <v>4.5</v>
      </c>
      <c r="D39" s="12">
        <v>10.5</v>
      </c>
      <c r="E39" s="2">
        <v>4.5</v>
      </c>
      <c r="G39" s="51">
        <v>12.8</v>
      </c>
      <c r="H39" s="2">
        <v>4.5</v>
      </c>
      <c r="J39" s="51">
        <v>13.7</v>
      </c>
      <c r="K39" s="2">
        <v>4.5</v>
      </c>
      <c r="M39" s="2">
        <v>23</v>
      </c>
      <c r="N39" s="2">
        <v>4.5</v>
      </c>
      <c r="P39" s="2">
        <v>21</v>
      </c>
      <c r="Q39" s="2">
        <v>4.5</v>
      </c>
      <c r="S39" s="8">
        <v>2300</v>
      </c>
      <c r="T39" s="2">
        <v>4.5</v>
      </c>
      <c r="V39" s="8">
        <v>2100</v>
      </c>
      <c r="W39" s="2">
        <v>4.5</v>
      </c>
      <c r="Y39" s="8">
        <v>118</v>
      </c>
      <c r="Z39" s="2">
        <v>4.5</v>
      </c>
      <c r="AB39" s="8">
        <v>108</v>
      </c>
      <c r="AC39" s="2">
        <v>4.5</v>
      </c>
      <c r="AE39" s="8">
        <v>375</v>
      </c>
      <c r="AF39" s="2">
        <v>4.5</v>
      </c>
      <c r="AH39" s="8">
        <v>345</v>
      </c>
      <c r="AI39" s="2">
        <v>4.5</v>
      </c>
      <c r="AK39" s="12">
        <v>33</v>
      </c>
      <c r="AL39" s="2">
        <v>4.5</v>
      </c>
      <c r="AN39" s="12">
        <v>21.7</v>
      </c>
      <c r="AO39" s="2">
        <v>4.5</v>
      </c>
      <c r="AQ39" s="12">
        <v>7</v>
      </c>
      <c r="AR39" s="2">
        <v>4.5</v>
      </c>
      <c r="AT39" s="12">
        <v>6</v>
      </c>
      <c r="AU39" s="2">
        <v>4.5</v>
      </c>
      <c r="AW39" s="12">
        <v>19.5</v>
      </c>
      <c r="AX39" s="2">
        <v>4.5</v>
      </c>
      <c r="AZ39" s="12">
        <v>14</v>
      </c>
      <c r="BA39" s="2">
        <v>4.5</v>
      </c>
    </row>
    <row r="40" spans="1:53">
      <c r="A40" s="16">
        <v>9.9</v>
      </c>
      <c r="B40" s="2">
        <v>4.5999999999999996</v>
      </c>
      <c r="D40" s="12">
        <v>10.35</v>
      </c>
      <c r="E40" s="2">
        <v>4.5999999999999996</v>
      </c>
      <c r="G40" s="51">
        <v>12.65</v>
      </c>
      <c r="H40" s="2">
        <v>4.5999999999999996</v>
      </c>
      <c r="J40" s="51">
        <v>13.6</v>
      </c>
      <c r="K40" s="2">
        <v>4.5999999999999996</v>
      </c>
      <c r="M40" s="52">
        <v>23.5</v>
      </c>
      <c r="N40" s="2">
        <v>4.5999999999999996</v>
      </c>
      <c r="P40" s="52">
        <v>21.5</v>
      </c>
      <c r="Q40" s="2">
        <v>4.5999999999999996</v>
      </c>
      <c r="S40" s="8">
        <v>2340</v>
      </c>
      <c r="T40" s="2">
        <v>4.5999999999999996</v>
      </c>
      <c r="V40" s="8">
        <v>2140</v>
      </c>
      <c r="W40" s="2">
        <v>4.5999999999999996</v>
      </c>
      <c r="Y40" s="8">
        <v>119</v>
      </c>
      <c r="Z40" s="2">
        <v>4.5999999999999996</v>
      </c>
      <c r="AB40" s="8">
        <v>109</v>
      </c>
      <c r="AC40" s="2">
        <v>4.5999999999999996</v>
      </c>
      <c r="AE40" s="8">
        <v>384</v>
      </c>
      <c r="AF40" s="2">
        <v>4.5999999999999996</v>
      </c>
      <c r="AH40" s="8">
        <v>352</v>
      </c>
      <c r="AI40" s="2">
        <v>4.5999999999999996</v>
      </c>
      <c r="AK40" s="12">
        <v>34</v>
      </c>
      <c r="AL40" s="2">
        <v>4.5999999999999996</v>
      </c>
      <c r="AN40" s="12">
        <v>22.6</v>
      </c>
      <c r="AO40" s="2">
        <v>4.5999999999999996</v>
      </c>
      <c r="AQ40" s="12">
        <v>7.2</v>
      </c>
      <c r="AR40" s="2">
        <v>4.5999999999999996</v>
      </c>
      <c r="AT40" s="12">
        <v>6.1</v>
      </c>
      <c r="AU40" s="2">
        <v>4.5999999999999996</v>
      </c>
      <c r="AW40" s="12">
        <v>20.2</v>
      </c>
      <c r="AX40" s="2">
        <v>4.5999999999999996</v>
      </c>
      <c r="AZ40" s="12">
        <v>14.4</v>
      </c>
      <c r="BA40" s="2">
        <v>4.5999999999999996</v>
      </c>
    </row>
    <row r="41" spans="1:53">
      <c r="A41" s="16">
        <v>9.75</v>
      </c>
      <c r="B41" s="2">
        <v>4.7</v>
      </c>
      <c r="D41" s="12">
        <v>10.199999999999999</v>
      </c>
      <c r="E41" s="2">
        <v>4.7</v>
      </c>
      <c r="G41" s="51">
        <v>12.5</v>
      </c>
      <c r="H41" s="2">
        <v>4.7</v>
      </c>
      <c r="J41" s="51">
        <v>13.45</v>
      </c>
      <c r="K41" s="2">
        <v>4.7</v>
      </c>
      <c r="M41" s="2">
        <v>24</v>
      </c>
      <c r="N41" s="2">
        <v>4.7</v>
      </c>
      <c r="P41" s="2">
        <v>22</v>
      </c>
      <c r="Q41" s="2">
        <v>4.7</v>
      </c>
      <c r="S41" s="8">
        <v>2380</v>
      </c>
      <c r="T41" s="2">
        <v>4.7</v>
      </c>
      <c r="V41" s="8">
        <v>2180</v>
      </c>
      <c r="W41" s="2">
        <v>4.7</v>
      </c>
      <c r="Y41" s="8">
        <v>120</v>
      </c>
      <c r="Z41" s="2">
        <v>4.7</v>
      </c>
      <c r="AB41" s="8">
        <v>110</v>
      </c>
      <c r="AC41" s="2">
        <v>4.7</v>
      </c>
      <c r="AE41" s="8">
        <v>393</v>
      </c>
      <c r="AF41" s="2">
        <v>4.7</v>
      </c>
      <c r="AH41" s="8">
        <v>359</v>
      </c>
      <c r="AI41" s="2">
        <v>4.7</v>
      </c>
      <c r="AK41" s="12">
        <v>35</v>
      </c>
      <c r="AL41" s="2">
        <v>4.7</v>
      </c>
      <c r="AN41" s="12">
        <v>23.4</v>
      </c>
      <c r="AO41" s="2">
        <v>4.7</v>
      </c>
      <c r="AQ41" s="12">
        <v>7.4</v>
      </c>
      <c r="AR41" s="2">
        <v>4.7</v>
      </c>
      <c r="AT41" s="12">
        <v>6.2</v>
      </c>
      <c r="AU41" s="2">
        <v>4.7</v>
      </c>
      <c r="AW41" s="12">
        <v>20.9</v>
      </c>
      <c r="AX41" s="2">
        <v>4.7</v>
      </c>
      <c r="AZ41" s="12">
        <v>14.8</v>
      </c>
      <c r="BA41" s="2">
        <v>4.7</v>
      </c>
    </row>
    <row r="42" spans="1:53">
      <c r="A42" s="16">
        <v>9.65</v>
      </c>
      <c r="B42" s="2">
        <v>4.8</v>
      </c>
      <c r="D42" s="12">
        <v>10.1</v>
      </c>
      <c r="E42" s="2">
        <v>4.8</v>
      </c>
      <c r="G42" s="51">
        <v>12.3</v>
      </c>
      <c r="H42" s="2">
        <v>4.8</v>
      </c>
      <c r="J42" s="51">
        <v>13.35</v>
      </c>
      <c r="K42" s="2">
        <v>4.8</v>
      </c>
      <c r="M42" s="2">
        <v>24.5</v>
      </c>
      <c r="N42" s="2">
        <v>4.8</v>
      </c>
      <c r="P42" s="2">
        <v>22.5</v>
      </c>
      <c r="Q42" s="2">
        <v>4.8</v>
      </c>
      <c r="S42" s="8">
        <v>2420</v>
      </c>
      <c r="T42" s="2">
        <v>4.8</v>
      </c>
      <c r="V42" s="8">
        <v>2220</v>
      </c>
      <c r="W42" s="2">
        <v>4.8</v>
      </c>
      <c r="Y42" s="8">
        <v>121</v>
      </c>
      <c r="Z42" s="2">
        <v>4.8</v>
      </c>
      <c r="AB42" s="8">
        <v>111</v>
      </c>
      <c r="AC42" s="2">
        <v>4.8</v>
      </c>
      <c r="AE42" s="8">
        <v>402</v>
      </c>
      <c r="AF42" s="2">
        <v>4.8</v>
      </c>
      <c r="AH42" s="8">
        <v>366</v>
      </c>
      <c r="AI42" s="2">
        <v>4.8</v>
      </c>
      <c r="AK42" s="12">
        <v>36</v>
      </c>
      <c r="AL42" s="2">
        <v>4.8</v>
      </c>
      <c r="AN42" s="12">
        <v>24.3</v>
      </c>
      <c r="AO42" s="2">
        <v>4.8</v>
      </c>
      <c r="AQ42" s="12">
        <v>7.6</v>
      </c>
      <c r="AR42" s="2">
        <v>4.8</v>
      </c>
      <c r="AT42" s="12">
        <v>6.3</v>
      </c>
      <c r="AU42" s="2">
        <v>4.8</v>
      </c>
      <c r="AW42" s="12">
        <v>21.6</v>
      </c>
      <c r="AX42" s="2">
        <v>4.8</v>
      </c>
      <c r="AZ42" s="12">
        <v>15.2</v>
      </c>
      <c r="BA42" s="2">
        <v>4.8</v>
      </c>
    </row>
    <row r="43" spans="1:53">
      <c r="A43" s="16">
        <v>9.5</v>
      </c>
      <c r="B43" s="2">
        <v>4.9000000000000004</v>
      </c>
      <c r="D43" s="12">
        <v>9.9499999999999993</v>
      </c>
      <c r="E43" s="2">
        <v>4.9000000000000004</v>
      </c>
      <c r="G43" s="51">
        <v>12.15</v>
      </c>
      <c r="H43" s="2">
        <v>4.9000000000000004</v>
      </c>
      <c r="J43" s="51">
        <v>13.2</v>
      </c>
      <c r="K43" s="2">
        <v>4.9000000000000004</v>
      </c>
      <c r="M43" s="52">
        <v>25</v>
      </c>
      <c r="N43" s="2">
        <v>4.9000000000000004</v>
      </c>
      <c r="P43" s="52">
        <v>23</v>
      </c>
      <c r="Q43" s="2">
        <v>4.9000000000000004</v>
      </c>
      <c r="S43" s="8">
        <v>2460</v>
      </c>
      <c r="T43" s="2">
        <v>4.9000000000000004</v>
      </c>
      <c r="V43" s="8">
        <v>2260</v>
      </c>
      <c r="W43" s="2">
        <v>4.9000000000000004</v>
      </c>
      <c r="Y43" s="8">
        <v>122</v>
      </c>
      <c r="Z43" s="2">
        <v>4.9000000000000004</v>
      </c>
      <c r="AB43" s="8">
        <v>112</v>
      </c>
      <c r="AC43" s="2">
        <v>4.9000000000000004</v>
      </c>
      <c r="AE43" s="8">
        <v>411</v>
      </c>
      <c r="AF43" s="2">
        <v>4.9000000000000004</v>
      </c>
      <c r="AH43" s="8">
        <v>373</v>
      </c>
      <c r="AI43" s="2">
        <v>4.9000000000000004</v>
      </c>
      <c r="AK43" s="12">
        <v>37</v>
      </c>
      <c r="AL43" s="2">
        <v>4.9000000000000004</v>
      </c>
      <c r="AN43" s="12">
        <v>25.1</v>
      </c>
      <c r="AO43" s="2">
        <v>4.9000000000000004</v>
      </c>
      <c r="AQ43" s="12">
        <v>7.8</v>
      </c>
      <c r="AR43" s="2">
        <v>4.9000000000000004</v>
      </c>
      <c r="AT43" s="12">
        <v>6.4</v>
      </c>
      <c r="AU43" s="2">
        <v>4.9000000000000004</v>
      </c>
      <c r="AW43" s="12">
        <v>22.3</v>
      </c>
      <c r="AX43" s="2">
        <v>4.9000000000000004</v>
      </c>
      <c r="AZ43" s="12">
        <v>15.6</v>
      </c>
      <c r="BA43" s="2">
        <v>4.9000000000000004</v>
      </c>
    </row>
    <row r="44" spans="1:53">
      <c r="A44" s="16">
        <v>9.4</v>
      </c>
      <c r="B44" s="2">
        <v>5</v>
      </c>
      <c r="D44" s="12">
        <v>9.8000000000000007</v>
      </c>
      <c r="E44" s="2">
        <v>5</v>
      </c>
      <c r="G44" s="51">
        <v>12</v>
      </c>
      <c r="H44" s="2">
        <v>5</v>
      </c>
      <c r="J44" s="51">
        <v>13.1</v>
      </c>
      <c r="K44" s="2">
        <v>5</v>
      </c>
      <c r="M44" s="2">
        <v>25.5</v>
      </c>
      <c r="N44" s="2">
        <v>5</v>
      </c>
      <c r="P44" s="2">
        <v>23.5</v>
      </c>
      <c r="Q44" s="2">
        <v>5</v>
      </c>
      <c r="S44" s="8">
        <v>2500</v>
      </c>
      <c r="T44" s="2">
        <v>5</v>
      </c>
      <c r="V44" s="8">
        <v>2300</v>
      </c>
      <c r="W44" s="2">
        <v>5</v>
      </c>
      <c r="Y44" s="8">
        <v>123</v>
      </c>
      <c r="Z44" s="2">
        <v>5</v>
      </c>
      <c r="AB44" s="8">
        <v>113</v>
      </c>
      <c r="AC44" s="2">
        <v>5</v>
      </c>
      <c r="AE44" s="8">
        <v>420</v>
      </c>
      <c r="AF44" s="2">
        <v>5</v>
      </c>
      <c r="AH44" s="8">
        <v>380</v>
      </c>
      <c r="AI44" s="2">
        <v>5</v>
      </c>
      <c r="AK44" s="12">
        <v>38</v>
      </c>
      <c r="AL44" s="2">
        <v>5</v>
      </c>
      <c r="AN44" s="12">
        <v>26</v>
      </c>
      <c r="AO44" s="2">
        <v>5</v>
      </c>
      <c r="AQ44" s="12">
        <v>8</v>
      </c>
      <c r="AR44" s="2">
        <v>5</v>
      </c>
      <c r="AT44" s="12">
        <v>6.5</v>
      </c>
      <c r="AU44" s="2">
        <v>5</v>
      </c>
      <c r="AW44" s="12">
        <v>23</v>
      </c>
      <c r="AX44" s="2">
        <v>5</v>
      </c>
      <c r="AZ44" s="12">
        <v>16</v>
      </c>
      <c r="BA44" s="2">
        <v>5</v>
      </c>
    </row>
    <row r="45" spans="1:53">
      <c r="A45" s="16">
        <v>9.35</v>
      </c>
      <c r="B45" s="2">
        <v>5.0999999999999996</v>
      </c>
      <c r="D45" s="12">
        <v>9.75</v>
      </c>
      <c r="E45" s="2">
        <v>5.0999999999999996</v>
      </c>
      <c r="G45" s="51">
        <v>11.95</v>
      </c>
      <c r="H45" s="2">
        <v>5.0999999999999996</v>
      </c>
      <c r="J45" s="51">
        <v>13</v>
      </c>
      <c r="K45" s="2">
        <v>5.0999999999999996</v>
      </c>
      <c r="M45" s="52" t="s">
        <v>378</v>
      </c>
      <c r="N45" s="2">
        <v>5.0999999999999996</v>
      </c>
      <c r="P45" s="52">
        <v>24</v>
      </c>
      <c r="Q45" s="2">
        <v>5.0999999999999996</v>
      </c>
      <c r="S45" s="8">
        <v>2530</v>
      </c>
      <c r="T45" s="2">
        <v>5.0999999999999996</v>
      </c>
      <c r="V45" s="8">
        <v>2330</v>
      </c>
      <c r="W45" s="2">
        <v>5.0999999999999996</v>
      </c>
      <c r="Y45" s="8">
        <v>124</v>
      </c>
      <c r="Z45" s="2">
        <v>5.0999999999999996</v>
      </c>
      <c r="AB45" s="8">
        <v>114</v>
      </c>
      <c r="AC45" s="2">
        <v>5.0999999999999996</v>
      </c>
      <c r="AE45" s="8">
        <v>422</v>
      </c>
      <c r="AF45" s="2">
        <v>5.0999999999999996</v>
      </c>
      <c r="AH45" s="8">
        <v>384</v>
      </c>
      <c r="AI45" s="2">
        <v>5.0999999999999996</v>
      </c>
      <c r="AK45" s="12">
        <v>39</v>
      </c>
      <c r="AL45" s="2">
        <v>5.0999999999999996</v>
      </c>
      <c r="AN45" s="12">
        <v>26.9</v>
      </c>
      <c r="AO45" s="2">
        <v>5.0999999999999996</v>
      </c>
      <c r="AQ45" s="12">
        <v>8.1</v>
      </c>
      <c r="AR45" s="2">
        <v>5.0999999999999996</v>
      </c>
      <c r="AT45" s="12">
        <v>6.6</v>
      </c>
      <c r="AU45" s="2">
        <v>5.0999999999999996</v>
      </c>
      <c r="AW45" s="12">
        <v>23.3</v>
      </c>
      <c r="AX45" s="2">
        <v>5.0999999999999996</v>
      </c>
      <c r="AZ45" s="12">
        <v>16.399999999999999</v>
      </c>
      <c r="BA45" s="2">
        <v>5.0999999999999996</v>
      </c>
    </row>
    <row r="46" spans="1:53">
      <c r="A46" s="12">
        <v>9.3000000000000007</v>
      </c>
      <c r="B46" s="2">
        <v>5.2</v>
      </c>
      <c r="D46" s="12">
        <v>9.6999999999999993</v>
      </c>
      <c r="E46" s="2">
        <v>5.2</v>
      </c>
      <c r="G46" s="51">
        <v>11.9</v>
      </c>
      <c r="H46" s="2">
        <v>5.2</v>
      </c>
      <c r="J46" s="51">
        <v>12.95</v>
      </c>
      <c r="K46" s="2">
        <v>5.2</v>
      </c>
      <c r="M46" s="2">
        <v>26</v>
      </c>
      <c r="N46" s="2">
        <v>5.2</v>
      </c>
      <c r="P46" s="2" t="s">
        <v>378</v>
      </c>
      <c r="Q46" s="2">
        <v>5.2</v>
      </c>
      <c r="S46" s="8">
        <v>2560</v>
      </c>
      <c r="T46" s="2">
        <v>5.2</v>
      </c>
      <c r="V46" s="8">
        <v>2360</v>
      </c>
      <c r="W46" s="2">
        <v>5.2</v>
      </c>
      <c r="Y46" s="8">
        <v>125</v>
      </c>
      <c r="Z46" s="2">
        <v>5.2</v>
      </c>
      <c r="AB46" s="8">
        <v>115</v>
      </c>
      <c r="AC46" s="2">
        <v>5.2</v>
      </c>
      <c r="AE46" s="8">
        <v>424</v>
      </c>
      <c r="AF46" s="2">
        <v>5.2</v>
      </c>
      <c r="AH46" s="8">
        <v>388</v>
      </c>
      <c r="AI46" s="2">
        <v>5.2</v>
      </c>
      <c r="AK46" s="12">
        <v>40</v>
      </c>
      <c r="AL46" s="2">
        <v>5.2</v>
      </c>
      <c r="AN46" s="12">
        <v>27.8</v>
      </c>
      <c r="AO46" s="2">
        <v>5.2</v>
      </c>
      <c r="AQ46" s="12">
        <v>8.1999999999999993</v>
      </c>
      <c r="AR46" s="2">
        <v>5.2</v>
      </c>
      <c r="AT46" s="12">
        <v>6.7</v>
      </c>
      <c r="AU46" s="2">
        <v>5.2</v>
      </c>
      <c r="AW46" s="12">
        <v>23.6</v>
      </c>
      <c r="AX46" s="2">
        <v>5.2</v>
      </c>
      <c r="AZ46" s="12">
        <v>16.8</v>
      </c>
      <c r="BA46" s="2">
        <v>5.2</v>
      </c>
    </row>
    <row r="47" spans="1:53">
      <c r="A47" s="12">
        <v>9.1999999999999993</v>
      </c>
      <c r="B47" s="2">
        <v>5.3</v>
      </c>
      <c r="D47" s="12">
        <v>9.6</v>
      </c>
      <c r="E47" s="2">
        <v>5.3</v>
      </c>
      <c r="G47" s="51">
        <v>11.9</v>
      </c>
      <c r="H47" s="2">
        <v>5.3</v>
      </c>
      <c r="J47" s="51">
        <v>12.85</v>
      </c>
      <c r="K47" s="2">
        <v>5.3</v>
      </c>
      <c r="M47" s="2">
        <v>26.5</v>
      </c>
      <c r="N47" s="2">
        <v>5.3</v>
      </c>
      <c r="P47" s="2">
        <v>24.5</v>
      </c>
      <c r="Q47" s="2">
        <v>5.3</v>
      </c>
      <c r="S47" s="8">
        <v>2590</v>
      </c>
      <c r="T47" s="2">
        <v>5.3</v>
      </c>
      <c r="V47" s="8">
        <v>2390</v>
      </c>
      <c r="W47" s="2">
        <v>5.3</v>
      </c>
      <c r="Y47" s="8">
        <v>126</v>
      </c>
      <c r="Z47" s="2">
        <v>5.3</v>
      </c>
      <c r="AB47" s="8">
        <v>116</v>
      </c>
      <c r="AC47" s="2">
        <v>5.3</v>
      </c>
      <c r="AE47" s="8">
        <v>426</v>
      </c>
      <c r="AF47" s="2">
        <v>5.3</v>
      </c>
      <c r="AH47" s="8">
        <v>392</v>
      </c>
      <c r="AI47" s="2">
        <v>5.3</v>
      </c>
      <c r="AK47" s="12">
        <v>41</v>
      </c>
      <c r="AL47" s="2">
        <v>5.3</v>
      </c>
      <c r="AN47" s="12">
        <v>28.7</v>
      </c>
      <c r="AO47" s="2">
        <v>5.3</v>
      </c>
      <c r="AQ47" s="12">
        <v>8.4</v>
      </c>
      <c r="AR47" s="2">
        <v>5.3</v>
      </c>
      <c r="AT47" s="12">
        <v>6.8</v>
      </c>
      <c r="AU47" s="2">
        <v>5.3</v>
      </c>
      <c r="AW47" s="12">
        <v>23.9</v>
      </c>
      <c r="AX47" s="2">
        <v>5.3</v>
      </c>
      <c r="AZ47" s="12">
        <v>17.2</v>
      </c>
      <c r="BA47" s="2">
        <v>5.3</v>
      </c>
    </row>
    <row r="48" spans="1:53">
      <c r="A48" s="12">
        <v>9.15</v>
      </c>
      <c r="B48" s="2">
        <v>5.4</v>
      </c>
      <c r="D48" s="12">
        <v>9.5500000000000007</v>
      </c>
      <c r="E48" s="2">
        <v>5.4</v>
      </c>
      <c r="G48" s="51">
        <v>11.85</v>
      </c>
      <c r="H48" s="2">
        <v>5.4</v>
      </c>
      <c r="J48" s="51">
        <v>12.8</v>
      </c>
      <c r="K48" s="2">
        <v>5.4</v>
      </c>
      <c r="M48" s="2" t="s">
        <v>378</v>
      </c>
      <c r="N48" s="2">
        <v>5.4</v>
      </c>
      <c r="P48" s="2" t="s">
        <v>378</v>
      </c>
      <c r="Q48" s="2">
        <v>5.4</v>
      </c>
      <c r="S48" s="8">
        <v>2620</v>
      </c>
      <c r="T48" s="2">
        <v>5.4</v>
      </c>
      <c r="V48" s="8">
        <v>2420</v>
      </c>
      <c r="W48" s="2">
        <v>5.4</v>
      </c>
      <c r="Y48" s="8">
        <v>127</v>
      </c>
      <c r="Z48" s="2">
        <v>5.4</v>
      </c>
      <c r="AB48" s="8">
        <v>117</v>
      </c>
      <c r="AC48" s="2">
        <v>5.4</v>
      </c>
      <c r="AE48" s="8">
        <v>428</v>
      </c>
      <c r="AF48" s="2">
        <v>5.4</v>
      </c>
      <c r="AH48" s="8">
        <v>396</v>
      </c>
      <c r="AI48" s="2">
        <v>5.4</v>
      </c>
      <c r="AK48" s="12">
        <v>42</v>
      </c>
      <c r="AL48" s="2">
        <v>5.4</v>
      </c>
      <c r="AN48" s="12">
        <v>29.6</v>
      </c>
      <c r="AO48" s="2">
        <v>5.4</v>
      </c>
      <c r="AQ48" s="12">
        <v>8.5</v>
      </c>
      <c r="AR48" s="2">
        <v>5.4</v>
      </c>
      <c r="AT48" s="12">
        <v>6.9</v>
      </c>
      <c r="AU48" s="2">
        <v>5.4</v>
      </c>
      <c r="AW48" s="12">
        <v>24.2</v>
      </c>
      <c r="AX48" s="2">
        <v>5.4</v>
      </c>
      <c r="AZ48" s="12">
        <v>17.600000000000001</v>
      </c>
      <c r="BA48" s="2">
        <v>5.4</v>
      </c>
    </row>
    <row r="49" spans="1:53">
      <c r="A49" s="12">
        <v>9.1</v>
      </c>
      <c r="B49" s="2">
        <v>5.5</v>
      </c>
      <c r="D49" s="12">
        <v>9.5</v>
      </c>
      <c r="E49" s="2">
        <v>5.5</v>
      </c>
      <c r="G49" s="51">
        <v>11.8</v>
      </c>
      <c r="H49" s="2">
        <v>5.5</v>
      </c>
      <c r="J49" s="51">
        <v>12.7</v>
      </c>
      <c r="K49" s="2">
        <v>5.5</v>
      </c>
      <c r="M49" s="2">
        <v>27</v>
      </c>
      <c r="N49" s="2">
        <v>5.5</v>
      </c>
      <c r="P49" s="2">
        <v>25</v>
      </c>
      <c r="Q49" s="2">
        <v>5.5</v>
      </c>
      <c r="S49" s="8">
        <v>2650</v>
      </c>
      <c r="T49" s="2">
        <v>5.5</v>
      </c>
      <c r="V49" s="8">
        <v>2450</v>
      </c>
      <c r="W49" s="2">
        <v>5.5</v>
      </c>
      <c r="Y49" s="8">
        <v>128</v>
      </c>
      <c r="Z49" s="2">
        <v>5.5</v>
      </c>
      <c r="AB49" s="8">
        <v>118</v>
      </c>
      <c r="AC49" s="2">
        <v>5.5</v>
      </c>
      <c r="AE49" s="8">
        <v>430</v>
      </c>
      <c r="AF49" s="2">
        <v>5.5</v>
      </c>
      <c r="AH49" s="8">
        <v>400</v>
      </c>
      <c r="AI49" s="2">
        <v>5.5</v>
      </c>
      <c r="AK49" s="12">
        <v>43</v>
      </c>
      <c r="AL49" s="2">
        <v>5.5</v>
      </c>
      <c r="AN49" s="12">
        <v>30.5</v>
      </c>
      <c r="AO49" s="2">
        <v>5.5</v>
      </c>
      <c r="AQ49" s="12">
        <v>8.6</v>
      </c>
      <c r="AR49" s="2">
        <v>5.5</v>
      </c>
      <c r="AT49" s="12">
        <v>7</v>
      </c>
      <c r="AU49" s="2">
        <v>5.5</v>
      </c>
      <c r="AW49" s="12">
        <v>24.5</v>
      </c>
      <c r="AX49" s="2">
        <v>5.5</v>
      </c>
      <c r="AZ49" s="12">
        <v>18</v>
      </c>
      <c r="BA49" s="2">
        <v>5.5</v>
      </c>
    </row>
    <row r="50" spans="1:53">
      <c r="A50" s="12">
        <v>9</v>
      </c>
      <c r="B50" s="2">
        <v>5.6</v>
      </c>
      <c r="D50" s="12">
        <v>9.4499999999999993</v>
      </c>
      <c r="E50" s="2">
        <v>5.6</v>
      </c>
      <c r="G50" s="51">
        <v>11.75</v>
      </c>
      <c r="H50" s="2">
        <v>5.6</v>
      </c>
      <c r="J50" s="51">
        <v>12.6</v>
      </c>
      <c r="K50" s="2">
        <v>5.6</v>
      </c>
      <c r="M50" s="2" t="s">
        <v>378</v>
      </c>
      <c r="N50" s="2">
        <v>5.6</v>
      </c>
      <c r="P50" s="2" t="s">
        <v>378</v>
      </c>
      <c r="Q50" s="2">
        <v>5.6</v>
      </c>
      <c r="S50" s="8">
        <v>2680</v>
      </c>
      <c r="T50" s="2">
        <v>5.6</v>
      </c>
      <c r="V50" s="8">
        <v>2480</v>
      </c>
      <c r="W50" s="2">
        <v>5.6</v>
      </c>
      <c r="Y50" s="8">
        <v>129</v>
      </c>
      <c r="Z50" s="2">
        <v>5.6</v>
      </c>
      <c r="AB50" s="8">
        <v>119</v>
      </c>
      <c r="AC50" s="2">
        <v>5.6</v>
      </c>
      <c r="AE50" s="8">
        <v>432</v>
      </c>
      <c r="AF50" s="2">
        <v>5.6</v>
      </c>
      <c r="AH50" s="8">
        <v>404</v>
      </c>
      <c r="AI50" s="2">
        <v>5.6</v>
      </c>
      <c r="AK50" s="12">
        <v>44</v>
      </c>
      <c r="AL50" s="2">
        <v>5.6</v>
      </c>
      <c r="AN50" s="12">
        <v>31.4</v>
      </c>
      <c r="AO50" s="2">
        <v>5.6</v>
      </c>
      <c r="AQ50" s="12">
        <v>8.6999999999999993</v>
      </c>
      <c r="AR50" s="2">
        <v>5.6</v>
      </c>
      <c r="AT50" s="12">
        <v>7.1</v>
      </c>
      <c r="AU50" s="2">
        <v>5.6</v>
      </c>
      <c r="AW50" s="12">
        <v>24.8</v>
      </c>
      <c r="AX50" s="2">
        <v>5.6</v>
      </c>
      <c r="AZ50" s="12">
        <v>18.2</v>
      </c>
      <c r="BA50" s="2">
        <v>5.6</v>
      </c>
    </row>
    <row r="51" spans="1:53">
      <c r="A51" s="12">
        <v>8.9499999999999993</v>
      </c>
      <c r="B51" s="2">
        <v>5.7</v>
      </c>
      <c r="D51" s="12">
        <v>9.4</v>
      </c>
      <c r="E51" s="2">
        <v>5.7</v>
      </c>
      <c r="G51" s="51">
        <v>11.7</v>
      </c>
      <c r="H51" s="2">
        <v>5.7</v>
      </c>
      <c r="J51" s="51">
        <v>12.5</v>
      </c>
      <c r="K51" s="2">
        <v>5.7</v>
      </c>
      <c r="M51" s="2" t="s">
        <v>378</v>
      </c>
      <c r="N51" s="2">
        <v>5.7</v>
      </c>
      <c r="P51" s="2" t="s">
        <v>378</v>
      </c>
      <c r="Q51" s="2">
        <v>5.7</v>
      </c>
      <c r="S51" s="8">
        <v>2710</v>
      </c>
      <c r="T51" s="2">
        <v>5.7</v>
      </c>
      <c r="V51" s="8">
        <v>2510</v>
      </c>
      <c r="W51" s="2">
        <v>5.7</v>
      </c>
      <c r="Y51" s="8">
        <v>130</v>
      </c>
      <c r="Z51" s="2">
        <v>5.7</v>
      </c>
      <c r="AB51" s="8">
        <v>120</v>
      </c>
      <c r="AC51" s="2">
        <v>5.7</v>
      </c>
      <c r="AE51" s="8">
        <v>434</v>
      </c>
      <c r="AF51" s="2">
        <v>5.7</v>
      </c>
      <c r="AH51" s="8">
        <v>408</v>
      </c>
      <c r="AI51" s="2">
        <v>5.7</v>
      </c>
      <c r="AK51" s="12">
        <v>45</v>
      </c>
      <c r="AL51" s="2">
        <v>5.7</v>
      </c>
      <c r="AN51" s="12">
        <v>32.299999999999997</v>
      </c>
      <c r="AO51" s="2">
        <v>5.7</v>
      </c>
      <c r="AQ51" s="12">
        <v>8.8000000000000007</v>
      </c>
      <c r="AR51" s="2">
        <v>5.7</v>
      </c>
      <c r="AT51" s="12">
        <v>7.2</v>
      </c>
      <c r="AU51" s="2">
        <v>5.7</v>
      </c>
      <c r="AW51" s="12">
        <v>25.1</v>
      </c>
      <c r="AX51" s="2">
        <v>5.7</v>
      </c>
      <c r="AZ51" s="12">
        <v>18.399999999999999</v>
      </c>
      <c r="BA51" s="2">
        <v>5.7</v>
      </c>
    </row>
    <row r="52" spans="1:53">
      <c r="A52" s="12">
        <v>8.85</v>
      </c>
      <c r="B52" s="2">
        <v>5.8</v>
      </c>
      <c r="D52" s="12">
        <v>9.3000000000000007</v>
      </c>
      <c r="E52" s="2">
        <v>5.8</v>
      </c>
      <c r="G52" s="51">
        <v>11.6</v>
      </c>
      <c r="H52" s="2">
        <v>5.8</v>
      </c>
      <c r="J52" s="51">
        <v>12.4</v>
      </c>
      <c r="K52" s="2">
        <v>5.8</v>
      </c>
      <c r="M52" s="2">
        <v>27.5</v>
      </c>
      <c r="N52" s="2">
        <v>5.8</v>
      </c>
      <c r="P52" s="2">
        <v>25.5</v>
      </c>
      <c r="Q52" s="2">
        <v>5.8</v>
      </c>
      <c r="S52" s="8">
        <v>2740</v>
      </c>
      <c r="T52" s="2">
        <v>5.8</v>
      </c>
      <c r="V52" s="8">
        <v>2540</v>
      </c>
      <c r="W52" s="2">
        <v>5.8</v>
      </c>
      <c r="Y52" s="8">
        <v>132</v>
      </c>
      <c r="Z52" s="2">
        <v>5.8</v>
      </c>
      <c r="AB52" s="8">
        <v>122</v>
      </c>
      <c r="AC52" s="2">
        <v>5.8</v>
      </c>
      <c r="AE52" s="8">
        <v>436</v>
      </c>
      <c r="AF52" s="2">
        <v>5.8</v>
      </c>
      <c r="AH52" s="8">
        <v>412</v>
      </c>
      <c r="AI52" s="2">
        <v>5.8</v>
      </c>
      <c r="AK52" s="12">
        <v>46</v>
      </c>
      <c r="AL52" s="2">
        <v>5.8</v>
      </c>
      <c r="AN52" s="12">
        <v>33.200000000000003</v>
      </c>
      <c r="AO52" s="2">
        <v>5.8</v>
      </c>
      <c r="AQ52" s="12">
        <v>9</v>
      </c>
      <c r="AR52" s="2">
        <v>5.8</v>
      </c>
      <c r="AT52" s="12">
        <v>7.3</v>
      </c>
      <c r="AU52" s="2">
        <v>5.8</v>
      </c>
      <c r="AW52" s="12">
        <v>25.4</v>
      </c>
      <c r="AX52" s="2">
        <v>5.8</v>
      </c>
      <c r="AZ52" s="12">
        <v>18.600000000000001</v>
      </c>
      <c r="BA52" s="2">
        <v>5.8</v>
      </c>
    </row>
    <row r="53" spans="1:53">
      <c r="A53" s="12">
        <v>8.8000000000000007</v>
      </c>
      <c r="B53" s="2">
        <v>5.9</v>
      </c>
      <c r="D53" s="12">
        <v>9.25</v>
      </c>
      <c r="E53" s="2">
        <v>5.9</v>
      </c>
      <c r="G53" s="51">
        <v>11.55</v>
      </c>
      <c r="H53" s="2">
        <v>5.9</v>
      </c>
      <c r="J53" s="51">
        <v>12.3</v>
      </c>
      <c r="K53" s="2">
        <v>5.9</v>
      </c>
      <c r="M53" s="2" t="s">
        <v>378</v>
      </c>
      <c r="N53" s="2">
        <v>5.9</v>
      </c>
      <c r="P53" s="2" t="s">
        <v>378</v>
      </c>
      <c r="Q53" s="2">
        <v>5.9</v>
      </c>
      <c r="S53" s="8">
        <v>2770</v>
      </c>
      <c r="T53" s="2">
        <v>5.9</v>
      </c>
      <c r="V53" s="8">
        <v>2570</v>
      </c>
      <c r="W53" s="2">
        <v>5.9</v>
      </c>
      <c r="Y53" s="8">
        <v>134</v>
      </c>
      <c r="Z53" s="2">
        <v>5.9</v>
      </c>
      <c r="AB53" s="8">
        <v>124</v>
      </c>
      <c r="AC53" s="2">
        <v>5.9</v>
      </c>
      <c r="AE53" s="8">
        <v>438</v>
      </c>
      <c r="AF53" s="2">
        <v>5.9</v>
      </c>
      <c r="AH53" s="8">
        <v>416</v>
      </c>
      <c r="AI53" s="2">
        <v>5.9</v>
      </c>
      <c r="AK53" s="12">
        <v>47</v>
      </c>
      <c r="AL53" s="2">
        <v>5.9</v>
      </c>
      <c r="AN53" s="12">
        <v>34.1</v>
      </c>
      <c r="AO53" s="2">
        <v>5.9</v>
      </c>
      <c r="AQ53" s="12">
        <v>9.1</v>
      </c>
      <c r="AR53" s="2">
        <v>5.9</v>
      </c>
      <c r="AT53" s="12">
        <v>7.4</v>
      </c>
      <c r="AU53" s="2">
        <v>5.9</v>
      </c>
      <c r="AW53" s="12">
        <v>25.7</v>
      </c>
      <c r="AX53" s="2">
        <v>5.9</v>
      </c>
      <c r="AZ53" s="12">
        <v>18.8</v>
      </c>
      <c r="BA53" s="2">
        <v>5.9</v>
      </c>
    </row>
    <row r="54" spans="1:53">
      <c r="A54" s="12">
        <v>8.6999999999999993</v>
      </c>
      <c r="B54" s="2">
        <v>6</v>
      </c>
      <c r="D54" s="12">
        <v>9.1999999999999993</v>
      </c>
      <c r="E54" s="2">
        <v>6</v>
      </c>
      <c r="G54" s="51">
        <v>11.5</v>
      </c>
      <c r="H54" s="2">
        <v>6</v>
      </c>
      <c r="J54" s="51">
        <v>12.2</v>
      </c>
      <c r="K54" s="2">
        <v>6</v>
      </c>
      <c r="M54" s="2">
        <v>28</v>
      </c>
      <c r="N54" s="2">
        <v>6</v>
      </c>
      <c r="P54" s="2">
        <v>26</v>
      </c>
      <c r="Q54" s="2">
        <v>6</v>
      </c>
      <c r="S54" s="8">
        <v>2800</v>
      </c>
      <c r="T54" s="2">
        <v>6</v>
      </c>
      <c r="V54" s="8">
        <v>2600</v>
      </c>
      <c r="W54" s="2">
        <v>6</v>
      </c>
      <c r="Y54" s="8">
        <v>135</v>
      </c>
      <c r="Z54" s="2">
        <v>6</v>
      </c>
      <c r="AB54" s="8">
        <v>125</v>
      </c>
      <c r="AC54" s="2">
        <v>6</v>
      </c>
      <c r="AE54" s="8">
        <v>440</v>
      </c>
      <c r="AF54" s="2">
        <v>6</v>
      </c>
      <c r="AH54" s="8">
        <v>420</v>
      </c>
      <c r="AI54" s="2">
        <v>6</v>
      </c>
      <c r="AK54" s="12">
        <v>48</v>
      </c>
      <c r="AL54" s="2">
        <v>6</v>
      </c>
      <c r="AN54" s="12">
        <v>35</v>
      </c>
      <c r="AO54" s="2">
        <v>6</v>
      </c>
      <c r="AQ54" s="12">
        <v>9.1999999999999993</v>
      </c>
      <c r="AR54" s="2">
        <v>6</v>
      </c>
      <c r="AT54" s="12">
        <v>7.5</v>
      </c>
      <c r="AU54" s="2">
        <v>6</v>
      </c>
      <c r="AW54" s="12">
        <v>26</v>
      </c>
      <c r="AX54" s="2">
        <v>6</v>
      </c>
      <c r="AZ54" s="12">
        <v>19</v>
      </c>
      <c r="BA54" s="2">
        <v>6</v>
      </c>
    </row>
    <row r="55" spans="1:53">
      <c r="A55" s="49"/>
      <c r="B55" s="2"/>
      <c r="D55" s="49"/>
      <c r="E55" s="2"/>
      <c r="G55" s="49"/>
      <c r="H55" s="2"/>
      <c r="J55" s="49"/>
      <c r="K55" s="2"/>
      <c r="M55" s="54"/>
      <c r="N55" s="2"/>
      <c r="P55" s="54"/>
      <c r="Q55" s="2"/>
      <c r="S55" s="55"/>
      <c r="T55" s="2"/>
      <c r="V55" s="55"/>
      <c r="W55" s="2"/>
      <c r="Y55" s="54"/>
      <c r="Z55" s="2"/>
      <c r="AB55" s="54"/>
      <c r="AC55" s="2"/>
      <c r="AE55" s="54"/>
      <c r="AF55" s="2"/>
      <c r="AH55" s="54"/>
      <c r="AI55" s="2"/>
      <c r="AK55" s="54"/>
      <c r="AL55" s="2"/>
      <c r="AN55" s="54"/>
      <c r="AO55" s="2"/>
      <c r="AQ55" s="54"/>
      <c r="AR55" s="2"/>
      <c r="AT55" s="54"/>
      <c r="AU55" s="2"/>
      <c r="AW55" s="54"/>
      <c r="AX55" s="2"/>
      <c r="AZ55" s="54"/>
      <c r="BA55" s="2"/>
    </row>
    <row r="56" spans="1:53">
      <c r="B56" s="2"/>
      <c r="E56" s="2"/>
      <c r="H56" s="2"/>
      <c r="K56" s="2"/>
      <c r="T56" s="2"/>
      <c r="W56" s="2"/>
    </row>
  </sheetData>
  <mergeCells count="18">
    <mergeCell ref="A2:B2"/>
    <mergeCell ref="D2:E2"/>
    <mergeCell ref="AK2:AL2"/>
    <mergeCell ref="AN2:AO2"/>
    <mergeCell ref="AQ2:AR2"/>
    <mergeCell ref="V2:W2"/>
    <mergeCell ref="Y2:Z2"/>
    <mergeCell ref="AB2:AC2"/>
    <mergeCell ref="AE2:AF2"/>
    <mergeCell ref="AH2:AI2"/>
    <mergeCell ref="G2:H2"/>
    <mergeCell ref="J2:K2"/>
    <mergeCell ref="M2:N2"/>
    <mergeCell ref="P2:Q2"/>
    <mergeCell ref="S2:T2"/>
    <mergeCell ref="AT2:AU2"/>
    <mergeCell ref="AW2:AX2"/>
    <mergeCell ref="AZ2:BA2"/>
  </mergeCells>
  <pageMargins left="0.7" right="0.7" top="0.78740157499999996" bottom="0.78740157499999996" header="0.3" footer="0.3"/>
  <pageSetup paperSize="9" orientation="portrait" horizontalDpi="4294967295" verticalDpi="4294967295" r:id="rId1"/>
  <tableParts count="1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/>
  <dimension ref="A1:K31"/>
  <sheetViews>
    <sheetView zoomScale="90" zoomScaleNormal="90" workbookViewId="0"/>
  </sheetViews>
  <sheetFormatPr baseColWidth="10" defaultColWidth="11.5703125" defaultRowHeight="15"/>
  <cols>
    <col min="3" max="3" width="1.140625" customWidth="1"/>
    <col min="6" max="6" width="2.7109375" customWidth="1"/>
    <col min="7" max="7" width="11.7109375" customWidth="1"/>
    <col min="9" max="9" width="1.140625" customWidth="1"/>
    <col min="10" max="10" width="11.7109375" customWidth="1"/>
    <col min="12" max="12" width="11.5703125" customWidth="1"/>
    <col min="14" max="14" width="11.5703125" customWidth="1"/>
    <col min="17" max="17" width="11.5703125" customWidth="1"/>
    <col min="20" max="21" width="11.5703125" customWidth="1"/>
    <col min="23" max="23" width="11.5703125" customWidth="1"/>
    <col min="26" max="26" width="11.5703125" customWidth="1"/>
  </cols>
  <sheetData>
    <row r="1" spans="1:11">
      <c r="A1" s="4" t="str">
        <f>INDEX(StdGruppe[StdGruppe],5)</f>
        <v>Geräteturnen</v>
      </c>
      <c r="G1" s="4" t="str">
        <f>INDEX(StdDisziplinen[StdDisziplin],16)</f>
        <v>Parkour</v>
      </c>
    </row>
    <row r="2" spans="1:11">
      <c r="A2" s="90" t="str">
        <f>Stammdaten!$E$6</f>
        <v>Knaben_K1</v>
      </c>
      <c r="B2" s="90"/>
      <c r="C2" s="5"/>
      <c r="D2" s="90" t="str">
        <f>Stammdaten!$E$7</f>
        <v>Mädchen_M1</v>
      </c>
      <c r="E2" s="90"/>
      <c r="G2" s="90" t="str">
        <f>$A$2</f>
        <v>Knaben_K1</v>
      </c>
      <c r="H2" s="90"/>
      <c r="I2" s="5"/>
      <c r="J2" s="90" t="str">
        <f>$D$2</f>
        <v>Mädchen_M1</v>
      </c>
      <c r="K2" s="90"/>
    </row>
    <row r="3" spans="1:11">
      <c r="A3" s="20" t="s">
        <v>22</v>
      </c>
      <c r="B3" s="20" t="s">
        <v>7</v>
      </c>
      <c r="D3" s="20" t="s">
        <v>22</v>
      </c>
      <c r="E3" s="20" t="s">
        <v>7</v>
      </c>
      <c r="G3" s="20" t="s">
        <v>22</v>
      </c>
      <c r="H3" s="20" t="s">
        <v>7</v>
      </c>
      <c r="J3" s="20" t="s">
        <v>22</v>
      </c>
      <c r="K3" s="20" t="s">
        <v>7</v>
      </c>
    </row>
    <row r="4" spans="1:11">
      <c r="A4" s="22"/>
      <c r="B4" s="21"/>
      <c r="D4" s="22"/>
      <c r="E4" s="21"/>
      <c r="G4" s="22"/>
      <c r="H4" s="23"/>
      <c r="J4" s="22"/>
      <c r="K4" s="23"/>
    </row>
    <row r="5" spans="1:11">
      <c r="A5" s="22"/>
      <c r="B5" s="21"/>
      <c r="D5" s="22"/>
      <c r="E5" s="21"/>
      <c r="G5" s="22"/>
      <c r="H5" s="23"/>
      <c r="J5" s="22"/>
      <c r="K5" s="23"/>
    </row>
    <row r="6" spans="1:11">
      <c r="A6" s="22"/>
      <c r="B6" s="21"/>
      <c r="D6" s="22"/>
      <c r="E6" s="21"/>
      <c r="G6" s="22"/>
      <c r="H6" s="23"/>
      <c r="J6" s="22"/>
      <c r="K6" s="23"/>
    </row>
    <row r="7" spans="1:11">
      <c r="A7" s="22"/>
      <c r="B7" s="21"/>
      <c r="D7" s="22"/>
      <c r="E7" s="21"/>
      <c r="G7" s="22"/>
      <c r="H7" s="24"/>
      <c r="J7" s="22"/>
      <c r="K7" s="24"/>
    </row>
    <row r="8" spans="1:11">
      <c r="A8" s="22">
        <v>10</v>
      </c>
      <c r="B8" s="21">
        <v>2</v>
      </c>
      <c r="D8" s="22">
        <v>10</v>
      </c>
      <c r="E8" s="21">
        <v>2</v>
      </c>
      <c r="G8" s="22"/>
      <c r="H8" s="23"/>
      <c r="J8" s="22"/>
      <c r="K8" s="23"/>
    </row>
    <row r="9" spans="1:11">
      <c r="A9" s="22">
        <v>13</v>
      </c>
      <c r="B9" s="21">
        <v>2.25</v>
      </c>
      <c r="D9" s="22">
        <v>13</v>
      </c>
      <c r="E9" s="21">
        <v>2.25</v>
      </c>
      <c r="G9" s="22">
        <v>5</v>
      </c>
      <c r="H9" s="23">
        <v>2</v>
      </c>
      <c r="J9" s="22">
        <v>5</v>
      </c>
      <c r="K9" s="23">
        <v>2</v>
      </c>
    </row>
    <row r="10" spans="1:11">
      <c r="A10" s="22">
        <v>16</v>
      </c>
      <c r="B10" s="21">
        <v>2.5</v>
      </c>
      <c r="D10" s="22">
        <v>16</v>
      </c>
      <c r="E10" s="21">
        <v>2.5</v>
      </c>
      <c r="G10" s="22">
        <v>6</v>
      </c>
      <c r="H10" s="24">
        <v>2.2000000000000002</v>
      </c>
      <c r="J10" s="22">
        <v>6</v>
      </c>
      <c r="K10" s="24">
        <v>2.2000000000000002</v>
      </c>
    </row>
    <row r="11" spans="1:11">
      <c r="A11" s="22">
        <v>19</v>
      </c>
      <c r="B11" s="21">
        <v>2.75</v>
      </c>
      <c r="D11" s="22">
        <v>19</v>
      </c>
      <c r="E11" s="21">
        <v>2.75</v>
      </c>
      <c r="G11" s="22">
        <v>7</v>
      </c>
      <c r="H11" s="23">
        <v>2.4</v>
      </c>
      <c r="J11" s="22">
        <v>7</v>
      </c>
      <c r="K11" s="23">
        <v>2.4</v>
      </c>
    </row>
    <row r="12" spans="1:11">
      <c r="A12" s="22">
        <v>22</v>
      </c>
      <c r="B12" s="21">
        <v>3</v>
      </c>
      <c r="D12" s="22">
        <v>22</v>
      </c>
      <c r="E12" s="21">
        <v>3</v>
      </c>
      <c r="G12" s="22">
        <v>8</v>
      </c>
      <c r="H12" s="23">
        <v>2.6</v>
      </c>
      <c r="J12" s="22">
        <v>8</v>
      </c>
      <c r="K12" s="23">
        <v>2.6</v>
      </c>
    </row>
    <row r="13" spans="1:11">
      <c r="A13" s="22">
        <v>25</v>
      </c>
      <c r="B13" s="21">
        <v>3.25</v>
      </c>
      <c r="D13" s="22">
        <v>25</v>
      </c>
      <c r="E13" s="21">
        <v>3.25</v>
      </c>
      <c r="G13" s="22">
        <v>9</v>
      </c>
      <c r="H13" s="24">
        <v>2.8</v>
      </c>
      <c r="J13" s="22">
        <v>9</v>
      </c>
      <c r="K13" s="24">
        <v>2.8</v>
      </c>
    </row>
    <row r="14" spans="1:11">
      <c r="A14" s="22">
        <v>28</v>
      </c>
      <c r="B14" s="21">
        <v>3.5</v>
      </c>
      <c r="D14" s="22">
        <v>28</v>
      </c>
      <c r="E14" s="21">
        <v>3.5</v>
      </c>
      <c r="G14" s="22">
        <v>10</v>
      </c>
      <c r="H14" s="23">
        <v>3</v>
      </c>
      <c r="J14" s="22">
        <v>10</v>
      </c>
      <c r="K14" s="23">
        <v>3</v>
      </c>
    </row>
    <row r="15" spans="1:11">
      <c r="A15" s="22">
        <v>31</v>
      </c>
      <c r="B15" s="21">
        <v>3.75</v>
      </c>
      <c r="D15" s="22">
        <v>31</v>
      </c>
      <c r="E15" s="21">
        <v>3.75</v>
      </c>
      <c r="G15" s="22">
        <v>11</v>
      </c>
      <c r="H15" s="23">
        <v>3.2</v>
      </c>
      <c r="J15" s="22">
        <v>11</v>
      </c>
      <c r="K15" s="23">
        <v>3.2</v>
      </c>
    </row>
    <row r="16" spans="1:11">
      <c r="A16" s="22">
        <v>34</v>
      </c>
      <c r="B16" s="21">
        <v>4</v>
      </c>
      <c r="D16" s="22">
        <v>34</v>
      </c>
      <c r="E16" s="21">
        <v>4</v>
      </c>
      <c r="G16" s="22">
        <v>12</v>
      </c>
      <c r="H16" s="24">
        <v>3.4</v>
      </c>
      <c r="J16" s="22">
        <v>12</v>
      </c>
      <c r="K16" s="24">
        <v>3.4</v>
      </c>
    </row>
    <row r="17" spans="1:11">
      <c r="A17" s="22">
        <v>37</v>
      </c>
      <c r="B17" s="21">
        <v>4.25</v>
      </c>
      <c r="D17" s="22">
        <v>37</v>
      </c>
      <c r="E17" s="21">
        <v>4.25</v>
      </c>
      <c r="G17" s="22">
        <v>13</v>
      </c>
      <c r="H17" s="23">
        <v>3.6</v>
      </c>
      <c r="J17" s="22">
        <v>13</v>
      </c>
      <c r="K17" s="23">
        <v>3.6</v>
      </c>
    </row>
    <row r="18" spans="1:11">
      <c r="A18" s="22">
        <v>40</v>
      </c>
      <c r="B18" s="21">
        <v>4.5</v>
      </c>
      <c r="D18" s="22">
        <v>40</v>
      </c>
      <c r="E18" s="21">
        <v>4.5</v>
      </c>
      <c r="G18" s="22">
        <v>14</v>
      </c>
      <c r="H18" s="23">
        <v>3.8</v>
      </c>
      <c r="J18" s="22">
        <v>14</v>
      </c>
      <c r="K18" s="23">
        <v>3.8</v>
      </c>
    </row>
    <row r="19" spans="1:11">
      <c r="A19" s="22">
        <v>43</v>
      </c>
      <c r="B19" s="21">
        <v>4.75</v>
      </c>
      <c r="D19" s="22">
        <v>43</v>
      </c>
      <c r="E19" s="21">
        <v>4.75</v>
      </c>
      <c r="G19" s="22">
        <v>15</v>
      </c>
      <c r="H19" s="24">
        <v>4</v>
      </c>
      <c r="J19" s="22">
        <v>15</v>
      </c>
      <c r="K19" s="24">
        <v>4</v>
      </c>
    </row>
    <row r="20" spans="1:11">
      <c r="A20" s="22">
        <v>46</v>
      </c>
      <c r="B20" s="21">
        <v>5</v>
      </c>
      <c r="D20" s="22">
        <v>46</v>
      </c>
      <c r="E20" s="21">
        <v>5</v>
      </c>
      <c r="G20" s="22">
        <v>16</v>
      </c>
      <c r="H20" s="23">
        <v>4.2</v>
      </c>
      <c r="J20" s="22">
        <v>16</v>
      </c>
      <c r="K20" s="23">
        <v>4.2</v>
      </c>
    </row>
    <row r="21" spans="1:11">
      <c r="A21" s="22">
        <v>49</v>
      </c>
      <c r="B21" s="21">
        <v>5.25</v>
      </c>
      <c r="D21" s="22">
        <v>49</v>
      </c>
      <c r="E21" s="21">
        <v>5.25</v>
      </c>
      <c r="G21" s="22">
        <v>17</v>
      </c>
      <c r="H21" s="23">
        <v>4.4000000000000004</v>
      </c>
      <c r="J21" s="22">
        <v>17</v>
      </c>
      <c r="K21" s="23">
        <v>4.4000000000000004</v>
      </c>
    </row>
    <row r="22" spans="1:11">
      <c r="A22" s="22">
        <v>52</v>
      </c>
      <c r="B22" s="21">
        <v>5.5</v>
      </c>
      <c r="D22" s="22">
        <v>52</v>
      </c>
      <c r="E22" s="21">
        <v>5.5</v>
      </c>
      <c r="G22" s="22">
        <v>18</v>
      </c>
      <c r="H22" s="24">
        <v>4.5999999999999996</v>
      </c>
      <c r="J22" s="22">
        <v>18</v>
      </c>
      <c r="K22" s="24">
        <v>4.5999999999999996</v>
      </c>
    </row>
    <row r="23" spans="1:11">
      <c r="A23" s="22">
        <v>55</v>
      </c>
      <c r="B23" s="21">
        <v>5.75</v>
      </c>
      <c r="D23" s="22">
        <v>55</v>
      </c>
      <c r="E23" s="21">
        <v>5.75</v>
      </c>
      <c r="G23" s="22">
        <v>19</v>
      </c>
      <c r="H23" s="23">
        <v>4.8</v>
      </c>
      <c r="J23" s="22">
        <v>19</v>
      </c>
      <c r="K23" s="23">
        <v>4.8</v>
      </c>
    </row>
    <row r="24" spans="1:11">
      <c r="A24" s="22">
        <v>56</v>
      </c>
      <c r="B24" s="21">
        <v>6</v>
      </c>
      <c r="D24" s="22">
        <v>56</v>
      </c>
      <c r="E24" s="21">
        <v>6</v>
      </c>
      <c r="G24" s="22">
        <v>20</v>
      </c>
      <c r="H24" s="23">
        <v>5</v>
      </c>
      <c r="J24" s="22">
        <v>20</v>
      </c>
      <c r="K24" s="23">
        <v>5</v>
      </c>
    </row>
    <row r="25" spans="1:11">
      <c r="A25" s="54"/>
      <c r="B25" s="21"/>
      <c r="D25" s="54"/>
      <c r="E25" s="21"/>
      <c r="G25" s="22">
        <v>21</v>
      </c>
      <c r="H25" s="24">
        <v>5.2</v>
      </c>
      <c r="J25" s="22">
        <v>21</v>
      </c>
      <c r="K25" s="24">
        <v>5.2</v>
      </c>
    </row>
    <row r="26" spans="1:11">
      <c r="G26" s="22">
        <v>22</v>
      </c>
      <c r="H26" s="23">
        <v>5.4</v>
      </c>
      <c r="J26" s="22">
        <v>22</v>
      </c>
      <c r="K26" s="23">
        <v>5.4</v>
      </c>
    </row>
    <row r="27" spans="1:11">
      <c r="G27" s="22">
        <v>23</v>
      </c>
      <c r="H27" s="23">
        <v>5.6</v>
      </c>
      <c r="J27" s="22">
        <v>23</v>
      </c>
      <c r="K27" s="23">
        <v>5.6</v>
      </c>
    </row>
    <row r="28" spans="1:11">
      <c r="G28" s="22">
        <v>24</v>
      </c>
      <c r="H28" s="24">
        <v>5.8</v>
      </c>
      <c r="J28" s="22">
        <v>24</v>
      </c>
      <c r="K28" s="24">
        <v>5.8</v>
      </c>
    </row>
    <row r="29" spans="1:11">
      <c r="G29" s="22">
        <v>25</v>
      </c>
      <c r="H29" s="23">
        <v>6</v>
      </c>
      <c r="J29" s="22">
        <v>25</v>
      </c>
      <c r="K29" s="23">
        <v>6</v>
      </c>
    </row>
    <row r="30" spans="1:11">
      <c r="G30" s="71">
        <v>26</v>
      </c>
      <c r="H30" s="23">
        <v>6</v>
      </c>
      <c r="J30" s="71">
        <v>26</v>
      </c>
      <c r="K30" s="23">
        <v>6</v>
      </c>
    </row>
    <row r="31" spans="1:11">
      <c r="G31" s="54"/>
      <c r="H31" s="23"/>
      <c r="J31" s="54"/>
      <c r="K31" s="23"/>
    </row>
  </sheetData>
  <mergeCells count="4">
    <mergeCell ref="A2:B2"/>
    <mergeCell ref="D2:E2"/>
    <mergeCell ref="G2:H2"/>
    <mergeCell ref="J2:K2"/>
  </mergeCells>
  <conditionalFormatting sqref="B4:B24">
    <cfRule type="expression" dxfId="451" priority="3">
      <formula>RIGHT(TEXT($B4,"#.00"),2)="00"</formula>
    </cfRule>
    <cfRule type="expression" dxfId="450" priority="4">
      <formula>RIGHT(TEXT($B4,"#.00"),2)="50"</formula>
    </cfRule>
  </conditionalFormatting>
  <conditionalFormatting sqref="E4:E24">
    <cfRule type="expression" dxfId="449" priority="1">
      <formula>RIGHT(TEXT($E4,"#.00"),2)="00"</formula>
    </cfRule>
    <cfRule type="expression" dxfId="448" priority="2">
      <formula>RIGHT(TEXT($E4,"#.00"),2)="50"</formula>
    </cfRule>
  </conditionalFormatting>
  <pageMargins left="0.7" right="0.7" top="0.78740157499999996" bottom="0.78740157499999996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1"/>
  <dimension ref="A1:K31"/>
  <sheetViews>
    <sheetView zoomScale="90" zoomScaleNormal="90" workbookViewId="0"/>
  </sheetViews>
  <sheetFormatPr baseColWidth="10" defaultColWidth="11.5703125" defaultRowHeight="15"/>
  <cols>
    <col min="3" max="3" width="1.140625" customWidth="1"/>
    <col min="6" max="6" width="2.7109375" customWidth="1"/>
    <col min="7" max="7" width="11.7109375" customWidth="1"/>
    <col min="9" max="9" width="1.140625" customWidth="1"/>
    <col min="10" max="10" width="11.7109375" customWidth="1"/>
    <col min="12" max="12" width="11.5703125" customWidth="1"/>
    <col min="14" max="14" width="11.5703125" customWidth="1"/>
    <col min="17" max="17" width="11.5703125" customWidth="1"/>
    <col min="20" max="21" width="11.5703125" customWidth="1"/>
    <col min="23" max="23" width="11.5703125" customWidth="1"/>
    <col min="26" max="26" width="11.5703125" customWidth="1"/>
  </cols>
  <sheetData>
    <row r="1" spans="1:11">
      <c r="A1" s="4" t="str">
        <f>INDEX(StdGruppe[StdGruppe],5)</f>
        <v>Geräteturnen</v>
      </c>
      <c r="G1" s="4" t="str">
        <f>INDEX(StdDisziplinen[StdDisziplin],16)</f>
        <v>Parkour</v>
      </c>
    </row>
    <row r="2" spans="1:11">
      <c r="A2" s="90" t="str">
        <f>Stammdaten!$F$6</f>
        <v>Knaben_K2</v>
      </c>
      <c r="B2" s="90"/>
      <c r="C2" s="5"/>
      <c r="D2" s="90" t="str">
        <f>Stammdaten!$F$7</f>
        <v>Mädchen_M2</v>
      </c>
      <c r="E2" s="90"/>
      <c r="G2" s="90" t="str">
        <f>$A$2</f>
        <v>Knaben_K2</v>
      </c>
      <c r="H2" s="90"/>
      <c r="I2" s="5"/>
      <c r="J2" s="90" t="str">
        <f>$D$2</f>
        <v>Mädchen_M2</v>
      </c>
      <c r="K2" s="90"/>
    </row>
    <row r="3" spans="1:11">
      <c r="A3" s="20" t="s">
        <v>22</v>
      </c>
      <c r="B3" s="20" t="s">
        <v>7</v>
      </c>
      <c r="D3" s="20" t="s">
        <v>22</v>
      </c>
      <c r="E3" s="20" t="s">
        <v>7</v>
      </c>
      <c r="G3" s="20" t="s">
        <v>22</v>
      </c>
      <c r="H3" s="20" t="s">
        <v>7</v>
      </c>
      <c r="J3" s="20" t="s">
        <v>22</v>
      </c>
      <c r="K3" s="20" t="s">
        <v>7</v>
      </c>
    </row>
    <row r="4" spans="1:11">
      <c r="A4" s="22"/>
      <c r="B4" s="21"/>
      <c r="D4" s="22"/>
      <c r="E4" s="21"/>
      <c r="G4" s="22"/>
      <c r="H4" s="23"/>
      <c r="J4" s="22"/>
      <c r="K4" s="23"/>
    </row>
    <row r="5" spans="1:11">
      <c r="A5" s="22"/>
      <c r="B5" s="21"/>
      <c r="D5" s="22"/>
      <c r="E5" s="21"/>
      <c r="G5" s="22"/>
      <c r="H5" s="23"/>
      <c r="J5" s="22"/>
      <c r="K5" s="23"/>
    </row>
    <row r="6" spans="1:11">
      <c r="A6" s="22"/>
      <c r="B6" s="21"/>
      <c r="D6" s="22"/>
      <c r="E6" s="21"/>
      <c r="G6" s="22"/>
      <c r="H6" s="23"/>
      <c r="J6" s="22"/>
      <c r="K6" s="23"/>
    </row>
    <row r="7" spans="1:11">
      <c r="A7" s="22"/>
      <c r="B7" s="21"/>
      <c r="D7" s="22"/>
      <c r="E7" s="21"/>
      <c r="G7" s="22"/>
      <c r="H7" s="24"/>
      <c r="J7" s="22"/>
      <c r="K7" s="24"/>
    </row>
    <row r="8" spans="1:11">
      <c r="A8" s="22">
        <v>10</v>
      </c>
      <c r="B8" s="21">
        <v>2</v>
      </c>
      <c r="D8" s="22">
        <v>10</v>
      </c>
      <c r="E8" s="21">
        <v>2</v>
      </c>
      <c r="G8" s="22"/>
      <c r="H8" s="23"/>
      <c r="J8" s="22"/>
      <c r="K8" s="23"/>
    </row>
    <row r="9" spans="1:11">
      <c r="A9" s="22">
        <v>13</v>
      </c>
      <c r="B9" s="21">
        <v>2.25</v>
      </c>
      <c r="D9" s="22">
        <v>13</v>
      </c>
      <c r="E9" s="21">
        <v>2.25</v>
      </c>
      <c r="G9" s="22">
        <v>5</v>
      </c>
      <c r="H9" s="23">
        <v>2</v>
      </c>
      <c r="J9" s="22">
        <v>5</v>
      </c>
      <c r="K9" s="23">
        <v>2</v>
      </c>
    </row>
    <row r="10" spans="1:11">
      <c r="A10" s="22">
        <v>16</v>
      </c>
      <c r="B10" s="21">
        <v>2.5</v>
      </c>
      <c r="D10" s="22">
        <v>16</v>
      </c>
      <c r="E10" s="21">
        <v>2.5</v>
      </c>
      <c r="G10" s="22">
        <v>6</v>
      </c>
      <c r="H10" s="24">
        <v>2.2000000000000002</v>
      </c>
      <c r="J10" s="22">
        <v>6</v>
      </c>
      <c r="K10" s="24">
        <v>2.2000000000000002</v>
      </c>
    </row>
    <row r="11" spans="1:11">
      <c r="A11" s="22">
        <v>19</v>
      </c>
      <c r="B11" s="21">
        <v>2.75</v>
      </c>
      <c r="D11" s="22">
        <v>19</v>
      </c>
      <c r="E11" s="21">
        <v>2.75</v>
      </c>
      <c r="G11" s="22">
        <v>7</v>
      </c>
      <c r="H11" s="23">
        <v>2.4</v>
      </c>
      <c r="J11" s="22">
        <v>7</v>
      </c>
      <c r="K11" s="23">
        <v>2.4</v>
      </c>
    </row>
    <row r="12" spans="1:11">
      <c r="A12" s="22">
        <v>22</v>
      </c>
      <c r="B12" s="21">
        <v>3</v>
      </c>
      <c r="D12" s="22">
        <v>22</v>
      </c>
      <c r="E12" s="21">
        <v>3</v>
      </c>
      <c r="G12" s="22">
        <v>8</v>
      </c>
      <c r="H12" s="23">
        <v>2.6</v>
      </c>
      <c r="J12" s="22">
        <v>8</v>
      </c>
      <c r="K12" s="23">
        <v>2.6</v>
      </c>
    </row>
    <row r="13" spans="1:11">
      <c r="A13" s="22">
        <v>25</v>
      </c>
      <c r="B13" s="21">
        <v>3.25</v>
      </c>
      <c r="D13" s="22">
        <v>25</v>
      </c>
      <c r="E13" s="21">
        <v>3.25</v>
      </c>
      <c r="G13" s="22">
        <v>9</v>
      </c>
      <c r="H13" s="24">
        <v>2.8</v>
      </c>
      <c r="J13" s="22">
        <v>9</v>
      </c>
      <c r="K13" s="24">
        <v>2.8</v>
      </c>
    </row>
    <row r="14" spans="1:11">
      <c r="A14" s="22">
        <v>28</v>
      </c>
      <c r="B14" s="21">
        <v>3.5</v>
      </c>
      <c r="D14" s="22">
        <v>28</v>
      </c>
      <c r="E14" s="21">
        <v>3.5</v>
      </c>
      <c r="G14" s="22">
        <v>10</v>
      </c>
      <c r="H14" s="23">
        <v>3</v>
      </c>
      <c r="J14" s="22">
        <v>10</v>
      </c>
      <c r="K14" s="23">
        <v>3</v>
      </c>
    </row>
    <row r="15" spans="1:11">
      <c r="A15" s="22">
        <v>31</v>
      </c>
      <c r="B15" s="21">
        <v>3.75</v>
      </c>
      <c r="D15" s="22">
        <v>31</v>
      </c>
      <c r="E15" s="21">
        <v>3.75</v>
      </c>
      <c r="G15" s="22">
        <v>11</v>
      </c>
      <c r="H15" s="23">
        <v>3.2</v>
      </c>
      <c r="J15" s="22">
        <v>11</v>
      </c>
      <c r="K15" s="23">
        <v>3.2</v>
      </c>
    </row>
    <row r="16" spans="1:11">
      <c r="A16" s="22">
        <v>34</v>
      </c>
      <c r="B16" s="21">
        <v>4</v>
      </c>
      <c r="D16" s="22">
        <v>34</v>
      </c>
      <c r="E16" s="21">
        <v>4</v>
      </c>
      <c r="G16" s="22">
        <v>12</v>
      </c>
      <c r="H16" s="24">
        <v>3.4</v>
      </c>
      <c r="J16" s="22">
        <v>12</v>
      </c>
      <c r="K16" s="24">
        <v>3.4</v>
      </c>
    </row>
    <row r="17" spans="1:11">
      <c r="A17" s="22">
        <v>37</v>
      </c>
      <c r="B17" s="21">
        <v>4.25</v>
      </c>
      <c r="D17" s="22">
        <v>37</v>
      </c>
      <c r="E17" s="21">
        <v>4.25</v>
      </c>
      <c r="G17" s="22">
        <v>13</v>
      </c>
      <c r="H17" s="23">
        <v>3.6</v>
      </c>
      <c r="J17" s="22">
        <v>13</v>
      </c>
      <c r="K17" s="23">
        <v>3.6</v>
      </c>
    </row>
    <row r="18" spans="1:11">
      <c r="A18" s="22">
        <v>40</v>
      </c>
      <c r="B18" s="21">
        <v>4.5</v>
      </c>
      <c r="D18" s="22">
        <v>40</v>
      </c>
      <c r="E18" s="21">
        <v>4.5</v>
      </c>
      <c r="G18" s="22">
        <v>14</v>
      </c>
      <c r="H18" s="23">
        <v>3.8</v>
      </c>
      <c r="J18" s="22">
        <v>14</v>
      </c>
      <c r="K18" s="23">
        <v>3.8</v>
      </c>
    </row>
    <row r="19" spans="1:11">
      <c r="A19" s="22">
        <v>43</v>
      </c>
      <c r="B19" s="21">
        <v>4.75</v>
      </c>
      <c r="D19" s="22">
        <v>43</v>
      </c>
      <c r="E19" s="21">
        <v>4.75</v>
      </c>
      <c r="G19" s="22">
        <v>15</v>
      </c>
      <c r="H19" s="24">
        <v>4</v>
      </c>
      <c r="J19" s="22">
        <v>15</v>
      </c>
      <c r="K19" s="24">
        <v>4</v>
      </c>
    </row>
    <row r="20" spans="1:11">
      <c r="A20" s="22">
        <v>46</v>
      </c>
      <c r="B20" s="21">
        <v>5</v>
      </c>
      <c r="D20" s="22">
        <v>46</v>
      </c>
      <c r="E20" s="21">
        <v>5</v>
      </c>
      <c r="G20" s="22">
        <v>16</v>
      </c>
      <c r="H20" s="23">
        <v>4.2</v>
      </c>
      <c r="J20" s="22">
        <v>16</v>
      </c>
      <c r="K20" s="23">
        <v>4.2</v>
      </c>
    </row>
    <row r="21" spans="1:11">
      <c r="A21" s="22">
        <v>49</v>
      </c>
      <c r="B21" s="21">
        <v>5.25</v>
      </c>
      <c r="D21" s="22">
        <v>49</v>
      </c>
      <c r="E21" s="21">
        <v>5.25</v>
      </c>
      <c r="G21" s="22">
        <v>17</v>
      </c>
      <c r="H21" s="23">
        <v>4.4000000000000004</v>
      </c>
      <c r="J21" s="22">
        <v>17</v>
      </c>
      <c r="K21" s="23">
        <v>4.4000000000000004</v>
      </c>
    </row>
    <row r="22" spans="1:11">
      <c r="A22" s="22">
        <v>52</v>
      </c>
      <c r="B22" s="21">
        <v>5.5</v>
      </c>
      <c r="D22" s="22">
        <v>52</v>
      </c>
      <c r="E22" s="21">
        <v>5.5</v>
      </c>
      <c r="G22" s="22">
        <v>18</v>
      </c>
      <c r="H22" s="24">
        <v>4.5999999999999996</v>
      </c>
      <c r="J22" s="22">
        <v>18</v>
      </c>
      <c r="K22" s="24">
        <v>4.5999999999999996</v>
      </c>
    </row>
    <row r="23" spans="1:11">
      <c r="A23" s="22">
        <v>55</v>
      </c>
      <c r="B23" s="21">
        <v>5.75</v>
      </c>
      <c r="D23" s="22">
        <v>55</v>
      </c>
      <c r="E23" s="21">
        <v>5.75</v>
      </c>
      <c r="G23" s="22">
        <v>19</v>
      </c>
      <c r="H23" s="23">
        <v>4.8</v>
      </c>
      <c r="J23" s="22">
        <v>19</v>
      </c>
      <c r="K23" s="23">
        <v>4.8</v>
      </c>
    </row>
    <row r="24" spans="1:11">
      <c r="A24" s="22">
        <v>56</v>
      </c>
      <c r="B24" s="21">
        <v>6</v>
      </c>
      <c r="D24" s="22">
        <v>56</v>
      </c>
      <c r="E24" s="21">
        <v>6</v>
      </c>
      <c r="G24" s="22">
        <v>20</v>
      </c>
      <c r="H24" s="23">
        <v>5</v>
      </c>
      <c r="J24" s="22">
        <v>20</v>
      </c>
      <c r="K24" s="23">
        <v>5</v>
      </c>
    </row>
    <row r="25" spans="1:11">
      <c r="A25" s="54"/>
      <c r="B25" s="21"/>
      <c r="D25" s="54"/>
      <c r="E25" s="21"/>
      <c r="G25" s="22">
        <v>21</v>
      </c>
      <c r="H25" s="24">
        <v>5.2</v>
      </c>
      <c r="J25" s="22">
        <v>21</v>
      </c>
      <c r="K25" s="24">
        <v>5.2</v>
      </c>
    </row>
    <row r="26" spans="1:11">
      <c r="G26" s="22">
        <v>22</v>
      </c>
      <c r="H26" s="23">
        <v>5.4</v>
      </c>
      <c r="J26" s="22">
        <v>22</v>
      </c>
      <c r="K26" s="23">
        <v>5.4</v>
      </c>
    </row>
    <row r="27" spans="1:11">
      <c r="G27" s="22">
        <v>23</v>
      </c>
      <c r="H27" s="23">
        <v>5.6</v>
      </c>
      <c r="J27" s="22">
        <v>23</v>
      </c>
      <c r="K27" s="23">
        <v>5.6</v>
      </c>
    </row>
    <row r="28" spans="1:11">
      <c r="G28" s="22">
        <v>24</v>
      </c>
      <c r="H28" s="24">
        <v>5.8</v>
      </c>
      <c r="J28" s="22">
        <v>24</v>
      </c>
      <c r="K28" s="24">
        <v>5.8</v>
      </c>
    </row>
    <row r="29" spans="1:11">
      <c r="G29" s="22">
        <v>25</v>
      </c>
      <c r="H29" s="23">
        <v>6</v>
      </c>
      <c r="J29" s="22">
        <v>25</v>
      </c>
      <c r="K29" s="23">
        <v>6</v>
      </c>
    </row>
    <row r="30" spans="1:11">
      <c r="G30" s="22">
        <v>26</v>
      </c>
      <c r="H30" s="23">
        <v>6</v>
      </c>
      <c r="J30" s="22">
        <v>26</v>
      </c>
      <c r="K30" s="23">
        <v>6</v>
      </c>
    </row>
    <row r="31" spans="1:11">
      <c r="G31" s="54"/>
      <c r="H31" s="23"/>
      <c r="J31" s="54"/>
      <c r="K31" s="23"/>
    </row>
  </sheetData>
  <mergeCells count="4">
    <mergeCell ref="A2:B2"/>
    <mergeCell ref="D2:E2"/>
    <mergeCell ref="G2:H2"/>
    <mergeCell ref="J2:K2"/>
  </mergeCells>
  <conditionalFormatting sqref="B4:B24">
    <cfRule type="expression" dxfId="447" priority="3">
      <formula>RIGHT(TEXT($B4,"#.00"),2)="00"</formula>
    </cfRule>
    <cfRule type="expression" dxfId="446" priority="4">
      <formula>RIGHT(TEXT($B4,"#.00"),2)="50"</formula>
    </cfRule>
  </conditionalFormatting>
  <conditionalFormatting sqref="E4:E24">
    <cfRule type="expression" dxfId="445" priority="1">
      <formula>RIGHT(TEXT($E4,"#.00"),2)="00"</formula>
    </cfRule>
    <cfRule type="expression" dxfId="444" priority="2">
      <formula>RIGHT(TEXT($E4,"#.00"),2)="50"</formula>
    </cfRule>
  </conditionalFormatting>
  <pageMargins left="0.7" right="0.7" top="0.78740157499999996" bottom="0.78740157499999996" header="0.3" footer="0.3"/>
  <tableParts count="4">
    <tablePart r:id="rId1"/>
    <tablePart r:id="rId2"/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Q27"/>
  <sheetViews>
    <sheetView zoomScale="85" zoomScaleNormal="85" workbookViewId="0"/>
  </sheetViews>
  <sheetFormatPr baseColWidth="10" defaultColWidth="11.5703125" defaultRowHeight="15"/>
  <cols>
    <col min="3" max="3" width="1.140625" customWidth="1"/>
    <col min="6" max="6" width="2.7109375" customWidth="1"/>
    <col min="7" max="7" width="11.7109375" customWidth="1"/>
    <col min="9" max="9" width="1.140625" customWidth="1"/>
    <col min="10" max="10" width="11.7109375" customWidth="1"/>
    <col min="12" max="12" width="2.7109375" customWidth="1"/>
    <col min="13" max="13" width="11.7109375" customWidth="1"/>
    <col min="15" max="15" width="1.140625" customWidth="1"/>
    <col min="18" max="18" width="11.5703125" customWidth="1"/>
    <col min="21" max="22" width="11.5703125" customWidth="1"/>
    <col min="24" max="24" width="11.5703125" customWidth="1"/>
    <col min="27" max="27" width="11.5703125" customWidth="1"/>
  </cols>
  <sheetData>
    <row r="1" spans="1:17">
      <c r="A1" s="4" t="str">
        <f>INDEX(StdDisziplinen[StdDisziplin],17)</f>
        <v>Tanzen</v>
      </c>
      <c r="G1" s="4" t="str">
        <f>INDEX(StdDisziplinen[StdDisziplin],18)</f>
        <v>Rope-Skipping</v>
      </c>
      <c r="M1" s="4" t="str">
        <f>INDEX(StdDisziplinen[StdDisziplin],19)</f>
        <v>Aerobic</v>
      </c>
    </row>
    <row r="2" spans="1:17">
      <c r="A2" s="90" t="str">
        <f>Stammdaten!$E$6</f>
        <v>Knaben_K1</v>
      </c>
      <c r="B2" s="90"/>
      <c r="C2" s="5"/>
      <c r="D2" s="90" t="str">
        <f>Stammdaten!$E$7</f>
        <v>Mädchen_M1</v>
      </c>
      <c r="E2" s="90"/>
      <c r="G2" s="90" t="str">
        <f>$A$2</f>
        <v>Knaben_K1</v>
      </c>
      <c r="H2" s="90"/>
      <c r="I2" s="5"/>
      <c r="J2" s="90" t="str">
        <f>$D$2</f>
        <v>Mädchen_M1</v>
      </c>
      <c r="K2" s="90"/>
      <c r="M2" s="90" t="str">
        <f>$A$2</f>
        <v>Knaben_K1</v>
      </c>
      <c r="N2" s="90"/>
      <c r="O2" s="5"/>
      <c r="P2" s="90" t="str">
        <f>$D$2</f>
        <v>Mädchen_M1</v>
      </c>
      <c r="Q2" s="90"/>
    </row>
    <row r="3" spans="1:17">
      <c r="A3" s="20" t="s">
        <v>22</v>
      </c>
      <c r="B3" s="20" t="s">
        <v>7</v>
      </c>
      <c r="D3" s="20" t="s">
        <v>22</v>
      </c>
      <c r="E3" s="20" t="s">
        <v>7</v>
      </c>
      <c r="G3" s="25" t="s">
        <v>22</v>
      </c>
      <c r="H3" s="25" t="s">
        <v>7</v>
      </c>
      <c r="J3" s="25" t="s">
        <v>22</v>
      </c>
      <c r="K3" s="25" t="s">
        <v>7</v>
      </c>
      <c r="M3" s="25" t="s">
        <v>22</v>
      </c>
      <c r="N3" s="25" t="s">
        <v>7</v>
      </c>
      <c r="P3" s="25" t="s">
        <v>22</v>
      </c>
      <c r="Q3" s="25" t="s">
        <v>7</v>
      </c>
    </row>
    <row r="4" spans="1:17">
      <c r="A4" s="59"/>
      <c r="B4" s="21"/>
      <c r="D4" s="59"/>
      <c r="E4" s="21"/>
      <c r="G4" s="78"/>
      <c r="H4" s="27"/>
      <c r="J4" s="78"/>
      <c r="K4" s="27"/>
      <c r="M4" s="59"/>
      <c r="N4" s="29"/>
      <c r="P4" s="59"/>
      <c r="Q4" s="29"/>
    </row>
    <row r="5" spans="1:17">
      <c r="A5" s="59"/>
      <c r="B5" s="21"/>
      <c r="D5" s="59"/>
      <c r="E5" s="21"/>
      <c r="G5" s="78">
        <v>1</v>
      </c>
      <c r="H5" s="27">
        <v>2.25</v>
      </c>
      <c r="J5" s="78">
        <v>1</v>
      </c>
      <c r="K5" s="27">
        <v>2.25</v>
      </c>
      <c r="M5" s="59">
        <v>12</v>
      </c>
      <c r="N5" s="29">
        <v>6</v>
      </c>
      <c r="P5" s="59">
        <v>12</v>
      </c>
      <c r="Q5" s="29">
        <v>6</v>
      </c>
    </row>
    <row r="6" spans="1:17">
      <c r="A6" s="59"/>
      <c r="B6" s="21"/>
      <c r="D6" s="59"/>
      <c r="E6" s="21"/>
      <c r="G6" s="78">
        <v>2</v>
      </c>
      <c r="H6" s="27">
        <v>2.5</v>
      </c>
      <c r="J6" s="78">
        <v>2</v>
      </c>
      <c r="K6" s="27">
        <v>2.5</v>
      </c>
      <c r="M6" s="59">
        <v>11.5</v>
      </c>
      <c r="N6" s="29">
        <v>5.75</v>
      </c>
      <c r="P6" s="59">
        <v>11.5</v>
      </c>
      <c r="Q6" s="29">
        <v>5.75</v>
      </c>
    </row>
    <row r="7" spans="1:17">
      <c r="A7" s="59"/>
      <c r="B7" s="21"/>
      <c r="D7" s="59"/>
      <c r="E7" s="21"/>
      <c r="G7" s="78">
        <v>3</v>
      </c>
      <c r="H7" s="27">
        <v>2.75</v>
      </c>
      <c r="J7" s="78">
        <v>3</v>
      </c>
      <c r="K7" s="27">
        <v>2.75</v>
      </c>
      <c r="M7" s="59">
        <v>11</v>
      </c>
      <c r="N7" s="29">
        <v>5.5</v>
      </c>
      <c r="P7" s="59">
        <v>11</v>
      </c>
      <c r="Q7" s="29">
        <v>5.5</v>
      </c>
    </row>
    <row r="8" spans="1:17">
      <c r="A8" s="59"/>
      <c r="B8" s="21"/>
      <c r="D8" s="59"/>
      <c r="E8" s="21"/>
      <c r="G8" s="78">
        <v>4</v>
      </c>
      <c r="H8" s="27">
        <v>3</v>
      </c>
      <c r="J8" s="78">
        <v>4</v>
      </c>
      <c r="K8" s="27">
        <v>3</v>
      </c>
      <c r="M8" s="59">
        <v>10.5</v>
      </c>
      <c r="N8" s="29">
        <v>5.25</v>
      </c>
      <c r="P8" s="59">
        <v>10.5</v>
      </c>
      <c r="Q8" s="29">
        <v>5.25</v>
      </c>
    </row>
    <row r="9" spans="1:17">
      <c r="A9" s="59"/>
      <c r="B9" s="21"/>
      <c r="D9" s="59"/>
      <c r="E9" s="21"/>
      <c r="G9" s="78">
        <v>5</v>
      </c>
      <c r="H9" s="27">
        <v>3.25</v>
      </c>
      <c r="J9" s="78">
        <v>5</v>
      </c>
      <c r="K9" s="27">
        <v>3.25</v>
      </c>
      <c r="M9" s="59">
        <v>10</v>
      </c>
      <c r="N9" s="29">
        <v>5</v>
      </c>
      <c r="P9" s="59">
        <v>10</v>
      </c>
      <c r="Q9" s="29">
        <v>5</v>
      </c>
    </row>
    <row r="10" spans="1:17">
      <c r="A10" s="59">
        <v>12</v>
      </c>
      <c r="B10" s="21">
        <v>6</v>
      </c>
      <c r="D10" s="59">
        <v>12</v>
      </c>
      <c r="E10" s="21">
        <v>6</v>
      </c>
      <c r="G10" s="78">
        <v>6</v>
      </c>
      <c r="H10" s="27">
        <v>3.5</v>
      </c>
      <c r="J10" s="78">
        <v>6</v>
      </c>
      <c r="K10" s="27">
        <v>3.5</v>
      </c>
      <c r="M10" s="59">
        <v>9.5</v>
      </c>
      <c r="N10" s="29">
        <v>4.75</v>
      </c>
      <c r="P10" s="59">
        <v>9.5</v>
      </c>
      <c r="Q10" s="29">
        <v>4.75</v>
      </c>
    </row>
    <row r="11" spans="1:17">
      <c r="A11" s="59">
        <v>11.5</v>
      </c>
      <c r="B11" s="21">
        <v>5.75</v>
      </c>
      <c r="D11" s="59">
        <v>11.5</v>
      </c>
      <c r="E11" s="21">
        <v>5.75</v>
      </c>
      <c r="G11" s="78">
        <v>7</v>
      </c>
      <c r="H11" s="27">
        <v>3.75</v>
      </c>
      <c r="J11" s="78">
        <v>7</v>
      </c>
      <c r="K11" s="27">
        <v>3.75</v>
      </c>
      <c r="M11" s="59">
        <v>9</v>
      </c>
      <c r="N11" s="29">
        <v>4.5</v>
      </c>
      <c r="P11" s="59">
        <v>9</v>
      </c>
      <c r="Q11" s="29">
        <v>4.5</v>
      </c>
    </row>
    <row r="12" spans="1:17">
      <c r="A12" s="59">
        <v>11</v>
      </c>
      <c r="B12" s="21">
        <v>5.5</v>
      </c>
      <c r="D12" s="59">
        <v>11</v>
      </c>
      <c r="E12" s="21">
        <v>5.5</v>
      </c>
      <c r="G12" s="78">
        <v>8</v>
      </c>
      <c r="H12" s="27">
        <v>4</v>
      </c>
      <c r="J12" s="78">
        <v>8</v>
      </c>
      <c r="K12" s="27">
        <v>4</v>
      </c>
      <c r="M12" s="59">
        <v>8.5</v>
      </c>
      <c r="N12" s="29">
        <v>4.25</v>
      </c>
      <c r="P12" s="59">
        <v>8.5</v>
      </c>
      <c r="Q12" s="29">
        <v>4.25</v>
      </c>
    </row>
    <row r="13" spans="1:17">
      <c r="A13" s="59">
        <v>10.5</v>
      </c>
      <c r="B13" s="21">
        <v>5.25</v>
      </c>
      <c r="D13" s="59">
        <v>10.5</v>
      </c>
      <c r="E13" s="21">
        <v>5.25</v>
      </c>
      <c r="G13" s="78">
        <v>9</v>
      </c>
      <c r="H13" s="27">
        <v>4.25</v>
      </c>
      <c r="J13" s="78">
        <v>9</v>
      </c>
      <c r="K13" s="27">
        <v>4.25</v>
      </c>
      <c r="M13" s="59">
        <v>8</v>
      </c>
      <c r="N13" s="29">
        <v>4</v>
      </c>
      <c r="P13" s="59">
        <v>8</v>
      </c>
      <c r="Q13" s="29">
        <v>4</v>
      </c>
    </row>
    <row r="14" spans="1:17">
      <c r="A14" s="59">
        <v>10</v>
      </c>
      <c r="B14" s="21">
        <v>5</v>
      </c>
      <c r="D14" s="59">
        <v>10</v>
      </c>
      <c r="E14" s="21">
        <v>5</v>
      </c>
      <c r="G14" s="78">
        <v>10</v>
      </c>
      <c r="H14" s="27">
        <v>4.5</v>
      </c>
      <c r="J14" s="78">
        <v>10</v>
      </c>
      <c r="K14" s="27">
        <v>4.5</v>
      </c>
      <c r="M14" s="59">
        <v>7.5</v>
      </c>
      <c r="N14" s="29">
        <v>3.75</v>
      </c>
      <c r="P14" s="59">
        <v>7.5</v>
      </c>
      <c r="Q14" s="29">
        <v>3.75</v>
      </c>
    </row>
    <row r="15" spans="1:17">
      <c r="A15" s="59">
        <v>9.5</v>
      </c>
      <c r="B15" s="21">
        <v>4.75</v>
      </c>
      <c r="D15" s="59">
        <v>9.5</v>
      </c>
      <c r="E15" s="21">
        <v>4.75</v>
      </c>
      <c r="G15" s="78">
        <v>11</v>
      </c>
      <c r="H15" s="27">
        <v>4.75</v>
      </c>
      <c r="J15" s="78">
        <v>11</v>
      </c>
      <c r="K15" s="27">
        <v>4.75</v>
      </c>
      <c r="M15" s="59">
        <v>7</v>
      </c>
      <c r="N15" s="29">
        <v>3.5</v>
      </c>
      <c r="P15" s="59">
        <v>7</v>
      </c>
      <c r="Q15" s="29">
        <v>3.5</v>
      </c>
    </row>
    <row r="16" spans="1:17">
      <c r="A16" s="59">
        <v>9</v>
      </c>
      <c r="B16" s="21">
        <v>4.5</v>
      </c>
      <c r="D16" s="59">
        <v>9</v>
      </c>
      <c r="E16" s="21">
        <v>4.5</v>
      </c>
      <c r="G16" s="78">
        <v>12</v>
      </c>
      <c r="H16" s="27">
        <v>5</v>
      </c>
      <c r="J16" s="78">
        <v>12</v>
      </c>
      <c r="K16" s="27">
        <v>5</v>
      </c>
      <c r="M16" s="59">
        <v>6</v>
      </c>
      <c r="N16" s="29">
        <v>3.25</v>
      </c>
      <c r="P16" s="59">
        <v>6</v>
      </c>
      <c r="Q16" s="29">
        <v>3.25</v>
      </c>
    </row>
    <row r="17" spans="1:17">
      <c r="A17" s="59">
        <v>8.5</v>
      </c>
      <c r="B17" s="21">
        <v>4.25</v>
      </c>
      <c r="D17" s="59">
        <v>8.5</v>
      </c>
      <c r="E17" s="21">
        <v>4.25</v>
      </c>
      <c r="G17" s="78">
        <v>13</v>
      </c>
      <c r="H17" s="27">
        <v>5.25</v>
      </c>
      <c r="J17" s="78">
        <v>13</v>
      </c>
      <c r="K17" s="27">
        <v>5.25</v>
      </c>
      <c r="M17" s="59">
        <v>5</v>
      </c>
      <c r="N17" s="29">
        <v>3</v>
      </c>
      <c r="P17" s="59">
        <v>5</v>
      </c>
      <c r="Q17" s="29">
        <v>3</v>
      </c>
    </row>
    <row r="18" spans="1:17">
      <c r="A18" s="59">
        <v>8</v>
      </c>
      <c r="B18" s="21">
        <v>4</v>
      </c>
      <c r="D18" s="59">
        <v>8</v>
      </c>
      <c r="E18" s="21">
        <v>4</v>
      </c>
      <c r="G18" s="78">
        <v>14</v>
      </c>
      <c r="H18" s="27">
        <v>5.5</v>
      </c>
      <c r="J18" s="78">
        <v>14</v>
      </c>
      <c r="K18" s="27">
        <v>5.5</v>
      </c>
      <c r="M18" s="59">
        <v>4</v>
      </c>
      <c r="N18" s="29">
        <v>2.75</v>
      </c>
      <c r="P18" s="59">
        <v>4</v>
      </c>
      <c r="Q18" s="29">
        <v>2.75</v>
      </c>
    </row>
    <row r="19" spans="1:17">
      <c r="A19" s="59">
        <v>7.5</v>
      </c>
      <c r="B19" s="21">
        <v>3.75</v>
      </c>
      <c r="D19" s="59">
        <v>7.5</v>
      </c>
      <c r="E19" s="21">
        <v>3.75</v>
      </c>
      <c r="G19" s="78">
        <v>15</v>
      </c>
      <c r="H19" s="27">
        <v>5.75</v>
      </c>
      <c r="J19" s="78">
        <v>15</v>
      </c>
      <c r="K19" s="27">
        <v>5.75</v>
      </c>
      <c r="M19" s="59">
        <v>3</v>
      </c>
      <c r="N19" s="29">
        <v>2.5</v>
      </c>
      <c r="P19" s="59">
        <v>3</v>
      </c>
      <c r="Q19" s="29">
        <v>2.5</v>
      </c>
    </row>
    <row r="20" spans="1:17">
      <c r="A20" s="59">
        <v>7</v>
      </c>
      <c r="B20" s="21">
        <v>3.5</v>
      </c>
      <c r="D20" s="59">
        <v>7</v>
      </c>
      <c r="E20" s="21">
        <v>3.5</v>
      </c>
      <c r="G20" s="78">
        <v>16</v>
      </c>
      <c r="H20" s="27">
        <v>6</v>
      </c>
      <c r="J20" s="78">
        <v>16</v>
      </c>
      <c r="K20" s="27">
        <v>6</v>
      </c>
      <c r="M20" s="59">
        <v>2</v>
      </c>
      <c r="N20" s="29">
        <v>2.25</v>
      </c>
      <c r="P20" s="59">
        <v>2</v>
      </c>
      <c r="Q20" s="29">
        <v>2.25</v>
      </c>
    </row>
    <row r="21" spans="1:17">
      <c r="A21" s="59">
        <v>6</v>
      </c>
      <c r="B21" s="21">
        <v>3.25</v>
      </c>
      <c r="D21" s="59">
        <v>6</v>
      </c>
      <c r="E21" s="21">
        <v>3.25</v>
      </c>
      <c r="G21" s="58"/>
      <c r="H21" s="40"/>
      <c r="J21" s="58"/>
      <c r="K21" s="40"/>
      <c r="M21" s="59">
        <v>1</v>
      </c>
      <c r="N21" s="29">
        <v>2</v>
      </c>
      <c r="P21" s="59">
        <v>1</v>
      </c>
      <c r="Q21" s="29">
        <v>2</v>
      </c>
    </row>
    <row r="22" spans="1:17">
      <c r="A22" s="59">
        <v>5</v>
      </c>
      <c r="B22" s="21">
        <v>3</v>
      </c>
      <c r="D22" s="59">
        <v>5</v>
      </c>
      <c r="E22" s="21">
        <v>3</v>
      </c>
      <c r="G22" s="39"/>
      <c r="H22" s="40"/>
      <c r="J22" s="39"/>
      <c r="K22" s="40"/>
      <c r="M22" s="60"/>
      <c r="N22" s="29"/>
      <c r="P22" s="60"/>
      <c r="Q22" s="29"/>
    </row>
    <row r="23" spans="1:17">
      <c r="A23" s="59">
        <v>4</v>
      </c>
      <c r="B23" s="21">
        <v>2.75</v>
      </c>
      <c r="D23" s="59">
        <v>4</v>
      </c>
      <c r="E23" s="21">
        <v>2.75</v>
      </c>
      <c r="G23" s="56"/>
      <c r="H23" s="57"/>
      <c r="J23" s="56"/>
      <c r="K23" s="57"/>
      <c r="M23" s="28"/>
      <c r="N23" s="29"/>
      <c r="P23" s="28"/>
      <c r="Q23" s="29"/>
    </row>
    <row r="24" spans="1:17">
      <c r="A24" s="59">
        <v>3</v>
      </c>
      <c r="B24" s="21">
        <v>2.5</v>
      </c>
      <c r="D24" s="59">
        <v>3</v>
      </c>
      <c r="E24" s="21">
        <v>2.5</v>
      </c>
      <c r="G24" s="18"/>
      <c r="H24" s="26"/>
      <c r="J24" s="18"/>
      <c r="K24" s="26"/>
      <c r="M24" s="28"/>
      <c r="N24" s="29"/>
      <c r="P24" s="28"/>
      <c r="Q24" s="29"/>
    </row>
    <row r="25" spans="1:17">
      <c r="A25" s="59">
        <v>2</v>
      </c>
      <c r="B25" s="21">
        <v>2.25</v>
      </c>
      <c r="D25" s="59">
        <v>2</v>
      </c>
      <c r="E25" s="21">
        <v>2.25</v>
      </c>
      <c r="M25" s="28"/>
      <c r="N25" s="29"/>
      <c r="P25" s="28"/>
      <c r="Q25" s="29"/>
    </row>
    <row r="26" spans="1:17">
      <c r="A26" s="59">
        <v>1</v>
      </c>
      <c r="B26" s="21">
        <v>2</v>
      </c>
      <c r="D26" s="59">
        <v>1</v>
      </c>
      <c r="E26" s="21">
        <v>2</v>
      </c>
      <c r="M26" s="2"/>
      <c r="N26" s="27"/>
      <c r="P26" s="2"/>
      <c r="Q26" s="27"/>
    </row>
    <row r="27" spans="1:17">
      <c r="A27" s="54"/>
      <c r="B27" s="21"/>
      <c r="D27" s="54"/>
      <c r="E27" s="21"/>
      <c r="N27" s="27"/>
      <c r="Q27" s="27"/>
    </row>
  </sheetData>
  <mergeCells count="6">
    <mergeCell ref="P2:Q2"/>
    <mergeCell ref="A2:B2"/>
    <mergeCell ref="D2:E2"/>
    <mergeCell ref="G2:H2"/>
    <mergeCell ref="J2:K2"/>
    <mergeCell ref="M2:N2"/>
  </mergeCells>
  <conditionalFormatting sqref="A4:A26">
    <cfRule type="expression" dxfId="443" priority="4">
      <formula>RIGHT(TEXT($A4,"#.0"),1)="0"</formula>
    </cfRule>
  </conditionalFormatting>
  <conditionalFormatting sqref="B4:B26">
    <cfRule type="expression" dxfId="442" priority="5">
      <formula>RIGHT(TEXT($B4,"#.00"),2)="00"</formula>
    </cfRule>
    <cfRule type="expression" dxfId="441" priority="6">
      <formula>RIGHT(TEXT($B4,"#.00"),2)="50"</formula>
    </cfRule>
  </conditionalFormatting>
  <conditionalFormatting sqref="D4">
    <cfRule type="expression" dxfId="440" priority="14">
      <formula>RIGHT(TEXT($D4,"#.0"),1)="0"</formula>
    </cfRule>
  </conditionalFormatting>
  <conditionalFormatting sqref="D5:D9">
    <cfRule type="expression" dxfId="439" priority="9">
      <formula>RIGHT(TEXT($A5,"#.0"),1)="0"</formula>
    </cfRule>
  </conditionalFormatting>
  <conditionalFormatting sqref="D10:D26">
    <cfRule type="expression" dxfId="438" priority="1">
      <formula>RIGHT(TEXT($D10,"#.0"),1)="0"</formula>
    </cfRule>
  </conditionalFormatting>
  <conditionalFormatting sqref="E4:E26">
    <cfRule type="expression" dxfId="437" priority="2">
      <formula>RIGHT(TEXT($E4,"#.00"),2)="00"</formula>
    </cfRule>
    <cfRule type="expression" dxfId="436" priority="3">
      <formula>RIGHT(TEXT($E4,"#.00"),2)="50"</formula>
    </cfRule>
  </conditionalFormatting>
  <conditionalFormatting sqref="H4:H20">
    <cfRule type="expression" dxfId="435" priority="25">
      <formula>RIGHT(TEXT($H4,"#.00"),2)="00"</formula>
    </cfRule>
    <cfRule type="expression" dxfId="434" priority="26">
      <formula>RIGHT(TEXT($H4,"#.00"),2)="50"</formula>
    </cfRule>
  </conditionalFormatting>
  <conditionalFormatting sqref="K4:K20">
    <cfRule type="expression" dxfId="433" priority="23">
      <formula>RIGHT(TEXT($K4,"#.00"),2)="00"</formula>
    </cfRule>
    <cfRule type="expression" dxfId="432" priority="24">
      <formula>RIGHT(TEXT($K4,"#.00"),2)="50"</formula>
    </cfRule>
  </conditionalFormatting>
  <conditionalFormatting sqref="M4:M21">
    <cfRule type="expression" dxfId="431" priority="13">
      <formula>RIGHT(TEXT($M4,"#.0"),1)="0"</formula>
    </cfRule>
  </conditionalFormatting>
  <conditionalFormatting sqref="N4:N21">
    <cfRule type="expression" dxfId="430" priority="21">
      <formula>RIGHT(TEXT($N4,"#.00"),2)="00"</formula>
    </cfRule>
    <cfRule type="expression" dxfId="429" priority="22">
      <formula>RIGHT(TEXT($N4,"#.00"),2)="50"</formula>
    </cfRule>
  </conditionalFormatting>
  <conditionalFormatting sqref="P4:P21">
    <cfRule type="expression" dxfId="428" priority="11">
      <formula>RIGHT(TEXT($P4,"#.0"),1)="0"</formula>
    </cfRule>
  </conditionalFormatting>
  <conditionalFormatting sqref="Q4:Q21">
    <cfRule type="expression" dxfId="427" priority="19">
      <formula>RIGHT(TEXT($Q4,"#.00"),2)="00"</formula>
    </cfRule>
    <cfRule type="expression" dxfId="426" priority="20">
      <formula>RIGHT(TEXT($Q4,"#.00"),2)="50"</formula>
    </cfRule>
  </conditionalFormatting>
  <pageMargins left="0.7" right="0.7" top="0.78740157499999996" bottom="0.78740157499999996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/>
  <dimension ref="A1:Q27"/>
  <sheetViews>
    <sheetView zoomScale="85" zoomScaleNormal="85" workbookViewId="0"/>
  </sheetViews>
  <sheetFormatPr baseColWidth="10" defaultColWidth="11.5703125" defaultRowHeight="15"/>
  <cols>
    <col min="3" max="3" width="1.140625" customWidth="1"/>
    <col min="6" max="6" width="2.7109375" customWidth="1"/>
    <col min="7" max="7" width="11.7109375" customWidth="1"/>
    <col min="9" max="9" width="1.140625" customWidth="1"/>
    <col min="10" max="10" width="11.7109375" customWidth="1"/>
    <col min="12" max="12" width="2.7109375" customWidth="1"/>
    <col min="13" max="13" width="11.7109375" customWidth="1"/>
    <col min="15" max="15" width="1.140625" customWidth="1"/>
    <col min="18" max="18" width="11.5703125" customWidth="1"/>
    <col min="21" max="22" width="11.5703125" customWidth="1"/>
    <col min="24" max="24" width="11.5703125" customWidth="1"/>
    <col min="27" max="27" width="11.5703125" customWidth="1"/>
  </cols>
  <sheetData>
    <row r="1" spans="1:17">
      <c r="A1" s="4" t="str">
        <f>INDEX(StdDisziplinen[StdDisziplin],17)</f>
        <v>Tanzen</v>
      </c>
      <c r="G1" s="4" t="str">
        <f>INDEX(StdDisziplinen[StdDisziplin],18)</f>
        <v>Rope-Skipping</v>
      </c>
      <c r="M1" s="4" t="str">
        <f>INDEX(StdDisziplinen[StdDisziplin],19)</f>
        <v>Aerobic</v>
      </c>
    </row>
    <row r="2" spans="1:17">
      <c r="A2" s="90" t="str">
        <f>Stammdaten!$F$6</f>
        <v>Knaben_K2</v>
      </c>
      <c r="B2" s="90"/>
      <c r="C2" s="5"/>
      <c r="D2" s="90" t="str">
        <f>Stammdaten!$F$7</f>
        <v>Mädchen_M2</v>
      </c>
      <c r="E2" s="90"/>
      <c r="G2" s="90" t="str">
        <f>$A$2</f>
        <v>Knaben_K2</v>
      </c>
      <c r="H2" s="90"/>
      <c r="I2" s="5"/>
      <c r="J2" s="90" t="str">
        <f>$D$2</f>
        <v>Mädchen_M2</v>
      </c>
      <c r="K2" s="90"/>
      <c r="M2" s="90" t="str">
        <f>$A$2</f>
        <v>Knaben_K2</v>
      </c>
      <c r="N2" s="90"/>
      <c r="O2" s="5"/>
      <c r="P2" s="90" t="str">
        <f>$D$2</f>
        <v>Mädchen_M2</v>
      </c>
      <c r="Q2" s="90"/>
    </row>
    <row r="3" spans="1:17">
      <c r="A3" s="20" t="s">
        <v>22</v>
      </c>
      <c r="B3" s="20" t="s">
        <v>7</v>
      </c>
      <c r="D3" s="20" t="s">
        <v>22</v>
      </c>
      <c r="E3" s="20" t="s">
        <v>7</v>
      </c>
      <c r="G3" s="25" t="s">
        <v>22</v>
      </c>
      <c r="H3" s="25" t="s">
        <v>7</v>
      </c>
      <c r="J3" s="25" t="s">
        <v>22</v>
      </c>
      <c r="K3" s="25" t="s">
        <v>7</v>
      </c>
      <c r="M3" s="25" t="s">
        <v>22</v>
      </c>
      <c r="N3" s="25" t="s">
        <v>7</v>
      </c>
      <c r="P3" s="25" t="s">
        <v>22</v>
      </c>
      <c r="Q3" s="25" t="s">
        <v>7</v>
      </c>
    </row>
    <row r="4" spans="1:17">
      <c r="A4" s="59"/>
      <c r="B4" s="21"/>
      <c r="D4" s="59"/>
      <c r="E4" s="21"/>
      <c r="G4" s="78"/>
      <c r="H4" s="21"/>
      <c r="J4" s="78"/>
      <c r="K4" s="21"/>
      <c r="M4" s="59"/>
      <c r="N4" s="21"/>
      <c r="P4" s="59"/>
      <c r="Q4" s="21"/>
    </row>
    <row r="5" spans="1:17">
      <c r="A5" s="59"/>
      <c r="B5" s="21"/>
      <c r="D5" s="59"/>
      <c r="E5" s="21"/>
      <c r="G5" s="78">
        <v>1</v>
      </c>
      <c r="H5" s="27">
        <v>2.25</v>
      </c>
      <c r="J5" s="78">
        <v>1</v>
      </c>
      <c r="K5" s="27">
        <v>2.25</v>
      </c>
      <c r="M5" s="59">
        <v>12</v>
      </c>
      <c r="N5" s="27">
        <v>6</v>
      </c>
      <c r="P5" s="59">
        <v>12</v>
      </c>
      <c r="Q5" s="27">
        <v>6</v>
      </c>
    </row>
    <row r="6" spans="1:17">
      <c r="A6" s="59"/>
      <c r="B6" s="21"/>
      <c r="D6" s="59"/>
      <c r="E6" s="21"/>
      <c r="G6" s="78">
        <v>2</v>
      </c>
      <c r="H6" s="27">
        <v>2.5</v>
      </c>
      <c r="J6" s="78">
        <v>2</v>
      </c>
      <c r="K6" s="27">
        <v>2.5</v>
      </c>
      <c r="M6" s="59">
        <v>11.5</v>
      </c>
      <c r="N6" s="27">
        <v>5.75</v>
      </c>
      <c r="P6" s="59">
        <v>11.5</v>
      </c>
      <c r="Q6" s="27">
        <v>5.75</v>
      </c>
    </row>
    <row r="7" spans="1:17">
      <c r="A7" s="59"/>
      <c r="B7" s="21"/>
      <c r="D7" s="59"/>
      <c r="E7" s="21"/>
      <c r="G7" s="78">
        <v>3</v>
      </c>
      <c r="H7" s="27">
        <v>2.75</v>
      </c>
      <c r="J7" s="78">
        <v>3</v>
      </c>
      <c r="K7" s="27">
        <v>2.75</v>
      </c>
      <c r="M7" s="59">
        <v>11</v>
      </c>
      <c r="N7" s="27">
        <v>5.5</v>
      </c>
      <c r="P7" s="59">
        <v>11</v>
      </c>
      <c r="Q7" s="27">
        <v>5.5</v>
      </c>
    </row>
    <row r="8" spans="1:17">
      <c r="A8" s="59"/>
      <c r="B8" s="21"/>
      <c r="D8" s="59"/>
      <c r="E8" s="21"/>
      <c r="G8" s="78">
        <v>4</v>
      </c>
      <c r="H8" s="27">
        <v>3</v>
      </c>
      <c r="J8" s="78">
        <v>4</v>
      </c>
      <c r="K8" s="27">
        <v>3</v>
      </c>
      <c r="M8" s="59">
        <v>10.5</v>
      </c>
      <c r="N8" s="27">
        <v>5.25</v>
      </c>
      <c r="P8" s="59">
        <v>10.5</v>
      </c>
      <c r="Q8" s="27">
        <v>5.25</v>
      </c>
    </row>
    <row r="9" spans="1:17">
      <c r="A9" s="59"/>
      <c r="B9" s="21"/>
      <c r="D9" s="59"/>
      <c r="E9" s="21"/>
      <c r="G9" s="78">
        <v>5</v>
      </c>
      <c r="H9" s="27">
        <v>3.25</v>
      </c>
      <c r="J9" s="78">
        <v>5</v>
      </c>
      <c r="K9" s="27">
        <v>3.25</v>
      </c>
      <c r="M9" s="59">
        <v>10</v>
      </c>
      <c r="N9" s="27">
        <v>5</v>
      </c>
      <c r="P9" s="59">
        <v>10</v>
      </c>
      <c r="Q9" s="27">
        <v>5</v>
      </c>
    </row>
    <row r="10" spans="1:17">
      <c r="A10" s="59">
        <v>12</v>
      </c>
      <c r="B10" s="21">
        <v>6</v>
      </c>
      <c r="D10" s="59">
        <v>12</v>
      </c>
      <c r="E10" s="21">
        <v>6</v>
      </c>
      <c r="G10" s="78">
        <v>6</v>
      </c>
      <c r="H10" s="27">
        <v>3.5</v>
      </c>
      <c r="J10" s="78">
        <v>6</v>
      </c>
      <c r="K10" s="27">
        <v>3.5</v>
      </c>
      <c r="M10" s="59">
        <v>9.5</v>
      </c>
      <c r="N10" s="27">
        <v>4.75</v>
      </c>
      <c r="P10" s="59">
        <v>9.5</v>
      </c>
      <c r="Q10" s="27">
        <v>4.75</v>
      </c>
    </row>
    <row r="11" spans="1:17">
      <c r="A11" s="59">
        <v>11.5</v>
      </c>
      <c r="B11" s="21">
        <v>5.75</v>
      </c>
      <c r="D11" s="59">
        <v>11.5</v>
      </c>
      <c r="E11" s="21">
        <v>5.75</v>
      </c>
      <c r="G11" s="78">
        <v>7</v>
      </c>
      <c r="H11" s="27">
        <v>3.75</v>
      </c>
      <c r="J11" s="78">
        <v>7</v>
      </c>
      <c r="K11" s="27">
        <v>3.75</v>
      </c>
      <c r="M11" s="59">
        <v>9</v>
      </c>
      <c r="N11" s="27">
        <v>4.5</v>
      </c>
      <c r="P11" s="59">
        <v>9</v>
      </c>
      <c r="Q11" s="27">
        <v>4.5</v>
      </c>
    </row>
    <row r="12" spans="1:17">
      <c r="A12" s="59">
        <v>11</v>
      </c>
      <c r="B12" s="21">
        <v>5.5</v>
      </c>
      <c r="D12" s="59">
        <v>11</v>
      </c>
      <c r="E12" s="21">
        <v>5.5</v>
      </c>
      <c r="G12" s="78">
        <v>8</v>
      </c>
      <c r="H12" s="27">
        <v>4</v>
      </c>
      <c r="J12" s="78">
        <v>8</v>
      </c>
      <c r="K12" s="27">
        <v>4</v>
      </c>
      <c r="M12" s="59">
        <v>8.5</v>
      </c>
      <c r="N12" s="27">
        <v>4.25</v>
      </c>
      <c r="P12" s="59">
        <v>8.5</v>
      </c>
      <c r="Q12" s="27">
        <v>4.25</v>
      </c>
    </row>
    <row r="13" spans="1:17">
      <c r="A13" s="59">
        <v>10.5</v>
      </c>
      <c r="B13" s="21">
        <v>5.25</v>
      </c>
      <c r="D13" s="59">
        <v>10.5</v>
      </c>
      <c r="E13" s="21">
        <v>5.25</v>
      </c>
      <c r="G13" s="78">
        <v>9</v>
      </c>
      <c r="H13" s="27">
        <v>4.25</v>
      </c>
      <c r="J13" s="78">
        <v>9</v>
      </c>
      <c r="K13" s="27">
        <v>4.25</v>
      </c>
      <c r="M13" s="59">
        <v>8</v>
      </c>
      <c r="N13" s="27">
        <v>4</v>
      </c>
      <c r="P13" s="59">
        <v>8</v>
      </c>
      <c r="Q13" s="27">
        <v>4</v>
      </c>
    </row>
    <row r="14" spans="1:17">
      <c r="A14" s="59">
        <v>10</v>
      </c>
      <c r="B14" s="21">
        <v>5</v>
      </c>
      <c r="D14" s="59">
        <v>10</v>
      </c>
      <c r="E14" s="21">
        <v>5</v>
      </c>
      <c r="G14" s="78">
        <v>10</v>
      </c>
      <c r="H14" s="27">
        <v>4.5</v>
      </c>
      <c r="J14" s="78">
        <v>10</v>
      </c>
      <c r="K14" s="27">
        <v>4.5</v>
      </c>
      <c r="M14" s="59">
        <v>7.5</v>
      </c>
      <c r="N14" s="27">
        <v>3.75</v>
      </c>
      <c r="P14" s="59">
        <v>7.5</v>
      </c>
      <c r="Q14" s="27">
        <v>3.75</v>
      </c>
    </row>
    <row r="15" spans="1:17">
      <c r="A15" s="59">
        <v>9.5</v>
      </c>
      <c r="B15" s="21">
        <v>4.75</v>
      </c>
      <c r="D15" s="59">
        <v>9.5</v>
      </c>
      <c r="E15" s="21">
        <v>4.75</v>
      </c>
      <c r="G15" s="78">
        <v>11</v>
      </c>
      <c r="H15" s="27">
        <v>4.75</v>
      </c>
      <c r="J15" s="78">
        <v>11</v>
      </c>
      <c r="K15" s="27">
        <v>4.75</v>
      </c>
      <c r="M15" s="59">
        <v>7</v>
      </c>
      <c r="N15" s="27">
        <v>3.5</v>
      </c>
      <c r="P15" s="59">
        <v>7</v>
      </c>
      <c r="Q15" s="27">
        <v>3.5</v>
      </c>
    </row>
    <row r="16" spans="1:17">
      <c r="A16" s="59">
        <v>9</v>
      </c>
      <c r="B16" s="21">
        <v>4.5</v>
      </c>
      <c r="D16" s="59">
        <v>9</v>
      </c>
      <c r="E16" s="21">
        <v>4.5</v>
      </c>
      <c r="G16" s="78">
        <v>12</v>
      </c>
      <c r="H16" s="27">
        <v>5</v>
      </c>
      <c r="J16" s="78">
        <v>12</v>
      </c>
      <c r="K16" s="27">
        <v>5</v>
      </c>
      <c r="M16" s="59">
        <v>6</v>
      </c>
      <c r="N16" s="27">
        <v>3.25</v>
      </c>
      <c r="P16" s="59">
        <v>6</v>
      </c>
      <c r="Q16" s="27">
        <v>3.25</v>
      </c>
    </row>
    <row r="17" spans="1:17">
      <c r="A17" s="59">
        <v>8.5</v>
      </c>
      <c r="B17" s="21">
        <v>4.25</v>
      </c>
      <c r="D17" s="59">
        <v>8.5</v>
      </c>
      <c r="E17" s="21">
        <v>4.25</v>
      </c>
      <c r="G17" s="78">
        <v>13</v>
      </c>
      <c r="H17" s="27">
        <v>5.25</v>
      </c>
      <c r="J17" s="78">
        <v>13</v>
      </c>
      <c r="K17" s="27">
        <v>5.25</v>
      </c>
      <c r="M17" s="59">
        <v>5</v>
      </c>
      <c r="N17" s="27">
        <v>3</v>
      </c>
      <c r="P17" s="59">
        <v>5</v>
      </c>
      <c r="Q17" s="27">
        <v>3</v>
      </c>
    </row>
    <row r="18" spans="1:17">
      <c r="A18" s="59">
        <v>8</v>
      </c>
      <c r="B18" s="21">
        <v>4</v>
      </c>
      <c r="D18" s="59">
        <v>8</v>
      </c>
      <c r="E18" s="21">
        <v>4</v>
      </c>
      <c r="G18" s="78">
        <v>14</v>
      </c>
      <c r="H18" s="27">
        <v>5.5</v>
      </c>
      <c r="J18" s="78">
        <v>14</v>
      </c>
      <c r="K18" s="27">
        <v>5.5</v>
      </c>
      <c r="M18" s="59">
        <v>4</v>
      </c>
      <c r="N18" s="27">
        <v>2.75</v>
      </c>
      <c r="P18" s="59">
        <v>4</v>
      </c>
      <c r="Q18" s="27">
        <v>2.75</v>
      </c>
    </row>
    <row r="19" spans="1:17">
      <c r="A19" s="59">
        <v>7.5</v>
      </c>
      <c r="B19" s="21">
        <v>3.75</v>
      </c>
      <c r="D19" s="59">
        <v>7.5</v>
      </c>
      <c r="E19" s="21">
        <v>3.75</v>
      </c>
      <c r="G19" s="78">
        <v>15</v>
      </c>
      <c r="H19" s="27">
        <v>5.75</v>
      </c>
      <c r="J19" s="78">
        <v>15</v>
      </c>
      <c r="K19" s="27">
        <v>5.75</v>
      </c>
      <c r="M19" s="59">
        <v>3</v>
      </c>
      <c r="N19" s="27">
        <v>2.5</v>
      </c>
      <c r="P19" s="59">
        <v>3</v>
      </c>
      <c r="Q19" s="27">
        <v>2.5</v>
      </c>
    </row>
    <row r="20" spans="1:17">
      <c r="A20" s="59">
        <v>7</v>
      </c>
      <c r="B20" s="21">
        <v>3.5</v>
      </c>
      <c r="D20" s="59">
        <v>7</v>
      </c>
      <c r="E20" s="21">
        <v>3.5</v>
      </c>
      <c r="G20" s="78">
        <v>16</v>
      </c>
      <c r="H20" s="27">
        <v>6</v>
      </c>
      <c r="J20" s="78">
        <v>16</v>
      </c>
      <c r="K20" s="27">
        <v>6</v>
      </c>
      <c r="M20" s="59">
        <v>2</v>
      </c>
      <c r="N20" s="27">
        <v>2.25</v>
      </c>
      <c r="P20" s="59">
        <v>2</v>
      </c>
      <c r="Q20" s="27">
        <v>2.25</v>
      </c>
    </row>
    <row r="21" spans="1:17">
      <c r="A21" s="59">
        <v>6</v>
      </c>
      <c r="B21" s="21">
        <v>3.25</v>
      </c>
      <c r="D21" s="59">
        <v>6</v>
      </c>
      <c r="E21" s="21">
        <v>3.25</v>
      </c>
      <c r="G21" s="58"/>
      <c r="H21" s="40"/>
      <c r="J21" s="58"/>
      <c r="K21" s="40"/>
      <c r="M21" s="59">
        <v>1</v>
      </c>
      <c r="N21" s="27">
        <v>2</v>
      </c>
      <c r="P21" s="59">
        <v>1</v>
      </c>
      <c r="Q21" s="27">
        <v>2</v>
      </c>
    </row>
    <row r="22" spans="1:17">
      <c r="A22" s="59">
        <v>5</v>
      </c>
      <c r="B22" s="21">
        <v>3</v>
      </c>
      <c r="D22" s="59">
        <v>5</v>
      </c>
      <c r="E22" s="21">
        <v>3</v>
      </c>
      <c r="G22" s="39"/>
      <c r="H22" s="40"/>
      <c r="J22" s="39"/>
      <c r="K22" s="40"/>
      <c r="M22" s="53"/>
      <c r="N22" s="27"/>
      <c r="P22" s="53"/>
      <c r="Q22" s="27"/>
    </row>
    <row r="23" spans="1:17">
      <c r="A23" s="59">
        <v>4</v>
      </c>
      <c r="B23" s="21">
        <v>2.75</v>
      </c>
      <c r="D23" s="59">
        <v>4</v>
      </c>
      <c r="E23" s="21">
        <v>2.75</v>
      </c>
      <c r="G23" s="18"/>
      <c r="H23" s="26"/>
      <c r="J23" s="18"/>
      <c r="K23" s="26"/>
      <c r="M23" s="2"/>
      <c r="N23" s="27"/>
      <c r="P23" s="2"/>
      <c r="Q23" s="27"/>
    </row>
    <row r="24" spans="1:17">
      <c r="A24" s="59">
        <v>3</v>
      </c>
      <c r="B24" s="21">
        <v>2.5</v>
      </c>
      <c r="D24" s="59">
        <v>3</v>
      </c>
      <c r="E24" s="21">
        <v>2.5</v>
      </c>
      <c r="G24" s="18"/>
      <c r="H24" s="26"/>
      <c r="J24" s="18"/>
      <c r="K24" s="26"/>
      <c r="M24" s="2"/>
      <c r="N24" s="27"/>
      <c r="P24" s="2"/>
      <c r="Q24" s="27"/>
    </row>
    <row r="25" spans="1:17">
      <c r="A25" s="59">
        <v>2</v>
      </c>
      <c r="B25" s="21">
        <v>2.25</v>
      </c>
      <c r="D25" s="59">
        <v>2</v>
      </c>
      <c r="E25" s="21">
        <v>2.25</v>
      </c>
      <c r="M25" s="2"/>
      <c r="N25" s="27"/>
      <c r="P25" s="2"/>
      <c r="Q25" s="27"/>
    </row>
    <row r="26" spans="1:17">
      <c r="A26" s="59">
        <v>1</v>
      </c>
      <c r="B26" s="21">
        <v>2</v>
      </c>
      <c r="D26" s="59">
        <v>1</v>
      </c>
      <c r="E26" s="21">
        <v>2</v>
      </c>
      <c r="M26" s="2"/>
      <c r="N26" s="27"/>
      <c r="P26" s="2"/>
      <c r="Q26" s="27"/>
    </row>
    <row r="27" spans="1:17">
      <c r="A27" s="54"/>
      <c r="B27" s="21"/>
      <c r="D27" s="54"/>
      <c r="E27" s="21"/>
      <c r="N27" s="27"/>
      <c r="Q27" s="27"/>
    </row>
  </sheetData>
  <mergeCells count="6">
    <mergeCell ref="P2:Q2"/>
    <mergeCell ref="A2:B2"/>
    <mergeCell ref="D2:E2"/>
    <mergeCell ref="G2:H2"/>
    <mergeCell ref="J2:K2"/>
    <mergeCell ref="M2:N2"/>
  </mergeCells>
  <conditionalFormatting sqref="A4:A9">
    <cfRule type="expression" dxfId="425" priority="4">
      <formula>RIGHT(TEXT($A4,"#.0"),1)="0"</formula>
    </cfRule>
  </conditionalFormatting>
  <conditionalFormatting sqref="B4:B26">
    <cfRule type="expression" dxfId="424" priority="5">
      <formula>RIGHT(TEXT($B4,"#.00"),2)="00"</formula>
    </cfRule>
    <cfRule type="expression" dxfId="423" priority="6">
      <formula>RIGHT(TEXT($B4,"#.00"),2)="50"</formula>
    </cfRule>
  </conditionalFormatting>
  <conditionalFormatting sqref="D4:D9">
    <cfRule type="expression" dxfId="422" priority="11">
      <formula>RIGHT(TEXT($A4,"#.0"),1)="0"</formula>
    </cfRule>
  </conditionalFormatting>
  <conditionalFormatting sqref="D10:D26">
    <cfRule type="expression" dxfId="421" priority="1">
      <formula>RIGHT(TEXT($D10,"#.0"),1)="0"</formula>
    </cfRule>
  </conditionalFormatting>
  <conditionalFormatting sqref="E4:E26">
    <cfRule type="expression" dxfId="420" priority="2">
      <formula>RIGHT(TEXT($E4,"#.00"),2)="00"</formula>
    </cfRule>
    <cfRule type="expression" dxfId="419" priority="3">
      <formula>RIGHT(TEXT($E4,"#.00"),2)="50"</formula>
    </cfRule>
  </conditionalFormatting>
  <conditionalFormatting sqref="H4:H20">
    <cfRule type="expression" dxfId="418" priority="19">
      <formula>RIGHT(TEXT($H4,"#.00"),2)="00"</formula>
    </cfRule>
    <cfRule type="expression" dxfId="417" priority="20">
      <formula>RIGHT(TEXT($H4,"#.00"),2)="50"</formula>
    </cfRule>
  </conditionalFormatting>
  <conditionalFormatting sqref="K4:K20">
    <cfRule type="expression" dxfId="416" priority="17">
      <formula>RIGHT(TEXT($K4,"#.00"),2)="00"</formula>
    </cfRule>
    <cfRule type="expression" dxfId="415" priority="18">
      <formula>RIGHT(TEXT($K4,"#.00"),2)="50"</formula>
    </cfRule>
  </conditionalFormatting>
  <conditionalFormatting sqref="M4:M21">
    <cfRule type="expression" dxfId="414" priority="15">
      <formula>RIGHT(TEXT($M4,"#.0"),1)="0"</formula>
    </cfRule>
  </conditionalFormatting>
  <conditionalFormatting sqref="N4:N21">
    <cfRule type="expression" dxfId="413" priority="16">
      <formula>RIGHT(TEXT($N4,"#.00"),2)="00"</formula>
    </cfRule>
    <cfRule type="expression" dxfId="412" priority="26">
      <formula>RIGHT(TEXT($N4,"#.00"),2)="50"</formula>
    </cfRule>
  </conditionalFormatting>
  <conditionalFormatting sqref="P4:P21">
    <cfRule type="expression" dxfId="411" priority="13">
      <formula>RIGHT(TEXT($P4,"#.0"),1)="0"</formula>
    </cfRule>
  </conditionalFormatting>
  <conditionalFormatting sqref="Q4:Q21">
    <cfRule type="expression" dxfId="410" priority="14">
      <formula>RIGHT(TEXT($Q4,"#.00"),2)="00"</formula>
    </cfRule>
    <cfRule type="expression" dxfId="409" priority="25">
      <formula>RIGHT(TEXT($Q4,"#.00"),2)="50"</formula>
    </cfRule>
  </conditionalFormatting>
  <pageMargins left="0.7" right="0.7" top="0.78740157499999996" bottom="0.78740157499999996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/>
  <dimension ref="A1:AC56"/>
  <sheetViews>
    <sheetView zoomScale="85" zoomScaleNormal="85" workbookViewId="0"/>
  </sheetViews>
  <sheetFormatPr baseColWidth="10" defaultColWidth="11.5703125" defaultRowHeight="15"/>
  <cols>
    <col min="3" max="3" width="1.140625" customWidth="1"/>
    <col min="6" max="6" width="2.7109375" customWidth="1"/>
    <col min="7" max="7" width="11.7109375" customWidth="1"/>
    <col min="9" max="9" width="1.140625" customWidth="1"/>
    <col min="10" max="10" width="11.7109375" customWidth="1"/>
    <col min="12" max="12" width="2.7109375" customWidth="1"/>
    <col min="13" max="13" width="11.7109375" customWidth="1"/>
    <col min="15" max="15" width="1.140625" customWidth="1"/>
    <col min="18" max="18" width="2.7109375" customWidth="1"/>
    <col min="21" max="21" width="1.140625" customWidth="1"/>
    <col min="22" max="22" width="11.7109375" customWidth="1"/>
    <col min="24" max="24" width="2.7109375" customWidth="1"/>
    <col min="27" max="27" width="1.140625" customWidth="1"/>
  </cols>
  <sheetData>
    <row r="1" spans="1:29">
      <c r="A1" s="4" t="str">
        <f>INDEX(StdDisziplinen[StdDisziplin],20)</f>
        <v>Basketball</v>
      </c>
      <c r="G1" s="4" t="str">
        <f>INDEX(StdDisziplinen[StdDisziplin],21)</f>
        <v>Fussball</v>
      </c>
      <c r="M1" s="4" t="str">
        <f>INDEX(StdDisziplinen[StdDisziplin],22)</f>
        <v>Handball</v>
      </c>
      <c r="S1" s="4" t="str">
        <f>INDEX(StdDisziplinen[StdDisziplin],23)</f>
        <v>Unihockey</v>
      </c>
      <c r="Y1" s="4" t="str">
        <f>INDEX(StdDisziplinen[StdDisziplin],24)</f>
        <v>Volleyball</v>
      </c>
    </row>
    <row r="2" spans="1:29">
      <c r="A2" s="90" t="str">
        <f>Stammdaten!$E$6</f>
        <v>Knaben_K1</v>
      </c>
      <c r="B2" s="90"/>
      <c r="C2" s="5"/>
      <c r="D2" s="90" t="str">
        <f>Stammdaten!$E$7</f>
        <v>Mädchen_M1</v>
      </c>
      <c r="E2" s="90"/>
      <c r="G2" s="90" t="str">
        <f>$A$2</f>
        <v>Knaben_K1</v>
      </c>
      <c r="H2" s="90"/>
      <c r="I2" s="5"/>
      <c r="J2" s="90" t="str">
        <f>$D$2</f>
        <v>Mädchen_M1</v>
      </c>
      <c r="K2" s="90"/>
      <c r="M2" s="90" t="str">
        <f>$A$2</f>
        <v>Knaben_K1</v>
      </c>
      <c r="N2" s="90"/>
      <c r="O2" s="5"/>
      <c r="P2" s="90" t="str">
        <f>$D$2</f>
        <v>Mädchen_M1</v>
      </c>
      <c r="Q2" s="90"/>
      <c r="S2" s="90" t="str">
        <f>$A$2</f>
        <v>Knaben_K1</v>
      </c>
      <c r="T2" s="90"/>
      <c r="U2" s="5"/>
      <c r="V2" s="90" t="str">
        <f>$D$2</f>
        <v>Mädchen_M1</v>
      </c>
      <c r="W2" s="90"/>
      <c r="Y2" s="90" t="str">
        <f>$A$2</f>
        <v>Knaben_K1</v>
      </c>
      <c r="Z2" s="90"/>
      <c r="AA2" s="5"/>
      <c r="AB2" s="90" t="str">
        <f>$D$2</f>
        <v>Mädchen_M1</v>
      </c>
      <c r="AC2" s="90"/>
    </row>
    <row r="3" spans="1:29">
      <c r="A3" t="s">
        <v>22</v>
      </c>
      <c r="B3" t="s">
        <v>7</v>
      </c>
      <c r="D3" t="s">
        <v>22</v>
      </c>
      <c r="E3" t="s">
        <v>7</v>
      </c>
      <c r="G3" s="6" t="s">
        <v>22</v>
      </c>
      <c r="H3" s="1" t="s">
        <v>7</v>
      </c>
      <c r="I3" s="1"/>
      <c r="J3" s="6" t="s">
        <v>22</v>
      </c>
      <c r="K3" s="1" t="s">
        <v>7</v>
      </c>
      <c r="M3" s="6" t="s">
        <v>22</v>
      </c>
      <c r="N3" s="1" t="s">
        <v>7</v>
      </c>
      <c r="P3" t="s">
        <v>22</v>
      </c>
      <c r="Q3" t="s">
        <v>7</v>
      </c>
      <c r="S3" t="s">
        <v>22</v>
      </c>
      <c r="T3" t="s">
        <v>7</v>
      </c>
      <c r="V3" s="6" t="s">
        <v>22</v>
      </c>
      <c r="W3" s="1" t="s">
        <v>7</v>
      </c>
      <c r="Y3" s="6" t="s">
        <v>22</v>
      </c>
      <c r="Z3" s="1" t="s">
        <v>7</v>
      </c>
      <c r="AB3" s="6" t="s">
        <v>22</v>
      </c>
      <c r="AC3" s="1" t="s">
        <v>7</v>
      </c>
    </row>
    <row r="4" spans="1:29" ht="14.45" customHeight="1">
      <c r="A4" s="2"/>
      <c r="B4" s="2"/>
      <c r="C4" s="2"/>
      <c r="D4" s="2"/>
      <c r="E4" s="2"/>
      <c r="G4" s="2"/>
      <c r="H4" s="2"/>
      <c r="I4" s="2"/>
      <c r="J4" s="2"/>
      <c r="K4" s="2"/>
      <c r="M4" s="2"/>
      <c r="N4" s="2"/>
      <c r="P4" s="2"/>
      <c r="Q4" s="2"/>
      <c r="S4" s="2"/>
      <c r="T4" s="2"/>
      <c r="V4" s="2"/>
      <c r="W4" s="2"/>
      <c r="Y4" s="8"/>
      <c r="Z4" s="2"/>
      <c r="AB4" s="8"/>
      <c r="AC4" s="2"/>
    </row>
    <row r="5" spans="1:29" ht="14.45" customHeight="1">
      <c r="A5" s="2"/>
      <c r="B5" s="2"/>
      <c r="C5" s="2"/>
      <c r="D5" s="2"/>
      <c r="E5" s="2"/>
      <c r="G5" s="2"/>
      <c r="H5" s="2"/>
      <c r="I5" s="2"/>
      <c r="J5" s="2"/>
      <c r="K5" s="2"/>
      <c r="M5" s="2"/>
      <c r="N5" s="2"/>
      <c r="P5" s="2"/>
      <c r="Q5" s="2"/>
      <c r="S5" s="2"/>
      <c r="T5" s="2"/>
      <c r="V5" s="2"/>
      <c r="W5" s="2"/>
      <c r="Y5" s="8"/>
      <c r="Z5" s="2"/>
      <c r="AB5" s="8"/>
      <c r="AC5" s="2"/>
    </row>
    <row r="6" spans="1:29" ht="14.45" customHeight="1">
      <c r="A6" s="2"/>
      <c r="B6" s="2"/>
      <c r="C6" s="2"/>
      <c r="D6" s="2"/>
      <c r="E6" s="2"/>
      <c r="G6" s="2"/>
      <c r="H6" s="2"/>
      <c r="I6" s="2"/>
      <c r="J6" s="2"/>
      <c r="K6" s="2"/>
      <c r="M6" s="2"/>
      <c r="N6" s="2"/>
      <c r="P6" s="2"/>
      <c r="Q6" s="2"/>
      <c r="S6" s="2"/>
      <c r="T6" s="2"/>
      <c r="V6" s="2"/>
      <c r="W6" s="2"/>
      <c r="Y6" s="8"/>
      <c r="Z6" s="2"/>
      <c r="AB6" s="8"/>
      <c r="AC6" s="2"/>
    </row>
    <row r="7" spans="1:29" ht="14.45" customHeight="1">
      <c r="A7" s="2"/>
      <c r="B7" s="2"/>
      <c r="C7" s="2"/>
      <c r="D7" s="2"/>
      <c r="E7" s="2"/>
      <c r="G7" s="2"/>
      <c r="H7" s="2"/>
      <c r="I7" s="2"/>
      <c r="J7" s="2"/>
      <c r="K7" s="2"/>
      <c r="M7" s="2"/>
      <c r="N7" s="2"/>
      <c r="P7" s="2"/>
      <c r="Q7" s="2"/>
      <c r="S7" s="2"/>
      <c r="T7" s="2"/>
      <c r="V7" s="2"/>
      <c r="W7" s="2"/>
      <c r="Y7" s="8"/>
      <c r="Z7" s="2"/>
      <c r="AB7" s="8"/>
      <c r="AC7" s="2"/>
    </row>
    <row r="8" spans="1:29" ht="14.45" customHeight="1">
      <c r="A8" s="2"/>
      <c r="B8" s="2"/>
      <c r="C8" s="2"/>
      <c r="D8" s="2"/>
      <c r="E8" s="2"/>
      <c r="G8" s="2"/>
      <c r="H8" s="2"/>
      <c r="I8" s="2"/>
      <c r="J8" s="2"/>
      <c r="K8" s="2"/>
      <c r="M8" s="2"/>
      <c r="N8" s="2"/>
      <c r="P8" s="2"/>
      <c r="Q8" s="2"/>
      <c r="S8" s="2"/>
      <c r="T8" s="2"/>
      <c r="V8" s="2"/>
      <c r="W8" s="2"/>
      <c r="Y8" s="8">
        <v>1</v>
      </c>
      <c r="Z8" s="2">
        <v>2.6</v>
      </c>
      <c r="AB8" s="8">
        <v>1</v>
      </c>
      <c r="AC8" s="2">
        <v>2.6</v>
      </c>
    </row>
    <row r="9" spans="1:29" ht="14.45" customHeight="1">
      <c r="A9" s="2"/>
      <c r="B9" s="2"/>
      <c r="C9" s="2"/>
      <c r="D9" s="2"/>
      <c r="E9" s="2"/>
      <c r="G9" s="2"/>
      <c r="H9" s="2"/>
      <c r="I9" s="2"/>
      <c r="J9" s="2"/>
      <c r="K9" s="2"/>
      <c r="M9" s="2"/>
      <c r="N9" s="2"/>
      <c r="P9" s="2"/>
      <c r="Q9" s="2"/>
      <c r="S9" s="2"/>
      <c r="T9" s="2"/>
      <c r="V9" s="2"/>
      <c r="W9" s="2"/>
      <c r="Y9" s="8">
        <v>2</v>
      </c>
      <c r="Z9" s="2">
        <v>2.8</v>
      </c>
      <c r="AB9" s="8">
        <v>2</v>
      </c>
      <c r="AC9" s="2">
        <v>2.8</v>
      </c>
    </row>
    <row r="10" spans="1:29" ht="14.45" customHeight="1">
      <c r="A10" s="2"/>
      <c r="B10" s="2"/>
      <c r="C10" s="2"/>
      <c r="D10" s="2"/>
      <c r="E10" s="2"/>
      <c r="G10" s="2"/>
      <c r="H10" s="2"/>
      <c r="I10" s="2"/>
      <c r="J10" s="2"/>
      <c r="K10" s="2"/>
      <c r="M10" s="2"/>
      <c r="N10" s="2"/>
      <c r="P10" s="2"/>
      <c r="Q10" s="2"/>
      <c r="S10" s="2"/>
      <c r="T10" s="2"/>
      <c r="V10" s="2"/>
      <c r="W10" s="2"/>
      <c r="Y10" s="8">
        <v>3</v>
      </c>
      <c r="Z10" s="2">
        <v>3</v>
      </c>
      <c r="AB10" s="8">
        <v>3</v>
      </c>
      <c r="AC10" s="2">
        <v>3</v>
      </c>
    </row>
    <row r="11" spans="1:29" ht="14.45" customHeight="1">
      <c r="A11" s="2"/>
      <c r="B11" s="2"/>
      <c r="C11" s="2"/>
      <c r="D11" s="2"/>
      <c r="E11" s="2"/>
      <c r="G11" s="2"/>
      <c r="H11" s="2"/>
      <c r="I11" s="2"/>
      <c r="J11" s="2"/>
      <c r="K11" s="2"/>
      <c r="M11" s="2"/>
      <c r="N11" s="2"/>
      <c r="P11" s="2"/>
      <c r="Q11" s="2"/>
      <c r="S11" s="2"/>
      <c r="T11" s="2"/>
      <c r="V11" s="2"/>
      <c r="W11" s="2"/>
      <c r="Y11" s="8">
        <v>4</v>
      </c>
      <c r="Z11" s="2">
        <v>3.2</v>
      </c>
      <c r="AB11" s="8">
        <v>4</v>
      </c>
      <c r="AC11" s="2">
        <v>3.2</v>
      </c>
    </row>
    <row r="12" spans="1:29" ht="14.45" customHeight="1">
      <c r="A12" s="2"/>
      <c r="B12" s="2"/>
      <c r="C12" s="2"/>
      <c r="D12" s="2"/>
      <c r="E12" s="2"/>
      <c r="G12" s="2"/>
      <c r="H12" s="2"/>
      <c r="I12" s="2"/>
      <c r="J12" s="2"/>
      <c r="K12" s="2"/>
      <c r="M12" s="2"/>
      <c r="N12" s="2"/>
      <c r="P12" s="2"/>
      <c r="Q12" s="2"/>
      <c r="S12" s="2"/>
      <c r="T12" s="2"/>
      <c r="V12" s="2"/>
      <c r="W12" s="2"/>
      <c r="Y12" s="8">
        <v>5</v>
      </c>
      <c r="Z12" s="2">
        <v>3.4</v>
      </c>
      <c r="AB12" s="8">
        <v>5</v>
      </c>
      <c r="AC12" s="2">
        <v>3.4</v>
      </c>
    </row>
    <row r="13" spans="1:29" ht="14.45" customHeight="1">
      <c r="A13" s="2"/>
      <c r="B13" s="2"/>
      <c r="C13" s="2"/>
      <c r="D13" s="2"/>
      <c r="E13" s="2"/>
      <c r="G13" s="2"/>
      <c r="H13" s="2"/>
      <c r="I13" s="2"/>
      <c r="J13" s="2"/>
      <c r="K13" s="2"/>
      <c r="M13" s="2"/>
      <c r="N13" s="2"/>
      <c r="P13" s="2"/>
      <c r="Q13" s="2"/>
      <c r="S13" s="2"/>
      <c r="T13" s="2"/>
      <c r="V13" s="2"/>
      <c r="W13" s="2"/>
      <c r="Y13" s="8">
        <v>6</v>
      </c>
      <c r="Z13" s="2">
        <v>3.6</v>
      </c>
      <c r="AB13" s="8">
        <v>6</v>
      </c>
      <c r="AC13" s="2">
        <v>3.6</v>
      </c>
    </row>
    <row r="14" spans="1:29" ht="14.45" customHeight="1">
      <c r="A14" s="2">
        <v>114.5</v>
      </c>
      <c r="B14" s="2">
        <v>2</v>
      </c>
      <c r="C14" s="2"/>
      <c r="D14" s="2">
        <v>116.5</v>
      </c>
      <c r="E14" s="2">
        <v>2</v>
      </c>
      <c r="G14" s="2">
        <v>128.5</v>
      </c>
      <c r="H14" s="2">
        <v>2</v>
      </c>
      <c r="I14" s="2"/>
      <c r="J14" s="2">
        <v>140.5</v>
      </c>
      <c r="K14" s="2">
        <v>2</v>
      </c>
      <c r="M14" s="2">
        <v>110.5</v>
      </c>
      <c r="N14" s="2">
        <v>2</v>
      </c>
      <c r="P14" s="2">
        <v>114.5</v>
      </c>
      <c r="Q14" s="2">
        <v>2</v>
      </c>
      <c r="S14" s="2">
        <v>114.5</v>
      </c>
      <c r="T14" s="2">
        <v>2</v>
      </c>
      <c r="V14" s="2">
        <v>116.5</v>
      </c>
      <c r="W14" s="2">
        <v>2</v>
      </c>
      <c r="Y14" s="8">
        <v>7</v>
      </c>
      <c r="Z14" s="2">
        <v>3.8</v>
      </c>
      <c r="AB14" s="8">
        <v>7</v>
      </c>
      <c r="AC14" s="2">
        <v>3.8</v>
      </c>
    </row>
    <row r="15" spans="1:29" ht="14.45" customHeight="1">
      <c r="A15" s="2">
        <v>108.7</v>
      </c>
      <c r="B15" s="2">
        <v>2.1</v>
      </c>
      <c r="C15" s="2"/>
      <c r="D15" s="2">
        <v>110.7</v>
      </c>
      <c r="E15" s="2">
        <v>2.1</v>
      </c>
      <c r="G15" s="2">
        <v>122.4</v>
      </c>
      <c r="H15" s="2">
        <v>2.1</v>
      </c>
      <c r="I15" s="2"/>
      <c r="J15" s="2">
        <v>134.4</v>
      </c>
      <c r="K15" s="2">
        <v>2.1</v>
      </c>
      <c r="M15" s="2">
        <v>104.7</v>
      </c>
      <c r="N15" s="2">
        <v>2.1</v>
      </c>
      <c r="P15" s="2">
        <v>108.7</v>
      </c>
      <c r="Q15" s="2">
        <v>2.1</v>
      </c>
      <c r="S15" s="2">
        <v>108.7</v>
      </c>
      <c r="T15" s="2">
        <v>2.1</v>
      </c>
      <c r="V15" s="2">
        <v>110.7</v>
      </c>
      <c r="W15" s="2">
        <v>2.1</v>
      </c>
      <c r="Y15" s="8">
        <v>8</v>
      </c>
      <c r="Z15" s="2">
        <v>4</v>
      </c>
      <c r="AB15" s="8">
        <v>8</v>
      </c>
      <c r="AC15" s="2">
        <v>4</v>
      </c>
    </row>
    <row r="16" spans="1:29" ht="14.45" customHeight="1">
      <c r="A16" s="2">
        <v>103.2</v>
      </c>
      <c r="B16" s="2">
        <v>2.2000000000000002</v>
      </c>
      <c r="C16" s="2"/>
      <c r="D16" s="2">
        <v>105.2</v>
      </c>
      <c r="E16" s="2">
        <v>2.2000000000000002</v>
      </c>
      <c r="G16" s="2">
        <v>116.6</v>
      </c>
      <c r="H16" s="2">
        <v>2.2000000000000002</v>
      </c>
      <c r="I16" s="2"/>
      <c r="J16" s="2">
        <v>128.6</v>
      </c>
      <c r="K16" s="2">
        <v>2.2000000000000002</v>
      </c>
      <c r="M16" s="2">
        <v>99.2</v>
      </c>
      <c r="N16" s="2">
        <v>2.2000000000000002</v>
      </c>
      <c r="P16" s="2">
        <v>103.2</v>
      </c>
      <c r="Q16" s="2">
        <v>2.2000000000000002</v>
      </c>
      <c r="S16" s="2">
        <v>103.2</v>
      </c>
      <c r="T16" s="2">
        <v>2.2000000000000002</v>
      </c>
      <c r="V16" s="2">
        <v>105.2</v>
      </c>
      <c r="W16" s="2">
        <v>2.2000000000000002</v>
      </c>
      <c r="Y16" s="8">
        <v>9</v>
      </c>
      <c r="Z16" s="2">
        <v>4.2</v>
      </c>
      <c r="AB16" s="8">
        <v>9</v>
      </c>
      <c r="AC16" s="2">
        <v>4.2</v>
      </c>
    </row>
    <row r="17" spans="1:29" ht="14.45" customHeight="1">
      <c r="A17" s="2">
        <v>98</v>
      </c>
      <c r="B17" s="2">
        <v>2.2999999999999998</v>
      </c>
      <c r="C17" s="2"/>
      <c r="D17" s="2">
        <v>100</v>
      </c>
      <c r="E17" s="2">
        <v>2.2999999999999998</v>
      </c>
      <c r="G17" s="2">
        <v>111.1</v>
      </c>
      <c r="H17" s="2">
        <v>2.2999999999999998</v>
      </c>
      <c r="I17" s="2"/>
      <c r="J17" s="2">
        <v>123.1</v>
      </c>
      <c r="K17" s="2">
        <v>2.2999999999999998</v>
      </c>
      <c r="M17" s="2">
        <v>94</v>
      </c>
      <c r="N17" s="2">
        <v>2.2999999999999998</v>
      </c>
      <c r="P17" s="2">
        <v>98</v>
      </c>
      <c r="Q17" s="2">
        <v>2.2999999999999998</v>
      </c>
      <c r="S17" s="2">
        <v>98</v>
      </c>
      <c r="T17" s="2">
        <v>2.2999999999999998</v>
      </c>
      <c r="V17" s="2">
        <v>100</v>
      </c>
      <c r="W17" s="2">
        <v>2.2999999999999998</v>
      </c>
      <c r="Y17" s="8">
        <v>10</v>
      </c>
      <c r="Z17" s="2">
        <v>4.4000000000000004</v>
      </c>
      <c r="AB17" s="8">
        <v>10</v>
      </c>
      <c r="AC17" s="2">
        <v>4.4000000000000004</v>
      </c>
    </row>
    <row r="18" spans="1:29" ht="14.45" customHeight="1">
      <c r="A18" s="2">
        <v>93.1</v>
      </c>
      <c r="B18" s="2">
        <v>2.4</v>
      </c>
      <c r="C18" s="2"/>
      <c r="D18" s="2">
        <v>95.1</v>
      </c>
      <c r="E18" s="2">
        <v>2.4</v>
      </c>
      <c r="G18" s="2">
        <v>105.9</v>
      </c>
      <c r="H18" s="2">
        <v>2.4</v>
      </c>
      <c r="I18" s="2"/>
      <c r="J18" s="2">
        <v>117.9</v>
      </c>
      <c r="K18" s="2">
        <v>2.4</v>
      </c>
      <c r="M18" s="2">
        <v>89.1</v>
      </c>
      <c r="N18" s="2">
        <v>2.4</v>
      </c>
      <c r="P18" s="2">
        <v>93.1</v>
      </c>
      <c r="Q18" s="2">
        <v>2.4</v>
      </c>
      <c r="S18" s="2">
        <v>93.1</v>
      </c>
      <c r="T18" s="2">
        <v>2.4</v>
      </c>
      <c r="V18" s="2">
        <v>95.1</v>
      </c>
      <c r="W18" s="2">
        <v>2.4</v>
      </c>
      <c r="Y18" s="8">
        <v>11</v>
      </c>
      <c r="Z18" s="2">
        <v>4.5999999999999996</v>
      </c>
      <c r="AB18" s="8">
        <v>11</v>
      </c>
      <c r="AC18" s="2">
        <v>4.5999999999999996</v>
      </c>
    </row>
    <row r="19" spans="1:29" ht="14.45" customHeight="1">
      <c r="A19" s="2">
        <v>88.5</v>
      </c>
      <c r="B19" s="2">
        <v>2.5</v>
      </c>
      <c r="C19" s="2"/>
      <c r="D19" s="2">
        <v>90.5</v>
      </c>
      <c r="E19" s="2">
        <v>2.5</v>
      </c>
      <c r="G19" s="2">
        <v>101</v>
      </c>
      <c r="H19" s="2">
        <v>2.5</v>
      </c>
      <c r="I19" s="2"/>
      <c r="J19" s="2">
        <v>113</v>
      </c>
      <c r="K19" s="2">
        <v>2.5</v>
      </c>
      <c r="M19" s="2">
        <v>84.5</v>
      </c>
      <c r="N19" s="2">
        <v>2.5</v>
      </c>
      <c r="P19" s="2">
        <v>88.5</v>
      </c>
      <c r="Q19" s="2">
        <v>2.5</v>
      </c>
      <c r="S19" s="2">
        <v>88.5</v>
      </c>
      <c r="T19" s="2">
        <v>2.5</v>
      </c>
      <c r="V19" s="2">
        <v>90.5</v>
      </c>
      <c r="W19" s="2">
        <v>2.5</v>
      </c>
      <c r="Y19" s="8">
        <v>12</v>
      </c>
      <c r="Z19" s="2">
        <v>4.8</v>
      </c>
      <c r="AB19" s="8">
        <v>12</v>
      </c>
      <c r="AC19" s="2">
        <v>4.8</v>
      </c>
    </row>
    <row r="20" spans="1:29" ht="14.45" customHeight="1">
      <c r="A20" s="2">
        <v>84.2</v>
      </c>
      <c r="B20" s="2">
        <v>2.6</v>
      </c>
      <c r="C20" s="2"/>
      <c r="D20" s="2">
        <v>86.2</v>
      </c>
      <c r="E20" s="2">
        <v>2.6</v>
      </c>
      <c r="G20" s="2">
        <v>96.4</v>
      </c>
      <c r="H20" s="2">
        <v>2.6</v>
      </c>
      <c r="I20" s="2"/>
      <c r="J20" s="2">
        <v>108.4</v>
      </c>
      <c r="K20" s="2">
        <v>2.6</v>
      </c>
      <c r="M20" s="2">
        <v>80.2</v>
      </c>
      <c r="N20" s="2">
        <v>2.6</v>
      </c>
      <c r="P20" s="2">
        <v>84.2</v>
      </c>
      <c r="Q20" s="2">
        <v>2.6</v>
      </c>
      <c r="S20" s="2">
        <v>84.2</v>
      </c>
      <c r="T20" s="2">
        <v>2.6</v>
      </c>
      <c r="V20" s="2">
        <v>86.2</v>
      </c>
      <c r="W20" s="2">
        <v>2.6</v>
      </c>
      <c r="Y20" s="8">
        <v>13</v>
      </c>
      <c r="Z20" s="2">
        <v>5</v>
      </c>
      <c r="AB20" s="8">
        <v>13</v>
      </c>
      <c r="AC20" s="2">
        <v>5</v>
      </c>
    </row>
    <row r="21" spans="1:29" ht="14.45" customHeight="1">
      <c r="A21" s="2">
        <v>80.2</v>
      </c>
      <c r="B21" s="2">
        <v>2.7</v>
      </c>
      <c r="C21" s="2"/>
      <c r="D21" s="2">
        <v>82.2</v>
      </c>
      <c r="E21" s="2">
        <v>2.7</v>
      </c>
      <c r="G21" s="2">
        <v>92.1</v>
      </c>
      <c r="H21" s="2">
        <v>2.7</v>
      </c>
      <c r="I21" s="2"/>
      <c r="J21" s="2">
        <v>104.1</v>
      </c>
      <c r="K21" s="2">
        <v>2.7</v>
      </c>
      <c r="M21" s="2">
        <v>76.2</v>
      </c>
      <c r="N21" s="2">
        <v>2.7</v>
      </c>
      <c r="P21" s="2">
        <v>80.2</v>
      </c>
      <c r="Q21" s="2">
        <v>2.7</v>
      </c>
      <c r="S21" s="2">
        <v>80.2</v>
      </c>
      <c r="T21" s="2">
        <v>2.7</v>
      </c>
      <c r="V21" s="2">
        <v>82.2</v>
      </c>
      <c r="W21" s="2">
        <v>2.7</v>
      </c>
      <c r="Y21" s="8">
        <v>14</v>
      </c>
      <c r="Z21" s="2">
        <v>5.2</v>
      </c>
      <c r="AB21" s="8">
        <v>14</v>
      </c>
      <c r="AC21" s="2">
        <v>5.2</v>
      </c>
    </row>
    <row r="22" spans="1:29" ht="14.45" customHeight="1">
      <c r="A22" s="2">
        <v>76.5</v>
      </c>
      <c r="B22" s="2">
        <v>2.8</v>
      </c>
      <c r="C22" s="2"/>
      <c r="D22" s="2">
        <v>78.5</v>
      </c>
      <c r="E22" s="2">
        <v>2.8</v>
      </c>
      <c r="G22" s="2">
        <v>88.1</v>
      </c>
      <c r="H22" s="2">
        <v>2.8</v>
      </c>
      <c r="I22" s="2"/>
      <c r="J22" s="2">
        <v>100.1</v>
      </c>
      <c r="K22" s="2">
        <v>2.8</v>
      </c>
      <c r="M22" s="2">
        <v>72.5</v>
      </c>
      <c r="N22" s="2">
        <v>2.8</v>
      </c>
      <c r="P22" s="2">
        <v>76.5</v>
      </c>
      <c r="Q22" s="2">
        <v>2.8</v>
      </c>
      <c r="S22" s="2">
        <v>76.5</v>
      </c>
      <c r="T22" s="2">
        <v>2.8</v>
      </c>
      <c r="V22" s="2">
        <v>78.5</v>
      </c>
      <c r="W22" s="2">
        <v>2.8</v>
      </c>
      <c r="Y22" s="8">
        <v>15</v>
      </c>
      <c r="Z22" s="2">
        <v>5.4</v>
      </c>
      <c r="AB22" s="8">
        <v>15</v>
      </c>
      <c r="AC22" s="2">
        <v>5.4</v>
      </c>
    </row>
    <row r="23" spans="1:29" ht="14.45" customHeight="1">
      <c r="A23" s="2">
        <v>73.099999999999994</v>
      </c>
      <c r="B23" s="2">
        <v>2.9</v>
      </c>
      <c r="C23" s="2"/>
      <c r="D23" s="2">
        <v>75.099999999999994</v>
      </c>
      <c r="E23" s="2">
        <v>2.9</v>
      </c>
      <c r="G23" s="2">
        <v>84.4</v>
      </c>
      <c r="H23" s="2">
        <v>2.9</v>
      </c>
      <c r="I23" s="2"/>
      <c r="J23" s="2">
        <v>96.4</v>
      </c>
      <c r="K23" s="2">
        <v>2.9</v>
      </c>
      <c r="M23" s="2">
        <v>69.099999999999994</v>
      </c>
      <c r="N23" s="2">
        <v>2.9</v>
      </c>
      <c r="P23" s="2">
        <v>73.099999999999994</v>
      </c>
      <c r="Q23" s="2">
        <v>2.9</v>
      </c>
      <c r="S23" s="2">
        <v>73.099999999999994</v>
      </c>
      <c r="T23" s="2">
        <v>2.9</v>
      </c>
      <c r="V23" s="2">
        <v>75.099999999999994</v>
      </c>
      <c r="W23" s="2">
        <v>2.9</v>
      </c>
      <c r="Y23" s="8">
        <v>16</v>
      </c>
      <c r="Z23" s="2">
        <v>5.6</v>
      </c>
      <c r="AB23" s="8">
        <v>16</v>
      </c>
      <c r="AC23" s="2">
        <v>5.6</v>
      </c>
    </row>
    <row r="24" spans="1:29" ht="14.45" customHeight="1">
      <c r="A24" s="2">
        <v>70</v>
      </c>
      <c r="B24" s="2">
        <v>3</v>
      </c>
      <c r="C24" s="2"/>
      <c r="D24" s="2">
        <v>72</v>
      </c>
      <c r="E24" s="2">
        <v>3</v>
      </c>
      <c r="G24" s="2">
        <v>81</v>
      </c>
      <c r="H24" s="2">
        <v>3</v>
      </c>
      <c r="I24" s="2"/>
      <c r="J24" s="2">
        <v>93</v>
      </c>
      <c r="K24" s="2">
        <v>3</v>
      </c>
      <c r="M24" s="2">
        <v>66</v>
      </c>
      <c r="N24" s="2">
        <v>3</v>
      </c>
      <c r="P24" s="2">
        <v>70</v>
      </c>
      <c r="Q24" s="2">
        <v>3</v>
      </c>
      <c r="S24" s="2">
        <v>70</v>
      </c>
      <c r="T24" s="2">
        <v>3</v>
      </c>
      <c r="V24" s="2">
        <v>72</v>
      </c>
      <c r="W24" s="2">
        <v>3</v>
      </c>
      <c r="Y24" s="8">
        <v>17</v>
      </c>
      <c r="Z24" s="2">
        <v>5.8</v>
      </c>
      <c r="AB24" s="8">
        <v>17</v>
      </c>
      <c r="AC24" s="2">
        <v>5.8</v>
      </c>
    </row>
    <row r="25" spans="1:29" ht="14.45" customHeight="1">
      <c r="A25" s="2">
        <v>67.2</v>
      </c>
      <c r="B25" s="2">
        <v>3.1</v>
      </c>
      <c r="C25" s="2"/>
      <c r="D25" s="2">
        <v>69.2</v>
      </c>
      <c r="E25" s="2">
        <v>3.1</v>
      </c>
      <c r="G25" s="2">
        <v>77.900000000000006</v>
      </c>
      <c r="H25" s="2">
        <v>3.1</v>
      </c>
      <c r="I25" s="2"/>
      <c r="J25" s="2">
        <v>89.9</v>
      </c>
      <c r="K25" s="2">
        <v>3.1</v>
      </c>
      <c r="M25" s="2">
        <v>63.2</v>
      </c>
      <c r="N25" s="2">
        <v>3.1</v>
      </c>
      <c r="P25" s="2">
        <v>67.2</v>
      </c>
      <c r="Q25" s="2">
        <v>3.1</v>
      </c>
      <c r="S25" s="2">
        <v>67.2</v>
      </c>
      <c r="T25" s="2">
        <v>3.1</v>
      </c>
      <c r="V25" s="2">
        <v>69.2</v>
      </c>
      <c r="W25" s="2">
        <v>3.1</v>
      </c>
      <c r="Y25" s="8">
        <v>18</v>
      </c>
      <c r="Z25" s="2">
        <v>6</v>
      </c>
      <c r="AB25" s="8">
        <v>18</v>
      </c>
      <c r="AC25" s="2">
        <v>6</v>
      </c>
    </row>
    <row r="26" spans="1:29" ht="14.45" customHeight="1">
      <c r="A26" s="2">
        <v>64.599999999999994</v>
      </c>
      <c r="B26" s="2">
        <v>3.2</v>
      </c>
      <c r="C26" s="2"/>
      <c r="D26" s="2">
        <v>66.599999999999994</v>
      </c>
      <c r="E26" s="2">
        <v>3.2</v>
      </c>
      <c r="G26" s="2">
        <v>75</v>
      </c>
      <c r="H26" s="2">
        <v>3.2</v>
      </c>
      <c r="I26" s="2"/>
      <c r="J26" s="2">
        <v>87</v>
      </c>
      <c r="K26" s="2">
        <v>3.2</v>
      </c>
      <c r="M26" s="2">
        <v>60.6</v>
      </c>
      <c r="N26" s="2">
        <v>3.2</v>
      </c>
      <c r="P26" s="2">
        <v>64.599999999999994</v>
      </c>
      <c r="Q26" s="2">
        <v>3.2</v>
      </c>
      <c r="S26" s="2">
        <v>64.599999999999994</v>
      </c>
      <c r="T26" s="2">
        <v>3.2</v>
      </c>
      <c r="V26" s="2">
        <v>66.599999999999994</v>
      </c>
      <c r="W26" s="2">
        <v>3.2</v>
      </c>
      <c r="Y26" s="8">
        <v>19</v>
      </c>
      <c r="Z26" s="2">
        <v>6</v>
      </c>
      <c r="AB26" s="8">
        <v>19</v>
      </c>
      <c r="AC26" s="2">
        <v>6</v>
      </c>
    </row>
    <row r="27" spans="1:29" ht="14.45" customHeight="1">
      <c r="A27" s="2">
        <v>62.2</v>
      </c>
      <c r="B27" s="2">
        <v>3.3</v>
      </c>
      <c r="C27" s="2"/>
      <c r="D27" s="2">
        <v>64.2</v>
      </c>
      <c r="E27" s="2">
        <v>3.3</v>
      </c>
      <c r="G27" s="2">
        <v>72.3</v>
      </c>
      <c r="H27" s="2">
        <v>3.3</v>
      </c>
      <c r="I27" s="2"/>
      <c r="J27" s="2">
        <v>84.3</v>
      </c>
      <c r="K27" s="2">
        <v>3.3</v>
      </c>
      <c r="M27" s="2">
        <v>58.2</v>
      </c>
      <c r="N27" s="2">
        <v>3.3</v>
      </c>
      <c r="P27" s="2">
        <v>62.2</v>
      </c>
      <c r="Q27" s="2">
        <v>3.3</v>
      </c>
      <c r="S27" s="2">
        <v>62.2</v>
      </c>
      <c r="T27" s="2">
        <v>3.3</v>
      </c>
      <c r="V27" s="2">
        <v>64.2</v>
      </c>
      <c r="W27" s="2">
        <v>3.3</v>
      </c>
      <c r="Y27" s="8">
        <v>20</v>
      </c>
      <c r="Z27" s="2">
        <v>6</v>
      </c>
      <c r="AB27" s="8">
        <v>20</v>
      </c>
      <c r="AC27" s="2">
        <v>6</v>
      </c>
    </row>
    <row r="28" spans="1:29" ht="14.45" customHeight="1">
      <c r="A28" s="2">
        <v>60</v>
      </c>
      <c r="B28" s="2">
        <v>3.4</v>
      </c>
      <c r="C28" s="2"/>
      <c r="D28" s="2">
        <v>62</v>
      </c>
      <c r="E28" s="2">
        <v>3.4</v>
      </c>
      <c r="G28" s="2">
        <v>69.8</v>
      </c>
      <c r="H28" s="2">
        <v>3.4</v>
      </c>
      <c r="I28" s="2"/>
      <c r="J28" s="2">
        <v>81.8</v>
      </c>
      <c r="K28" s="2">
        <v>3.4</v>
      </c>
      <c r="M28" s="2">
        <v>56</v>
      </c>
      <c r="N28" s="2">
        <v>3.4</v>
      </c>
      <c r="P28" s="2">
        <v>60</v>
      </c>
      <c r="Q28" s="2">
        <v>3.4</v>
      </c>
      <c r="S28" s="2">
        <v>60</v>
      </c>
      <c r="T28" s="2">
        <v>3.4</v>
      </c>
      <c r="V28" s="2">
        <v>62</v>
      </c>
      <c r="W28" s="2">
        <v>3.4</v>
      </c>
      <c r="Y28" s="55"/>
      <c r="Z28" s="2"/>
      <c r="AB28" s="55"/>
      <c r="AC28" s="2"/>
    </row>
    <row r="29" spans="1:29" ht="14.45" customHeight="1">
      <c r="A29" s="2">
        <v>58</v>
      </c>
      <c r="B29" s="2">
        <v>3.5</v>
      </c>
      <c r="C29" s="2"/>
      <c r="D29" s="2">
        <v>60</v>
      </c>
      <c r="E29" s="2">
        <v>3.5</v>
      </c>
      <c r="G29" s="2">
        <v>67.5</v>
      </c>
      <c r="H29" s="2">
        <v>3.5</v>
      </c>
      <c r="I29" s="2"/>
      <c r="J29" s="2">
        <v>79.5</v>
      </c>
      <c r="K29" s="2">
        <v>3.5</v>
      </c>
      <c r="M29" s="2">
        <v>54</v>
      </c>
      <c r="N29" s="2">
        <v>3.5</v>
      </c>
      <c r="P29" s="2">
        <v>58</v>
      </c>
      <c r="Q29" s="2">
        <v>3.5</v>
      </c>
      <c r="S29" s="2">
        <v>58</v>
      </c>
      <c r="T29" s="2">
        <v>3.5</v>
      </c>
      <c r="V29" s="2">
        <v>60</v>
      </c>
      <c r="W29" s="2">
        <v>3.5</v>
      </c>
      <c r="Y29" s="8"/>
      <c r="Z29" s="2"/>
      <c r="AB29" s="8"/>
      <c r="AC29" s="2"/>
    </row>
    <row r="30" spans="1:29" ht="14.45" customHeight="1">
      <c r="A30" s="2">
        <v>56.2</v>
      </c>
      <c r="B30" s="2">
        <v>3.6</v>
      </c>
      <c r="C30" s="2"/>
      <c r="D30" s="2">
        <v>58.2</v>
      </c>
      <c r="E30" s="2">
        <v>3.6</v>
      </c>
      <c r="G30" s="2">
        <v>65.400000000000006</v>
      </c>
      <c r="H30" s="2">
        <v>3.6</v>
      </c>
      <c r="I30" s="2"/>
      <c r="J30" s="2">
        <v>77.400000000000006</v>
      </c>
      <c r="K30" s="2">
        <v>3.6</v>
      </c>
      <c r="M30" s="2">
        <v>52.2</v>
      </c>
      <c r="N30" s="2">
        <v>3.6</v>
      </c>
      <c r="P30" s="2">
        <v>56.2</v>
      </c>
      <c r="Q30" s="2">
        <v>3.6</v>
      </c>
      <c r="S30" s="2">
        <v>56.2</v>
      </c>
      <c r="T30" s="2">
        <v>3.6</v>
      </c>
      <c r="V30" s="2">
        <v>58.2</v>
      </c>
      <c r="W30" s="2">
        <v>3.6</v>
      </c>
      <c r="Y30" s="8"/>
      <c r="Z30" s="2"/>
      <c r="AB30" s="8"/>
      <c r="AC30" s="2"/>
    </row>
    <row r="31" spans="1:29" ht="14.45" customHeight="1">
      <c r="A31" s="2">
        <v>54.6</v>
      </c>
      <c r="B31" s="2">
        <v>3.7</v>
      </c>
      <c r="C31" s="2"/>
      <c r="D31" s="2">
        <v>56.6</v>
      </c>
      <c r="E31" s="2">
        <v>3.7</v>
      </c>
      <c r="G31" s="2">
        <v>63.5</v>
      </c>
      <c r="H31" s="2">
        <v>3.7</v>
      </c>
      <c r="I31" s="2"/>
      <c r="J31" s="2">
        <v>75.5</v>
      </c>
      <c r="K31" s="2">
        <v>3.7</v>
      </c>
      <c r="M31" s="2">
        <v>50.6</v>
      </c>
      <c r="N31" s="2">
        <v>3.7</v>
      </c>
      <c r="P31" s="2">
        <v>54.6</v>
      </c>
      <c r="Q31" s="2">
        <v>3.7</v>
      </c>
      <c r="S31" s="2">
        <v>54.6</v>
      </c>
      <c r="T31" s="2">
        <v>3.7</v>
      </c>
      <c r="V31" s="2">
        <v>56.6</v>
      </c>
      <c r="W31" s="2">
        <v>3.7</v>
      </c>
      <c r="Y31" s="8"/>
      <c r="Z31" s="2"/>
      <c r="AB31" s="8"/>
      <c r="AC31" s="2"/>
    </row>
    <row r="32" spans="1:29" ht="14.45" customHeight="1">
      <c r="A32" s="2">
        <v>53.2</v>
      </c>
      <c r="B32" s="2">
        <v>3.8</v>
      </c>
      <c r="C32" s="2"/>
      <c r="D32" s="2">
        <v>55.2</v>
      </c>
      <c r="E32" s="2">
        <v>3.8</v>
      </c>
      <c r="G32" s="2">
        <v>61.8</v>
      </c>
      <c r="H32" s="2">
        <v>3.8</v>
      </c>
      <c r="I32" s="2"/>
      <c r="J32" s="2">
        <v>73.8</v>
      </c>
      <c r="K32" s="2">
        <v>3.8</v>
      </c>
      <c r="M32" s="2">
        <v>49.2</v>
      </c>
      <c r="N32" s="2">
        <v>3.8</v>
      </c>
      <c r="P32" s="2">
        <v>53.2</v>
      </c>
      <c r="Q32" s="2">
        <v>3.8</v>
      </c>
      <c r="S32" s="2">
        <v>53.2</v>
      </c>
      <c r="T32" s="2">
        <v>3.8</v>
      </c>
      <c r="V32" s="2">
        <v>55.2</v>
      </c>
      <c r="W32" s="2">
        <v>3.8</v>
      </c>
      <c r="Y32" s="8"/>
      <c r="Z32" s="2"/>
      <c r="AB32" s="8"/>
      <c r="AC32" s="2"/>
    </row>
    <row r="33" spans="1:29" ht="14.45" customHeight="1">
      <c r="A33" s="2">
        <v>52</v>
      </c>
      <c r="B33" s="2">
        <v>3.9</v>
      </c>
      <c r="C33" s="2"/>
      <c r="D33" s="2">
        <v>54</v>
      </c>
      <c r="E33" s="2">
        <v>3.9</v>
      </c>
      <c r="G33" s="2">
        <v>60.3</v>
      </c>
      <c r="H33" s="2">
        <v>3.9</v>
      </c>
      <c r="I33" s="2"/>
      <c r="J33" s="2">
        <v>72.3</v>
      </c>
      <c r="K33" s="2">
        <v>3.9</v>
      </c>
      <c r="M33" s="2">
        <v>48</v>
      </c>
      <c r="N33" s="2">
        <v>3.9</v>
      </c>
      <c r="P33" s="2">
        <v>52</v>
      </c>
      <c r="Q33" s="2">
        <v>3.9</v>
      </c>
      <c r="S33" s="2">
        <v>52</v>
      </c>
      <c r="T33" s="2">
        <v>3.9</v>
      </c>
      <c r="V33" s="2">
        <v>54</v>
      </c>
      <c r="W33" s="2">
        <v>3.9</v>
      </c>
      <c r="Y33" s="8"/>
      <c r="Z33" s="2"/>
      <c r="AB33" s="8"/>
      <c r="AC33" s="2"/>
    </row>
    <row r="34" spans="1:29" ht="14.45" customHeight="1">
      <c r="A34" s="2">
        <v>51</v>
      </c>
      <c r="B34" s="2">
        <v>4</v>
      </c>
      <c r="C34" s="2"/>
      <c r="D34" s="2">
        <v>53</v>
      </c>
      <c r="E34" s="2">
        <v>4</v>
      </c>
      <c r="G34" s="2">
        <v>59</v>
      </c>
      <c r="H34" s="2">
        <v>4</v>
      </c>
      <c r="I34" s="2"/>
      <c r="J34" s="2">
        <v>71</v>
      </c>
      <c r="K34" s="2">
        <v>4</v>
      </c>
      <c r="M34" s="2">
        <v>47</v>
      </c>
      <c r="N34" s="2">
        <v>4</v>
      </c>
      <c r="P34" s="2">
        <v>51</v>
      </c>
      <c r="Q34" s="2">
        <v>4</v>
      </c>
      <c r="S34" s="2">
        <v>51</v>
      </c>
      <c r="T34" s="2">
        <v>4</v>
      </c>
      <c r="V34" s="2">
        <v>53</v>
      </c>
      <c r="W34" s="2">
        <v>4</v>
      </c>
      <c r="Y34" s="8"/>
      <c r="Z34" s="2"/>
      <c r="AB34" s="8"/>
      <c r="AC34" s="2"/>
    </row>
    <row r="35" spans="1:29">
      <c r="A35" s="2">
        <v>50.2</v>
      </c>
      <c r="B35" s="2">
        <v>4.0999999999999996</v>
      </c>
      <c r="D35" s="2">
        <v>52.2</v>
      </c>
      <c r="E35" s="2">
        <v>4.0999999999999996</v>
      </c>
      <c r="G35" s="2">
        <v>57.9</v>
      </c>
      <c r="H35" s="2">
        <v>4.0999999999999996</v>
      </c>
      <c r="J35" s="2">
        <v>69.900000000000006</v>
      </c>
      <c r="K35" s="2">
        <v>4.0999999999999996</v>
      </c>
      <c r="M35" s="2">
        <v>46.2</v>
      </c>
      <c r="N35" s="2">
        <v>4.0999999999999996</v>
      </c>
      <c r="P35" s="2">
        <v>50.2</v>
      </c>
      <c r="Q35" s="2">
        <v>4.0999999999999996</v>
      </c>
      <c r="S35" s="2">
        <v>50.2</v>
      </c>
      <c r="T35" s="2">
        <v>4.0999999999999996</v>
      </c>
      <c r="V35" s="2">
        <v>52.2</v>
      </c>
      <c r="W35" s="2">
        <v>4.0999999999999996</v>
      </c>
      <c r="Y35" s="8"/>
      <c r="Z35" s="2"/>
      <c r="AB35" s="8"/>
      <c r="AC35" s="2"/>
    </row>
    <row r="36" spans="1:29">
      <c r="A36" s="2">
        <v>49.4</v>
      </c>
      <c r="B36" s="2">
        <v>4.2</v>
      </c>
      <c r="D36" s="2">
        <v>51.4</v>
      </c>
      <c r="E36" s="2">
        <v>4.2</v>
      </c>
      <c r="G36" s="2">
        <v>56.8</v>
      </c>
      <c r="H36" s="2">
        <v>4.2</v>
      </c>
      <c r="J36" s="2">
        <v>68.8</v>
      </c>
      <c r="K36" s="2">
        <v>4.2</v>
      </c>
      <c r="M36" s="2">
        <v>45.4</v>
      </c>
      <c r="N36" s="2">
        <v>4.2</v>
      </c>
      <c r="P36" s="2">
        <v>49.4</v>
      </c>
      <c r="Q36" s="2">
        <v>4.2</v>
      </c>
      <c r="S36" s="2">
        <v>49.4</v>
      </c>
      <c r="T36" s="2">
        <v>4.2</v>
      </c>
      <c r="V36" s="2">
        <v>51.4</v>
      </c>
      <c r="W36" s="2">
        <v>4.2</v>
      </c>
      <c r="Y36" s="8"/>
      <c r="Z36" s="2"/>
      <c r="AB36" s="8"/>
      <c r="AC36" s="2"/>
    </row>
    <row r="37" spans="1:29" ht="14.45" customHeight="1">
      <c r="A37" s="2">
        <v>48.6</v>
      </c>
      <c r="B37" s="2">
        <v>4.3</v>
      </c>
      <c r="D37" s="2">
        <v>50.6</v>
      </c>
      <c r="E37" s="2">
        <v>4.3</v>
      </c>
      <c r="G37" s="2">
        <v>55.7</v>
      </c>
      <c r="H37" s="2">
        <v>4.3</v>
      </c>
      <c r="J37" s="2">
        <v>67.7</v>
      </c>
      <c r="K37" s="2">
        <v>4.3</v>
      </c>
      <c r="M37" s="2">
        <v>44.6</v>
      </c>
      <c r="N37" s="2">
        <v>4.3</v>
      </c>
      <c r="P37" s="2">
        <v>48.6</v>
      </c>
      <c r="Q37" s="2">
        <v>4.3</v>
      </c>
      <c r="S37" s="2">
        <v>48.6</v>
      </c>
      <c r="T37" s="2">
        <v>4.3</v>
      </c>
      <c r="V37" s="2">
        <v>50.6</v>
      </c>
      <c r="W37" s="2">
        <v>4.3</v>
      </c>
      <c r="Y37" s="8"/>
      <c r="Z37" s="2"/>
      <c r="AB37" s="8"/>
      <c r="AC37" s="2"/>
    </row>
    <row r="38" spans="1:29" ht="14.45" customHeight="1">
      <c r="A38" s="2">
        <v>47.8</v>
      </c>
      <c r="B38" s="2">
        <v>4.4000000000000004</v>
      </c>
      <c r="D38" s="2">
        <v>49.8</v>
      </c>
      <c r="E38" s="2">
        <v>4.4000000000000004</v>
      </c>
      <c r="G38" s="2">
        <v>54.6</v>
      </c>
      <c r="H38" s="2">
        <v>4.4000000000000004</v>
      </c>
      <c r="J38" s="2">
        <v>66.599999999999994</v>
      </c>
      <c r="K38" s="2">
        <v>4.4000000000000004</v>
      </c>
      <c r="M38" s="2">
        <v>43.8</v>
      </c>
      <c r="N38" s="2">
        <v>4.4000000000000004</v>
      </c>
      <c r="P38" s="2">
        <v>47.8</v>
      </c>
      <c r="Q38" s="2">
        <v>4.4000000000000004</v>
      </c>
      <c r="S38" s="2">
        <v>47.8</v>
      </c>
      <c r="T38" s="2">
        <v>4.4000000000000004</v>
      </c>
      <c r="V38" s="2">
        <v>49.8</v>
      </c>
      <c r="W38" s="2">
        <v>4.4000000000000004</v>
      </c>
      <c r="Y38" s="8"/>
      <c r="Z38" s="2"/>
      <c r="AB38" s="8"/>
      <c r="AC38" s="2"/>
    </row>
    <row r="39" spans="1:29" ht="14.45" customHeight="1">
      <c r="A39" s="2">
        <v>47</v>
      </c>
      <c r="B39" s="2">
        <v>4.5</v>
      </c>
      <c r="D39" s="2">
        <v>49</v>
      </c>
      <c r="E39" s="2">
        <v>4.5</v>
      </c>
      <c r="G39" s="2">
        <v>53.5</v>
      </c>
      <c r="H39" s="2">
        <v>4.5</v>
      </c>
      <c r="J39" s="2">
        <v>65.5</v>
      </c>
      <c r="K39" s="2">
        <v>4.5</v>
      </c>
      <c r="M39" s="2">
        <v>43</v>
      </c>
      <c r="N39" s="2">
        <v>4.5</v>
      </c>
      <c r="P39" s="2">
        <v>47</v>
      </c>
      <c r="Q39" s="2">
        <v>4.5</v>
      </c>
      <c r="S39" s="2">
        <v>47</v>
      </c>
      <c r="T39" s="2">
        <v>4.5</v>
      </c>
      <c r="V39" s="2">
        <v>49</v>
      </c>
      <c r="W39" s="2">
        <v>4.5</v>
      </c>
      <c r="Y39" s="8"/>
      <c r="Z39" s="2"/>
      <c r="AB39" s="8"/>
      <c r="AC39" s="2"/>
    </row>
    <row r="40" spans="1:29" ht="14.45" customHeight="1">
      <c r="A40" s="2">
        <v>46.2</v>
      </c>
      <c r="B40" s="2">
        <v>4.5999999999999996</v>
      </c>
      <c r="D40" s="2">
        <v>48.2</v>
      </c>
      <c r="E40" s="2">
        <v>4.5999999999999996</v>
      </c>
      <c r="G40" s="2">
        <v>52.4</v>
      </c>
      <c r="H40" s="2">
        <v>4.5999999999999996</v>
      </c>
      <c r="J40" s="2">
        <v>64.400000000000006</v>
      </c>
      <c r="K40" s="2">
        <v>4.5999999999999996</v>
      </c>
      <c r="M40" s="2">
        <v>42.2</v>
      </c>
      <c r="N40" s="2">
        <v>4.5999999999999996</v>
      </c>
      <c r="P40" s="2">
        <v>46.2</v>
      </c>
      <c r="Q40" s="2">
        <v>4.5999999999999996</v>
      </c>
      <c r="S40" s="2">
        <v>46.2</v>
      </c>
      <c r="T40" s="2">
        <v>4.5999999999999996</v>
      </c>
      <c r="V40" s="2">
        <v>48.2</v>
      </c>
      <c r="W40" s="2">
        <v>4.5999999999999996</v>
      </c>
    </row>
    <row r="41" spans="1:29" ht="14.45" customHeight="1">
      <c r="A41" s="2">
        <v>45.4</v>
      </c>
      <c r="B41" s="2">
        <v>4.7</v>
      </c>
      <c r="D41" s="2">
        <v>47.4</v>
      </c>
      <c r="E41" s="2">
        <v>4.7</v>
      </c>
      <c r="G41" s="2">
        <v>51.3</v>
      </c>
      <c r="H41" s="2">
        <v>4.7</v>
      </c>
      <c r="J41" s="2">
        <v>63.3</v>
      </c>
      <c r="K41" s="2">
        <v>4.7</v>
      </c>
      <c r="M41" s="2">
        <v>41.4</v>
      </c>
      <c r="N41" s="2">
        <v>4.7</v>
      </c>
      <c r="P41" s="2">
        <v>45.4</v>
      </c>
      <c r="Q41" s="2">
        <v>4.7</v>
      </c>
      <c r="S41" s="2">
        <v>45.4</v>
      </c>
      <c r="T41" s="2">
        <v>4.7</v>
      </c>
      <c r="V41" s="2">
        <v>47.4</v>
      </c>
      <c r="W41" s="2">
        <v>4.7</v>
      </c>
    </row>
    <row r="42" spans="1:29">
      <c r="A42" s="2">
        <v>44.6</v>
      </c>
      <c r="B42" s="2">
        <v>4.8</v>
      </c>
      <c r="D42" s="2">
        <v>46.6</v>
      </c>
      <c r="E42" s="2">
        <v>4.8</v>
      </c>
      <c r="G42" s="2">
        <v>50.2</v>
      </c>
      <c r="H42" s="2">
        <v>4.8</v>
      </c>
      <c r="J42" s="2">
        <v>62.2</v>
      </c>
      <c r="K42" s="2">
        <v>4.8</v>
      </c>
      <c r="M42" s="2">
        <v>40.6</v>
      </c>
      <c r="N42" s="2">
        <v>4.8</v>
      </c>
      <c r="P42" s="2">
        <v>44.6</v>
      </c>
      <c r="Q42" s="2">
        <v>4.8</v>
      </c>
      <c r="S42" s="2">
        <v>44.6</v>
      </c>
      <c r="T42" s="2">
        <v>4.8</v>
      </c>
      <c r="V42" s="2">
        <v>46.6</v>
      </c>
      <c r="W42" s="2">
        <v>4.8</v>
      </c>
    </row>
    <row r="43" spans="1:29">
      <c r="A43" s="2">
        <v>43.8</v>
      </c>
      <c r="B43" s="2">
        <v>4.9000000000000004</v>
      </c>
      <c r="D43" s="2">
        <v>45.8</v>
      </c>
      <c r="E43" s="2">
        <v>4.9000000000000004</v>
      </c>
      <c r="G43" s="2">
        <v>49.1</v>
      </c>
      <c r="H43" s="2">
        <v>4.9000000000000004</v>
      </c>
      <c r="J43" s="2">
        <v>61.1</v>
      </c>
      <c r="K43" s="2">
        <v>4.9000000000000004</v>
      </c>
      <c r="M43" s="2">
        <v>39.799999999999997</v>
      </c>
      <c r="N43" s="2">
        <v>4.9000000000000004</v>
      </c>
      <c r="P43" s="2">
        <v>43.8</v>
      </c>
      <c r="Q43" s="2">
        <v>4.9000000000000004</v>
      </c>
      <c r="S43" s="2">
        <v>43.8</v>
      </c>
      <c r="T43" s="2">
        <v>4.9000000000000004</v>
      </c>
      <c r="V43" s="2">
        <v>45.8</v>
      </c>
      <c r="W43" s="2">
        <v>4.9000000000000004</v>
      </c>
    </row>
    <row r="44" spans="1:29">
      <c r="A44" s="2">
        <v>43</v>
      </c>
      <c r="B44" s="2">
        <v>5</v>
      </c>
      <c r="D44" s="2">
        <v>45</v>
      </c>
      <c r="E44" s="2">
        <v>5</v>
      </c>
      <c r="G44" s="2">
        <v>48</v>
      </c>
      <c r="H44" s="2">
        <v>5</v>
      </c>
      <c r="J44" s="2">
        <v>60</v>
      </c>
      <c r="K44" s="2">
        <v>5</v>
      </c>
      <c r="M44" s="2">
        <v>39</v>
      </c>
      <c r="N44" s="2">
        <v>5</v>
      </c>
      <c r="P44" s="2">
        <v>43</v>
      </c>
      <c r="Q44" s="2">
        <v>5</v>
      </c>
      <c r="S44" s="2">
        <v>43</v>
      </c>
      <c r="T44" s="2">
        <v>5</v>
      </c>
      <c r="V44" s="2">
        <v>45</v>
      </c>
      <c r="W44" s="2">
        <v>5</v>
      </c>
      <c r="Z44" s="2"/>
    </row>
    <row r="45" spans="1:29">
      <c r="A45" s="2">
        <v>42.3</v>
      </c>
      <c r="B45" s="2">
        <v>5.0999999999999996</v>
      </c>
      <c r="D45" s="2">
        <v>44.3</v>
      </c>
      <c r="E45" s="2">
        <v>5.0999999999999996</v>
      </c>
      <c r="G45" s="2">
        <v>47</v>
      </c>
      <c r="H45" s="2">
        <v>5.0999999999999996</v>
      </c>
      <c r="J45" s="2">
        <v>59</v>
      </c>
      <c r="K45" s="2">
        <v>5.0999999999999996</v>
      </c>
      <c r="M45" s="2">
        <v>38.299999999999997</v>
      </c>
      <c r="N45" s="2">
        <v>5.0999999999999996</v>
      </c>
      <c r="P45" s="2">
        <v>42.3</v>
      </c>
      <c r="Q45" s="2">
        <v>5.0999999999999996</v>
      </c>
      <c r="S45" s="2">
        <v>42.3</v>
      </c>
      <c r="T45" s="2">
        <v>5.0999999999999996</v>
      </c>
      <c r="V45" s="2">
        <v>44.3</v>
      </c>
      <c r="W45" s="2">
        <v>5.0999999999999996</v>
      </c>
    </row>
    <row r="46" spans="1:29" ht="14.45" customHeight="1">
      <c r="A46" s="2">
        <v>41.6</v>
      </c>
      <c r="B46" s="2">
        <v>5.2</v>
      </c>
      <c r="D46" s="2">
        <v>43.6</v>
      </c>
      <c r="E46" s="2">
        <v>5.2</v>
      </c>
      <c r="G46" s="2">
        <v>46</v>
      </c>
      <c r="H46" s="2">
        <v>5.2</v>
      </c>
      <c r="J46" s="2">
        <v>58</v>
      </c>
      <c r="K46" s="2">
        <v>5.2</v>
      </c>
      <c r="M46" s="2">
        <v>37.6</v>
      </c>
      <c r="N46" s="2">
        <v>5.2</v>
      </c>
      <c r="P46" s="2">
        <v>41.6</v>
      </c>
      <c r="Q46" s="2">
        <v>5.2</v>
      </c>
      <c r="S46" s="2">
        <v>41.6</v>
      </c>
      <c r="T46" s="2">
        <v>5.2</v>
      </c>
      <c r="V46" s="2">
        <v>43.6</v>
      </c>
      <c r="W46" s="2">
        <v>5.2</v>
      </c>
    </row>
    <row r="47" spans="1:29" ht="14.45" customHeight="1">
      <c r="A47" s="2">
        <v>40.9</v>
      </c>
      <c r="B47" s="2">
        <v>5.3</v>
      </c>
      <c r="D47" s="2">
        <v>42.9</v>
      </c>
      <c r="E47" s="2">
        <v>5.3</v>
      </c>
      <c r="G47" s="2">
        <v>45</v>
      </c>
      <c r="H47" s="2">
        <v>5.3</v>
      </c>
      <c r="J47" s="2">
        <v>57</v>
      </c>
      <c r="K47" s="2">
        <v>5.3</v>
      </c>
      <c r="M47" s="2">
        <v>36.9</v>
      </c>
      <c r="N47" s="2">
        <v>5.3</v>
      </c>
      <c r="P47" s="2">
        <v>40.9</v>
      </c>
      <c r="Q47" s="2">
        <v>5.3</v>
      </c>
      <c r="S47" s="2">
        <v>40.9</v>
      </c>
      <c r="T47" s="2">
        <v>5.3</v>
      </c>
      <c r="V47" s="2">
        <v>42.9</v>
      </c>
      <c r="W47" s="2">
        <v>5.3</v>
      </c>
    </row>
    <row r="48" spans="1:29" ht="14.45" customHeight="1">
      <c r="A48" s="2">
        <v>40.200000000000003</v>
      </c>
      <c r="B48" s="2">
        <v>5.4</v>
      </c>
      <c r="D48" s="2">
        <v>42.2</v>
      </c>
      <c r="E48" s="2">
        <v>5.4</v>
      </c>
      <c r="G48" s="2">
        <v>44</v>
      </c>
      <c r="H48" s="2">
        <v>5.4</v>
      </c>
      <c r="J48" s="2">
        <v>56</v>
      </c>
      <c r="K48" s="2">
        <v>5.4</v>
      </c>
      <c r="M48" s="2">
        <v>36.200000000000003</v>
      </c>
      <c r="N48" s="2">
        <v>5.4</v>
      </c>
      <c r="P48" s="2">
        <v>40.200000000000003</v>
      </c>
      <c r="Q48" s="2">
        <v>5.4</v>
      </c>
      <c r="S48" s="2">
        <v>40.200000000000003</v>
      </c>
      <c r="T48" s="2">
        <v>5.4</v>
      </c>
      <c r="V48" s="2">
        <v>42.2</v>
      </c>
      <c r="W48" s="2">
        <v>5.4</v>
      </c>
    </row>
    <row r="49" spans="1:23" ht="14.45" customHeight="1">
      <c r="A49" s="2">
        <v>39.5</v>
      </c>
      <c r="B49" s="2">
        <v>5.5</v>
      </c>
      <c r="D49" s="2">
        <v>41.5</v>
      </c>
      <c r="E49" s="2">
        <v>5.5</v>
      </c>
      <c r="G49" s="2">
        <v>43</v>
      </c>
      <c r="H49" s="2">
        <v>5.5</v>
      </c>
      <c r="J49" s="2">
        <v>55</v>
      </c>
      <c r="K49" s="2">
        <v>5.5</v>
      </c>
      <c r="M49" s="2">
        <v>35.5</v>
      </c>
      <c r="N49" s="2">
        <v>5.5</v>
      </c>
      <c r="P49" s="2">
        <v>39.5</v>
      </c>
      <c r="Q49" s="2">
        <v>5.5</v>
      </c>
      <c r="S49" s="2">
        <v>39.5</v>
      </c>
      <c r="T49" s="2">
        <v>5.5</v>
      </c>
      <c r="V49" s="2">
        <v>41.5</v>
      </c>
      <c r="W49" s="2">
        <v>5.5</v>
      </c>
    </row>
    <row r="50" spans="1:23" ht="14.45" customHeight="1">
      <c r="A50" s="2">
        <v>38.799999999999997</v>
      </c>
      <c r="B50" s="2">
        <v>5.6</v>
      </c>
      <c r="D50" s="2">
        <v>40.799999999999997</v>
      </c>
      <c r="E50" s="2">
        <v>5.6</v>
      </c>
      <c r="G50" s="2">
        <v>42</v>
      </c>
      <c r="H50" s="2">
        <v>5.6</v>
      </c>
      <c r="J50" s="2">
        <v>54</v>
      </c>
      <c r="K50" s="2">
        <v>5.6</v>
      </c>
      <c r="M50" s="2">
        <v>34.799999999999997</v>
      </c>
      <c r="N50" s="2">
        <v>5.6</v>
      </c>
      <c r="P50" s="2">
        <v>38.799999999999997</v>
      </c>
      <c r="Q50" s="2">
        <v>5.6</v>
      </c>
      <c r="S50" s="2">
        <v>38.799999999999997</v>
      </c>
      <c r="T50" s="2">
        <v>5.6</v>
      </c>
      <c r="V50" s="2">
        <v>40.799999999999997</v>
      </c>
      <c r="W50" s="2">
        <v>5.6</v>
      </c>
    </row>
    <row r="51" spans="1:23" ht="14.45" customHeight="1">
      <c r="A51" s="2">
        <v>38.1</v>
      </c>
      <c r="B51" s="2">
        <v>5.7</v>
      </c>
      <c r="D51" s="2">
        <v>40.1</v>
      </c>
      <c r="E51" s="2">
        <v>5.7</v>
      </c>
      <c r="G51" s="2">
        <v>41</v>
      </c>
      <c r="H51" s="2">
        <v>5.7</v>
      </c>
      <c r="J51" s="2">
        <v>53</v>
      </c>
      <c r="K51" s="2">
        <v>5.7</v>
      </c>
      <c r="M51" s="2">
        <v>34.1</v>
      </c>
      <c r="N51" s="2">
        <v>5.7</v>
      </c>
      <c r="P51" s="2">
        <v>38.1</v>
      </c>
      <c r="Q51" s="2">
        <v>5.7</v>
      </c>
      <c r="S51" s="2">
        <v>38.1</v>
      </c>
      <c r="T51" s="2">
        <v>5.7</v>
      </c>
      <c r="V51" s="2">
        <v>40.1</v>
      </c>
      <c r="W51" s="2">
        <v>5.7</v>
      </c>
    </row>
    <row r="52" spans="1:23" ht="14.45" customHeight="1">
      <c r="A52" s="2">
        <v>37.4</v>
      </c>
      <c r="B52" s="2">
        <v>5.8</v>
      </c>
      <c r="D52" s="2">
        <v>39.4</v>
      </c>
      <c r="E52" s="2">
        <v>5.8</v>
      </c>
      <c r="G52" s="2">
        <v>40</v>
      </c>
      <c r="H52" s="2">
        <v>5.8</v>
      </c>
      <c r="J52" s="2">
        <v>52</v>
      </c>
      <c r="K52" s="2">
        <v>5.8</v>
      </c>
      <c r="M52" s="2">
        <v>33.4</v>
      </c>
      <c r="N52" s="2">
        <v>5.8</v>
      </c>
      <c r="P52" s="2">
        <v>37.4</v>
      </c>
      <c r="Q52" s="2">
        <v>5.8</v>
      </c>
      <c r="S52" s="2">
        <v>37.4</v>
      </c>
      <c r="T52" s="2">
        <v>5.8</v>
      </c>
      <c r="V52" s="2">
        <v>39.4</v>
      </c>
      <c r="W52" s="2">
        <v>5.8</v>
      </c>
    </row>
    <row r="53" spans="1:23">
      <c r="A53" s="2">
        <v>36.700000000000003</v>
      </c>
      <c r="B53" s="2">
        <v>5.9</v>
      </c>
      <c r="D53" s="2">
        <v>38.700000000000003</v>
      </c>
      <c r="E53" s="2">
        <v>5.9</v>
      </c>
      <c r="G53" s="2">
        <v>39</v>
      </c>
      <c r="H53" s="2">
        <v>5.9</v>
      </c>
      <c r="J53" s="2">
        <v>51</v>
      </c>
      <c r="K53" s="2">
        <v>5.9</v>
      </c>
      <c r="M53" s="2">
        <v>32.700000000000003</v>
      </c>
      <c r="N53" s="2">
        <v>5.9</v>
      </c>
      <c r="P53" s="2">
        <v>36.700000000000003</v>
      </c>
      <c r="Q53" s="2">
        <v>5.9</v>
      </c>
      <c r="S53" s="2">
        <v>36.700000000000003</v>
      </c>
      <c r="T53" s="2">
        <v>5.9</v>
      </c>
      <c r="V53" s="2">
        <v>38.700000000000003</v>
      </c>
      <c r="W53" s="2">
        <v>5.9</v>
      </c>
    </row>
    <row r="54" spans="1:23">
      <c r="A54" s="2">
        <v>36</v>
      </c>
      <c r="B54" s="2">
        <v>6</v>
      </c>
      <c r="D54" s="2">
        <v>38</v>
      </c>
      <c r="E54" s="2">
        <v>6</v>
      </c>
      <c r="G54" s="2">
        <v>38</v>
      </c>
      <c r="H54" s="2">
        <v>6</v>
      </c>
      <c r="J54" s="2">
        <v>50</v>
      </c>
      <c r="K54" s="2">
        <v>6</v>
      </c>
      <c r="M54" s="2">
        <v>32</v>
      </c>
      <c r="N54" s="2">
        <v>6</v>
      </c>
      <c r="P54" s="2">
        <v>36</v>
      </c>
      <c r="Q54" s="2">
        <v>6</v>
      </c>
      <c r="S54" s="2">
        <v>36</v>
      </c>
      <c r="T54" s="2">
        <v>6</v>
      </c>
      <c r="V54" s="2">
        <v>38</v>
      </c>
      <c r="W54" s="2">
        <v>6</v>
      </c>
    </row>
    <row r="55" spans="1:23">
      <c r="A55" s="53"/>
      <c r="B55" s="2"/>
      <c r="D55" s="53"/>
      <c r="E55" s="2"/>
      <c r="G55" s="53"/>
      <c r="H55" s="2"/>
      <c r="J55" s="53"/>
      <c r="K55" s="2"/>
      <c r="M55" s="53"/>
      <c r="N55" s="2"/>
      <c r="P55" s="53"/>
      <c r="Q55" s="2"/>
      <c r="S55" s="53"/>
      <c r="T55" s="2"/>
      <c r="V55" s="53"/>
      <c r="W55" s="2"/>
    </row>
    <row r="56" spans="1:23">
      <c r="B56" s="2"/>
      <c r="E56" s="2"/>
      <c r="H56" s="2"/>
      <c r="K56" s="2"/>
      <c r="N56" s="2"/>
      <c r="Q56" s="2"/>
      <c r="T56" s="2"/>
      <c r="W56" s="2"/>
    </row>
  </sheetData>
  <mergeCells count="10">
    <mergeCell ref="A2:B2"/>
    <mergeCell ref="D2:E2"/>
    <mergeCell ref="G2:H2"/>
    <mergeCell ref="J2:K2"/>
    <mergeCell ref="AB2:AC2"/>
    <mergeCell ref="M2:N2"/>
    <mergeCell ref="P2:Q2"/>
    <mergeCell ref="S2:T2"/>
    <mergeCell ref="V2:W2"/>
    <mergeCell ref="Y2:Z2"/>
  </mergeCells>
  <pageMargins left="0.7" right="0.7" top="0.78740157499999996" bottom="0.78740157499999996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3"/>
  <dimension ref="A1:AC56"/>
  <sheetViews>
    <sheetView zoomScale="85" zoomScaleNormal="85" workbookViewId="0"/>
  </sheetViews>
  <sheetFormatPr baseColWidth="10" defaultColWidth="11.5703125" defaultRowHeight="15"/>
  <cols>
    <col min="3" max="3" width="1.140625" customWidth="1"/>
    <col min="6" max="6" width="2.7109375" customWidth="1"/>
    <col min="7" max="7" width="11.7109375" customWidth="1"/>
    <col min="9" max="9" width="1.140625" customWidth="1"/>
    <col min="10" max="10" width="11.7109375" customWidth="1"/>
    <col min="12" max="12" width="2.7109375" customWidth="1"/>
    <col min="13" max="13" width="11.7109375" customWidth="1"/>
    <col min="15" max="15" width="1.140625" customWidth="1"/>
    <col min="18" max="18" width="2.7109375" customWidth="1"/>
    <col min="21" max="21" width="1.140625" customWidth="1"/>
    <col min="22" max="22" width="11.7109375" customWidth="1"/>
    <col min="24" max="24" width="2.7109375" customWidth="1"/>
    <col min="27" max="27" width="1.140625" customWidth="1"/>
  </cols>
  <sheetData>
    <row r="1" spans="1:29">
      <c r="A1" s="4" t="str">
        <f>INDEX(StdDisziplinen[StdDisziplin],20)</f>
        <v>Basketball</v>
      </c>
      <c r="G1" s="4" t="str">
        <f>INDEX(StdDisziplinen[StdDisziplin],21)</f>
        <v>Fussball</v>
      </c>
      <c r="M1" s="4" t="str">
        <f>INDEX(StdDisziplinen[StdDisziplin],22)</f>
        <v>Handball</v>
      </c>
      <c r="S1" s="4" t="str">
        <f>INDEX(StdDisziplinen[StdDisziplin],23)</f>
        <v>Unihockey</v>
      </c>
      <c r="Y1" s="4" t="str">
        <f>INDEX(StdDisziplinen[StdDisziplin],24)</f>
        <v>Volleyball</v>
      </c>
    </row>
    <row r="2" spans="1:29">
      <c r="A2" s="90" t="str">
        <f>Stammdaten!$F$6</f>
        <v>Knaben_K2</v>
      </c>
      <c r="B2" s="90"/>
      <c r="C2" s="5"/>
      <c r="D2" s="90" t="str">
        <f>Stammdaten!$F$7</f>
        <v>Mädchen_M2</v>
      </c>
      <c r="E2" s="90"/>
      <c r="G2" s="90" t="str">
        <f>$A$2</f>
        <v>Knaben_K2</v>
      </c>
      <c r="H2" s="90"/>
      <c r="I2" s="5"/>
      <c r="J2" s="90" t="str">
        <f>$D$2</f>
        <v>Mädchen_M2</v>
      </c>
      <c r="K2" s="90"/>
      <c r="M2" s="90" t="str">
        <f>$A$2</f>
        <v>Knaben_K2</v>
      </c>
      <c r="N2" s="90"/>
      <c r="O2" s="5"/>
      <c r="P2" s="90" t="str">
        <f>$D$2</f>
        <v>Mädchen_M2</v>
      </c>
      <c r="Q2" s="90"/>
      <c r="S2" s="90" t="str">
        <f>$A$2</f>
        <v>Knaben_K2</v>
      </c>
      <c r="T2" s="90"/>
      <c r="U2" s="5"/>
      <c r="V2" s="90" t="str">
        <f>$D$2</f>
        <v>Mädchen_M2</v>
      </c>
      <c r="W2" s="90"/>
      <c r="Y2" s="90" t="str">
        <f>$A$2</f>
        <v>Knaben_K2</v>
      </c>
      <c r="Z2" s="90"/>
      <c r="AA2" s="5"/>
      <c r="AB2" s="90" t="str">
        <f>$D$2</f>
        <v>Mädchen_M2</v>
      </c>
      <c r="AC2" s="90"/>
    </row>
    <row r="3" spans="1:29">
      <c r="A3" t="s">
        <v>22</v>
      </c>
      <c r="B3" t="s">
        <v>7</v>
      </c>
      <c r="D3" t="s">
        <v>22</v>
      </c>
      <c r="E3" t="s">
        <v>7</v>
      </c>
      <c r="G3" s="6" t="s">
        <v>22</v>
      </c>
      <c r="H3" s="1" t="s">
        <v>7</v>
      </c>
      <c r="I3" s="1"/>
      <c r="J3" s="6" t="s">
        <v>22</v>
      </c>
      <c r="K3" s="1" t="s">
        <v>7</v>
      </c>
      <c r="M3" s="6" t="s">
        <v>22</v>
      </c>
      <c r="N3" s="1" t="s">
        <v>7</v>
      </c>
      <c r="P3" t="s">
        <v>22</v>
      </c>
      <c r="Q3" t="s">
        <v>7</v>
      </c>
      <c r="S3" t="s">
        <v>22</v>
      </c>
      <c r="T3" t="s">
        <v>7</v>
      </c>
      <c r="V3" s="6" t="s">
        <v>22</v>
      </c>
      <c r="W3" s="1" t="s">
        <v>7</v>
      </c>
      <c r="Y3" s="6" t="s">
        <v>22</v>
      </c>
      <c r="Z3" s="1" t="s">
        <v>7</v>
      </c>
      <c r="AB3" s="6" t="s">
        <v>22</v>
      </c>
      <c r="AC3" s="1" t="s">
        <v>7</v>
      </c>
    </row>
    <row r="4" spans="1:29" ht="14.45" customHeight="1">
      <c r="A4" s="2"/>
      <c r="B4" s="2"/>
      <c r="C4" s="2"/>
      <c r="D4" s="2"/>
      <c r="E4" s="2"/>
      <c r="G4" s="2"/>
      <c r="H4" s="2"/>
      <c r="I4" s="2"/>
      <c r="J4" s="2"/>
      <c r="K4" s="2"/>
      <c r="M4" s="2"/>
      <c r="N4" s="2"/>
      <c r="P4" s="2"/>
      <c r="Q4" s="2"/>
      <c r="S4" s="2"/>
      <c r="T4" s="2"/>
      <c r="V4" s="2"/>
      <c r="W4" s="2"/>
      <c r="Y4" s="8"/>
      <c r="Z4" s="2"/>
      <c r="AB4" s="8"/>
      <c r="AC4" s="2"/>
    </row>
    <row r="5" spans="1:29" ht="14.45" customHeight="1">
      <c r="A5" s="2"/>
      <c r="B5" s="2"/>
      <c r="C5" s="2"/>
      <c r="D5" s="2"/>
      <c r="E5" s="2"/>
      <c r="G5" s="2"/>
      <c r="H5" s="2"/>
      <c r="I5" s="2"/>
      <c r="J5" s="2"/>
      <c r="K5" s="2"/>
      <c r="M5" s="2"/>
      <c r="N5" s="2"/>
      <c r="P5" s="2"/>
      <c r="Q5" s="2"/>
      <c r="S5" s="2"/>
      <c r="T5" s="2"/>
      <c r="V5" s="2"/>
      <c r="W5" s="2"/>
      <c r="Y5" s="8"/>
      <c r="Z5" s="2"/>
      <c r="AB5" s="8"/>
      <c r="AC5" s="2"/>
    </row>
    <row r="6" spans="1:29" ht="14.45" customHeight="1">
      <c r="A6" s="2"/>
      <c r="B6" s="2"/>
      <c r="C6" s="2"/>
      <c r="D6" s="2"/>
      <c r="E6" s="2"/>
      <c r="G6" s="2"/>
      <c r="H6" s="2"/>
      <c r="I6" s="2"/>
      <c r="J6" s="2"/>
      <c r="K6" s="2"/>
      <c r="M6" s="2"/>
      <c r="N6" s="2"/>
      <c r="P6" s="2"/>
      <c r="Q6" s="2"/>
      <c r="S6" s="2"/>
      <c r="T6" s="2"/>
      <c r="V6" s="2"/>
      <c r="W6" s="2"/>
      <c r="Y6" s="8"/>
      <c r="Z6" s="2"/>
      <c r="AB6" s="8"/>
      <c r="AC6" s="2"/>
    </row>
    <row r="7" spans="1:29" ht="14.45" customHeight="1">
      <c r="A7" s="2"/>
      <c r="B7" s="2"/>
      <c r="C7" s="2"/>
      <c r="D7" s="2"/>
      <c r="E7" s="2"/>
      <c r="G7" s="2"/>
      <c r="H7" s="2"/>
      <c r="I7" s="2"/>
      <c r="J7" s="2"/>
      <c r="K7" s="2"/>
      <c r="M7" s="2"/>
      <c r="N7" s="2"/>
      <c r="P7" s="2"/>
      <c r="Q7" s="2"/>
      <c r="S7" s="2"/>
      <c r="T7" s="2"/>
      <c r="V7" s="2"/>
      <c r="W7" s="2"/>
      <c r="Y7" s="8">
        <v>1</v>
      </c>
      <c r="Z7" s="2">
        <v>2.4</v>
      </c>
      <c r="AB7" s="8">
        <v>1</v>
      </c>
      <c r="AC7" s="2">
        <v>2.4</v>
      </c>
    </row>
    <row r="8" spans="1:29" ht="14.45" customHeight="1">
      <c r="A8" s="2"/>
      <c r="B8" s="2"/>
      <c r="C8" s="2"/>
      <c r="D8" s="2"/>
      <c r="E8" s="2"/>
      <c r="G8" s="2"/>
      <c r="H8" s="2"/>
      <c r="I8" s="2"/>
      <c r="J8" s="2"/>
      <c r="K8" s="2"/>
      <c r="M8" s="2"/>
      <c r="N8" s="2"/>
      <c r="P8" s="2"/>
      <c r="Q8" s="2"/>
      <c r="S8" s="2"/>
      <c r="T8" s="2"/>
      <c r="V8" s="2"/>
      <c r="W8" s="2"/>
      <c r="Y8" s="8">
        <v>2</v>
      </c>
      <c r="Z8" s="2">
        <v>2.6</v>
      </c>
      <c r="AB8" s="8">
        <v>2</v>
      </c>
      <c r="AC8" s="2">
        <v>2.6</v>
      </c>
    </row>
    <row r="9" spans="1:29" ht="14.45" customHeight="1">
      <c r="A9" s="2"/>
      <c r="B9" s="2"/>
      <c r="C9" s="2"/>
      <c r="D9" s="2"/>
      <c r="E9" s="2"/>
      <c r="G9" s="2"/>
      <c r="H9" s="2"/>
      <c r="I9" s="2"/>
      <c r="J9" s="2"/>
      <c r="K9" s="2"/>
      <c r="M9" s="2"/>
      <c r="N9" s="2"/>
      <c r="P9" s="2"/>
      <c r="Q9" s="2"/>
      <c r="S9" s="2"/>
      <c r="T9" s="2"/>
      <c r="V9" s="2"/>
      <c r="W9" s="2"/>
      <c r="Y9" s="8">
        <v>3</v>
      </c>
      <c r="Z9" s="2">
        <v>2.8</v>
      </c>
      <c r="AB9" s="8">
        <v>3</v>
      </c>
      <c r="AC9" s="2">
        <v>2.8</v>
      </c>
    </row>
    <row r="10" spans="1:29" ht="14.45" customHeight="1">
      <c r="A10" s="2"/>
      <c r="B10" s="2"/>
      <c r="C10" s="2"/>
      <c r="D10" s="2"/>
      <c r="E10" s="2"/>
      <c r="G10" s="2"/>
      <c r="H10" s="2"/>
      <c r="I10" s="2"/>
      <c r="J10" s="2"/>
      <c r="K10" s="2"/>
      <c r="M10" s="2"/>
      <c r="N10" s="2"/>
      <c r="P10" s="2"/>
      <c r="Q10" s="2"/>
      <c r="S10" s="2"/>
      <c r="T10" s="2"/>
      <c r="V10" s="2"/>
      <c r="W10" s="2"/>
      <c r="Y10" s="8">
        <v>4</v>
      </c>
      <c r="Z10" s="2">
        <v>3</v>
      </c>
      <c r="AB10" s="8">
        <v>4</v>
      </c>
      <c r="AC10" s="2">
        <v>3</v>
      </c>
    </row>
    <row r="11" spans="1:29" ht="14.45" customHeight="1">
      <c r="A11" s="2"/>
      <c r="B11" s="2"/>
      <c r="C11" s="2"/>
      <c r="D11" s="2"/>
      <c r="E11" s="2"/>
      <c r="G11" s="2"/>
      <c r="H11" s="2"/>
      <c r="I11" s="2"/>
      <c r="J11" s="2"/>
      <c r="K11" s="2"/>
      <c r="M11" s="2"/>
      <c r="N11" s="2"/>
      <c r="P11" s="2"/>
      <c r="Q11" s="2"/>
      <c r="S11" s="2"/>
      <c r="T11" s="2"/>
      <c r="V11" s="2"/>
      <c r="W11" s="2"/>
      <c r="Y11" s="8">
        <v>5</v>
      </c>
      <c r="Z11" s="2">
        <v>3.2</v>
      </c>
      <c r="AB11" s="8">
        <v>5</v>
      </c>
      <c r="AC11" s="2">
        <v>3.2</v>
      </c>
    </row>
    <row r="12" spans="1:29" ht="14.45" customHeight="1">
      <c r="A12" s="2"/>
      <c r="B12" s="2"/>
      <c r="C12" s="2"/>
      <c r="D12" s="2"/>
      <c r="E12" s="2"/>
      <c r="G12" s="2"/>
      <c r="H12" s="2"/>
      <c r="I12" s="2"/>
      <c r="J12" s="2"/>
      <c r="K12" s="2"/>
      <c r="M12" s="2"/>
      <c r="N12" s="2"/>
      <c r="P12" s="2"/>
      <c r="Q12" s="2"/>
      <c r="S12" s="2"/>
      <c r="T12" s="2"/>
      <c r="V12" s="2"/>
      <c r="W12" s="2"/>
      <c r="Y12" s="8">
        <v>6</v>
      </c>
      <c r="Z12" s="2">
        <v>3.4</v>
      </c>
      <c r="AB12" s="8">
        <v>6</v>
      </c>
      <c r="AC12" s="2">
        <v>3.4</v>
      </c>
    </row>
    <row r="13" spans="1:29" ht="14.45" customHeight="1">
      <c r="A13" s="2"/>
      <c r="B13" s="2"/>
      <c r="C13" s="2"/>
      <c r="D13" s="2"/>
      <c r="E13" s="2"/>
      <c r="G13" s="2"/>
      <c r="H13" s="2"/>
      <c r="I13" s="2"/>
      <c r="J13" s="2"/>
      <c r="K13" s="2"/>
      <c r="M13" s="2"/>
      <c r="N13" s="2"/>
      <c r="P13" s="2"/>
      <c r="Q13" s="2"/>
      <c r="S13" s="2"/>
      <c r="T13" s="2"/>
      <c r="V13" s="2"/>
      <c r="W13" s="2"/>
      <c r="Y13" s="8">
        <v>7</v>
      </c>
      <c r="Z13" s="2">
        <v>3.6</v>
      </c>
      <c r="AB13" s="8">
        <v>7</v>
      </c>
      <c r="AC13" s="2">
        <v>3.6</v>
      </c>
    </row>
    <row r="14" spans="1:29" ht="14.45" customHeight="1">
      <c r="A14" s="2">
        <v>112.5</v>
      </c>
      <c r="B14" s="2">
        <v>2</v>
      </c>
      <c r="C14" s="2"/>
      <c r="D14" s="2">
        <v>114.5</v>
      </c>
      <c r="E14" s="2">
        <v>2</v>
      </c>
      <c r="G14" s="2">
        <v>126.5</v>
      </c>
      <c r="H14" s="2">
        <v>2</v>
      </c>
      <c r="I14" s="2"/>
      <c r="J14" s="2">
        <v>139.5</v>
      </c>
      <c r="K14" s="2">
        <v>2</v>
      </c>
      <c r="M14" s="2">
        <v>108.5</v>
      </c>
      <c r="N14" s="2">
        <v>2</v>
      </c>
      <c r="P14" s="2">
        <v>112.5</v>
      </c>
      <c r="Q14" s="2">
        <v>2</v>
      </c>
      <c r="S14" s="2">
        <v>112.5</v>
      </c>
      <c r="T14" s="2">
        <v>2</v>
      </c>
      <c r="V14" s="2">
        <v>114.5</v>
      </c>
      <c r="W14" s="2">
        <v>2</v>
      </c>
      <c r="Y14" s="8">
        <v>8</v>
      </c>
      <c r="Z14" s="2">
        <v>3.8</v>
      </c>
      <c r="AB14" s="8">
        <v>8</v>
      </c>
      <c r="AC14" s="2">
        <v>3.8</v>
      </c>
    </row>
    <row r="15" spans="1:29" ht="14.45" customHeight="1">
      <c r="A15" s="2">
        <v>106.7</v>
      </c>
      <c r="B15" s="2">
        <v>2.1</v>
      </c>
      <c r="C15" s="2"/>
      <c r="D15" s="2">
        <v>108.7</v>
      </c>
      <c r="E15" s="2">
        <v>2.1</v>
      </c>
      <c r="G15" s="2">
        <v>120.4</v>
      </c>
      <c r="H15" s="2">
        <v>2.1</v>
      </c>
      <c r="I15" s="2"/>
      <c r="J15" s="2">
        <v>133.4</v>
      </c>
      <c r="K15" s="2">
        <v>2.1</v>
      </c>
      <c r="M15" s="2">
        <v>102.7</v>
      </c>
      <c r="N15" s="2">
        <v>2.1</v>
      </c>
      <c r="P15" s="2">
        <v>106.7</v>
      </c>
      <c r="Q15" s="2">
        <v>2.1</v>
      </c>
      <c r="S15" s="2">
        <v>106.7</v>
      </c>
      <c r="T15" s="2">
        <v>2.1</v>
      </c>
      <c r="V15" s="2">
        <v>108.7</v>
      </c>
      <c r="W15" s="2">
        <v>2.1</v>
      </c>
      <c r="Y15" s="8">
        <v>9</v>
      </c>
      <c r="Z15" s="2">
        <v>4</v>
      </c>
      <c r="AB15" s="8">
        <v>9</v>
      </c>
      <c r="AC15" s="2">
        <v>4</v>
      </c>
    </row>
    <row r="16" spans="1:29" ht="14.45" customHeight="1">
      <c r="A16" s="2">
        <v>101.2</v>
      </c>
      <c r="B16" s="2">
        <v>2.2000000000000002</v>
      </c>
      <c r="C16" s="2"/>
      <c r="D16" s="2">
        <v>103.2</v>
      </c>
      <c r="E16" s="2">
        <v>2.2000000000000002</v>
      </c>
      <c r="G16" s="2">
        <v>114.6</v>
      </c>
      <c r="H16" s="2">
        <v>2.2000000000000002</v>
      </c>
      <c r="I16" s="2"/>
      <c r="J16" s="2">
        <v>127.6</v>
      </c>
      <c r="K16" s="2">
        <v>2.2000000000000002</v>
      </c>
      <c r="M16" s="2">
        <v>97.2</v>
      </c>
      <c r="N16" s="2">
        <v>2.2000000000000002</v>
      </c>
      <c r="P16" s="2">
        <v>101.2</v>
      </c>
      <c r="Q16" s="2">
        <v>2.2000000000000002</v>
      </c>
      <c r="S16" s="2">
        <v>101.2</v>
      </c>
      <c r="T16" s="2">
        <v>2.2000000000000002</v>
      </c>
      <c r="V16" s="2">
        <v>103.2</v>
      </c>
      <c r="W16" s="2">
        <v>2.2000000000000002</v>
      </c>
      <c r="Y16" s="8">
        <v>10</v>
      </c>
      <c r="Z16" s="2">
        <v>4.2</v>
      </c>
      <c r="AB16" s="8">
        <v>10</v>
      </c>
      <c r="AC16" s="2">
        <v>4.2</v>
      </c>
    </row>
    <row r="17" spans="1:29" ht="14.45" customHeight="1">
      <c r="A17" s="2">
        <v>96</v>
      </c>
      <c r="B17" s="2">
        <v>2.2999999999999998</v>
      </c>
      <c r="C17" s="2"/>
      <c r="D17" s="2">
        <v>98</v>
      </c>
      <c r="E17" s="2">
        <v>2.2999999999999998</v>
      </c>
      <c r="G17" s="2">
        <v>109.1</v>
      </c>
      <c r="H17" s="2">
        <v>2.2999999999999998</v>
      </c>
      <c r="I17" s="2"/>
      <c r="J17" s="2">
        <v>122.1</v>
      </c>
      <c r="K17" s="2">
        <v>2.2999999999999998</v>
      </c>
      <c r="M17" s="2">
        <v>92</v>
      </c>
      <c r="N17" s="2">
        <v>2.2999999999999998</v>
      </c>
      <c r="P17" s="2">
        <v>96</v>
      </c>
      <c r="Q17" s="2">
        <v>2.2999999999999998</v>
      </c>
      <c r="S17" s="2">
        <v>96</v>
      </c>
      <c r="T17" s="2">
        <v>2.2999999999999998</v>
      </c>
      <c r="V17" s="2">
        <v>98</v>
      </c>
      <c r="W17" s="2">
        <v>2.2999999999999998</v>
      </c>
      <c r="Y17" s="8">
        <v>11</v>
      </c>
      <c r="Z17" s="2">
        <v>4.4000000000000004</v>
      </c>
      <c r="AB17" s="8">
        <v>11</v>
      </c>
      <c r="AC17" s="2">
        <v>4.4000000000000004</v>
      </c>
    </row>
    <row r="18" spans="1:29" ht="14.45" customHeight="1">
      <c r="A18" s="2">
        <v>92.1</v>
      </c>
      <c r="B18" s="2">
        <v>2.4</v>
      </c>
      <c r="C18" s="2"/>
      <c r="D18" s="2">
        <v>93.1</v>
      </c>
      <c r="E18" s="2">
        <v>2.4</v>
      </c>
      <c r="G18" s="2">
        <v>103.9</v>
      </c>
      <c r="H18" s="2">
        <v>2.4</v>
      </c>
      <c r="I18" s="2"/>
      <c r="J18" s="2">
        <v>116.9</v>
      </c>
      <c r="K18" s="2">
        <v>2.4</v>
      </c>
      <c r="M18" s="2">
        <v>87.1</v>
      </c>
      <c r="N18" s="2">
        <v>2.4</v>
      </c>
      <c r="P18" s="2">
        <v>92.1</v>
      </c>
      <c r="Q18" s="2">
        <v>2.4</v>
      </c>
      <c r="S18" s="2">
        <v>92.1</v>
      </c>
      <c r="T18" s="2">
        <v>2.4</v>
      </c>
      <c r="V18" s="2">
        <v>93.1</v>
      </c>
      <c r="W18" s="2">
        <v>2.4</v>
      </c>
      <c r="Y18" s="8">
        <v>12</v>
      </c>
      <c r="Z18" s="2">
        <v>4.5999999999999996</v>
      </c>
      <c r="AB18" s="8">
        <v>12</v>
      </c>
      <c r="AC18" s="2">
        <v>4.5999999999999996</v>
      </c>
    </row>
    <row r="19" spans="1:29" ht="14.45" customHeight="1">
      <c r="A19" s="2">
        <v>86.5</v>
      </c>
      <c r="B19" s="2">
        <v>2.5</v>
      </c>
      <c r="C19" s="2"/>
      <c r="D19" s="2">
        <v>88.5</v>
      </c>
      <c r="E19" s="2">
        <v>2.5</v>
      </c>
      <c r="G19" s="2">
        <v>99</v>
      </c>
      <c r="H19" s="2">
        <v>2.5</v>
      </c>
      <c r="I19" s="2"/>
      <c r="J19" s="2">
        <v>112</v>
      </c>
      <c r="K19" s="2">
        <v>2.5</v>
      </c>
      <c r="M19" s="2">
        <v>82.5</v>
      </c>
      <c r="N19" s="2">
        <v>2.5</v>
      </c>
      <c r="P19" s="2">
        <v>86.5</v>
      </c>
      <c r="Q19" s="2">
        <v>2.5</v>
      </c>
      <c r="S19" s="2">
        <v>86.5</v>
      </c>
      <c r="T19" s="2">
        <v>2.5</v>
      </c>
      <c r="V19" s="2">
        <v>88.5</v>
      </c>
      <c r="W19" s="2">
        <v>2.5</v>
      </c>
      <c r="Y19" s="8">
        <v>13</v>
      </c>
      <c r="Z19" s="2">
        <v>4.8</v>
      </c>
      <c r="AB19" s="8">
        <v>13</v>
      </c>
      <c r="AC19" s="2">
        <v>4.8</v>
      </c>
    </row>
    <row r="20" spans="1:29" ht="14.45" customHeight="1">
      <c r="A20" s="2">
        <v>82.2</v>
      </c>
      <c r="B20" s="2">
        <v>2.6</v>
      </c>
      <c r="C20" s="2"/>
      <c r="D20" s="2">
        <v>84.2</v>
      </c>
      <c r="E20" s="2">
        <v>2.6</v>
      </c>
      <c r="G20" s="2">
        <v>94.4</v>
      </c>
      <c r="H20" s="2">
        <v>2.6</v>
      </c>
      <c r="I20" s="2"/>
      <c r="J20" s="2">
        <v>107.4</v>
      </c>
      <c r="K20" s="2">
        <v>2.6</v>
      </c>
      <c r="M20" s="2">
        <v>78.2</v>
      </c>
      <c r="N20" s="2">
        <v>2.6</v>
      </c>
      <c r="P20" s="2">
        <v>82.2</v>
      </c>
      <c r="Q20" s="2">
        <v>2.6</v>
      </c>
      <c r="S20" s="2">
        <v>82.2</v>
      </c>
      <c r="T20" s="2">
        <v>2.6</v>
      </c>
      <c r="V20" s="2">
        <v>84.2</v>
      </c>
      <c r="W20" s="2">
        <v>2.6</v>
      </c>
      <c r="Y20" s="8">
        <v>14</v>
      </c>
      <c r="Z20" s="2">
        <v>5</v>
      </c>
      <c r="AB20" s="8">
        <v>14</v>
      </c>
      <c r="AC20" s="2">
        <v>5</v>
      </c>
    </row>
    <row r="21" spans="1:29" ht="14.45" customHeight="1">
      <c r="A21" s="2">
        <v>78.2</v>
      </c>
      <c r="B21" s="2">
        <v>2.7</v>
      </c>
      <c r="C21" s="2"/>
      <c r="D21" s="2">
        <v>80.2</v>
      </c>
      <c r="E21" s="2">
        <v>2.7</v>
      </c>
      <c r="G21" s="2">
        <v>90.1</v>
      </c>
      <c r="H21" s="2">
        <v>2.7</v>
      </c>
      <c r="I21" s="2"/>
      <c r="J21" s="2">
        <v>103.1</v>
      </c>
      <c r="K21" s="2">
        <v>2.7</v>
      </c>
      <c r="M21" s="2">
        <v>74.2</v>
      </c>
      <c r="N21" s="2">
        <v>2.7</v>
      </c>
      <c r="P21" s="2">
        <v>78.2</v>
      </c>
      <c r="Q21" s="2">
        <v>2.7</v>
      </c>
      <c r="S21" s="2">
        <v>78.2</v>
      </c>
      <c r="T21" s="2">
        <v>2.7</v>
      </c>
      <c r="V21" s="2">
        <v>80.2</v>
      </c>
      <c r="W21" s="2">
        <v>2.7</v>
      </c>
      <c r="Y21" s="8">
        <v>15</v>
      </c>
      <c r="Z21" s="2">
        <v>5.2</v>
      </c>
      <c r="AB21" s="8">
        <v>15</v>
      </c>
      <c r="AC21" s="2">
        <v>5.2</v>
      </c>
    </row>
    <row r="22" spans="1:29" ht="14.45" customHeight="1">
      <c r="A22" s="2">
        <v>74.5</v>
      </c>
      <c r="B22" s="2">
        <v>2.8</v>
      </c>
      <c r="C22" s="2"/>
      <c r="D22" s="2">
        <v>76.5</v>
      </c>
      <c r="E22" s="2">
        <v>2.8</v>
      </c>
      <c r="G22" s="2">
        <v>86.1</v>
      </c>
      <c r="H22" s="2">
        <v>2.8</v>
      </c>
      <c r="I22" s="2"/>
      <c r="J22" s="2">
        <v>99.1</v>
      </c>
      <c r="K22" s="2">
        <v>2.8</v>
      </c>
      <c r="M22" s="2">
        <v>70.5</v>
      </c>
      <c r="N22" s="2">
        <v>2.8</v>
      </c>
      <c r="P22" s="2">
        <v>74.5</v>
      </c>
      <c r="Q22" s="2">
        <v>2.8</v>
      </c>
      <c r="S22" s="2">
        <v>74.5</v>
      </c>
      <c r="T22" s="2">
        <v>2.8</v>
      </c>
      <c r="V22" s="2">
        <v>76.5</v>
      </c>
      <c r="W22" s="2">
        <v>2.8</v>
      </c>
      <c r="Y22" s="8">
        <v>16</v>
      </c>
      <c r="Z22" s="2">
        <v>5.4</v>
      </c>
      <c r="AB22" s="8">
        <v>16</v>
      </c>
      <c r="AC22" s="2">
        <v>5.4</v>
      </c>
    </row>
    <row r="23" spans="1:29" ht="14.45" customHeight="1">
      <c r="A23" s="2">
        <v>71.099999999999994</v>
      </c>
      <c r="B23" s="2">
        <v>2.9</v>
      </c>
      <c r="C23" s="2"/>
      <c r="D23" s="2">
        <v>73.099999999999994</v>
      </c>
      <c r="E23" s="2">
        <v>2.9</v>
      </c>
      <c r="G23" s="2">
        <v>82.4</v>
      </c>
      <c r="H23" s="2">
        <v>2.9</v>
      </c>
      <c r="I23" s="2"/>
      <c r="J23" s="2">
        <v>95.4</v>
      </c>
      <c r="K23" s="2">
        <v>2.9</v>
      </c>
      <c r="M23" s="2">
        <v>67.099999999999994</v>
      </c>
      <c r="N23" s="2">
        <v>2.9</v>
      </c>
      <c r="P23" s="2">
        <v>71.099999999999994</v>
      </c>
      <c r="Q23" s="2">
        <v>2.9</v>
      </c>
      <c r="S23" s="2">
        <v>71.099999999999994</v>
      </c>
      <c r="T23" s="2">
        <v>2.9</v>
      </c>
      <c r="V23" s="2">
        <v>73.099999999999994</v>
      </c>
      <c r="W23" s="2">
        <v>2.9</v>
      </c>
      <c r="Y23" s="8">
        <v>17</v>
      </c>
      <c r="Z23" s="2">
        <v>5.6</v>
      </c>
      <c r="AB23" s="8">
        <v>17</v>
      </c>
      <c r="AC23" s="2">
        <v>5.6</v>
      </c>
    </row>
    <row r="24" spans="1:29" ht="14.45" customHeight="1">
      <c r="A24" s="2">
        <v>68</v>
      </c>
      <c r="B24" s="2">
        <v>3</v>
      </c>
      <c r="C24" s="2"/>
      <c r="D24" s="2">
        <v>70</v>
      </c>
      <c r="E24" s="2">
        <v>3</v>
      </c>
      <c r="G24" s="2">
        <v>79</v>
      </c>
      <c r="H24" s="2">
        <v>3</v>
      </c>
      <c r="I24" s="2"/>
      <c r="J24" s="2">
        <v>92</v>
      </c>
      <c r="K24" s="2">
        <v>3</v>
      </c>
      <c r="M24" s="2">
        <v>64</v>
      </c>
      <c r="N24" s="2">
        <v>3</v>
      </c>
      <c r="P24" s="2">
        <v>68</v>
      </c>
      <c r="Q24" s="2">
        <v>3</v>
      </c>
      <c r="S24" s="2">
        <v>68</v>
      </c>
      <c r="T24" s="2">
        <v>3</v>
      </c>
      <c r="V24" s="2">
        <v>70</v>
      </c>
      <c r="W24" s="2">
        <v>3</v>
      </c>
      <c r="Y24" s="8">
        <v>18</v>
      </c>
      <c r="Z24" s="2">
        <v>5.8</v>
      </c>
      <c r="AB24" s="8">
        <v>18</v>
      </c>
      <c r="AC24" s="2">
        <v>5.8</v>
      </c>
    </row>
    <row r="25" spans="1:29" ht="14.45" customHeight="1">
      <c r="A25" s="2">
        <v>65.2</v>
      </c>
      <c r="B25" s="2">
        <v>3.1</v>
      </c>
      <c r="C25" s="2"/>
      <c r="D25" s="2">
        <v>67.2</v>
      </c>
      <c r="E25" s="2">
        <v>3.1</v>
      </c>
      <c r="G25" s="2">
        <v>75.900000000000006</v>
      </c>
      <c r="H25" s="2">
        <v>3.1</v>
      </c>
      <c r="I25" s="2"/>
      <c r="J25" s="2">
        <v>88.9</v>
      </c>
      <c r="K25" s="2">
        <v>3.1</v>
      </c>
      <c r="M25" s="2">
        <v>61.2</v>
      </c>
      <c r="N25" s="2">
        <v>3.1</v>
      </c>
      <c r="P25" s="2">
        <v>65.2</v>
      </c>
      <c r="Q25" s="2">
        <v>3.1</v>
      </c>
      <c r="S25" s="2">
        <v>65.2</v>
      </c>
      <c r="T25" s="2">
        <v>3.1</v>
      </c>
      <c r="V25" s="2">
        <v>67.2</v>
      </c>
      <c r="W25" s="2">
        <v>3.1</v>
      </c>
      <c r="Y25" s="8">
        <v>19</v>
      </c>
      <c r="Z25" s="2">
        <v>6</v>
      </c>
      <c r="AB25" s="8">
        <v>19</v>
      </c>
      <c r="AC25" s="2">
        <v>6</v>
      </c>
    </row>
    <row r="26" spans="1:29" ht="14.45" customHeight="1">
      <c r="A26" s="2">
        <v>62.6</v>
      </c>
      <c r="B26" s="2">
        <v>3.2</v>
      </c>
      <c r="C26" s="2"/>
      <c r="D26" s="2">
        <v>64.599999999999994</v>
      </c>
      <c r="E26" s="2">
        <v>3.2</v>
      </c>
      <c r="G26" s="2">
        <v>73</v>
      </c>
      <c r="H26" s="2">
        <v>3.2</v>
      </c>
      <c r="I26" s="2"/>
      <c r="J26" s="2">
        <v>86</v>
      </c>
      <c r="K26" s="2">
        <v>3.2</v>
      </c>
      <c r="M26" s="2">
        <v>58.6</v>
      </c>
      <c r="N26" s="2">
        <v>3.2</v>
      </c>
      <c r="P26" s="2">
        <v>62.6</v>
      </c>
      <c r="Q26" s="2">
        <v>3.2</v>
      </c>
      <c r="S26" s="2">
        <v>62.6</v>
      </c>
      <c r="T26" s="2">
        <v>3.2</v>
      </c>
      <c r="V26" s="2">
        <v>64.599999999999994</v>
      </c>
      <c r="W26" s="2">
        <v>3.2</v>
      </c>
      <c r="Y26" s="8">
        <v>20</v>
      </c>
      <c r="Z26" s="2">
        <v>6</v>
      </c>
      <c r="AB26" s="8">
        <v>20</v>
      </c>
      <c r="AC26" s="2">
        <v>6</v>
      </c>
    </row>
    <row r="27" spans="1:29" ht="14.45" customHeight="1">
      <c r="A27" s="2">
        <v>60.2</v>
      </c>
      <c r="B27" s="2">
        <v>3.3</v>
      </c>
      <c r="C27" s="2"/>
      <c r="D27" s="2">
        <v>62.2</v>
      </c>
      <c r="E27" s="2">
        <v>3.3</v>
      </c>
      <c r="G27" s="2">
        <v>70.3</v>
      </c>
      <c r="H27" s="2">
        <v>3.3</v>
      </c>
      <c r="I27" s="2"/>
      <c r="J27" s="2">
        <v>83.3</v>
      </c>
      <c r="K27" s="2">
        <v>3.3</v>
      </c>
      <c r="M27" s="2">
        <v>56.2</v>
      </c>
      <c r="N27" s="2">
        <v>3.3</v>
      </c>
      <c r="P27" s="2">
        <v>60.2</v>
      </c>
      <c r="Q27" s="2">
        <v>3.3</v>
      </c>
      <c r="S27" s="2">
        <v>60.2</v>
      </c>
      <c r="T27" s="2">
        <v>3.3</v>
      </c>
      <c r="V27" s="2">
        <v>62.2</v>
      </c>
      <c r="W27" s="2">
        <v>3.3</v>
      </c>
      <c r="Y27" s="55"/>
      <c r="Z27" s="2"/>
      <c r="AB27" s="55"/>
      <c r="AC27" s="2"/>
    </row>
    <row r="28" spans="1:29" ht="14.45" customHeight="1">
      <c r="A28" s="2">
        <v>58</v>
      </c>
      <c r="B28" s="2">
        <v>3.4</v>
      </c>
      <c r="C28" s="2"/>
      <c r="D28" s="2">
        <v>60</v>
      </c>
      <c r="E28" s="2">
        <v>3.4</v>
      </c>
      <c r="G28" s="2">
        <v>67.8</v>
      </c>
      <c r="H28" s="2">
        <v>3.4</v>
      </c>
      <c r="I28" s="2"/>
      <c r="J28" s="2">
        <v>80.8</v>
      </c>
      <c r="K28" s="2">
        <v>3.4</v>
      </c>
      <c r="M28" s="2">
        <v>54</v>
      </c>
      <c r="N28" s="2">
        <v>3.4</v>
      </c>
      <c r="P28" s="2">
        <v>58</v>
      </c>
      <c r="Q28" s="2">
        <v>3.4</v>
      </c>
      <c r="S28" s="2">
        <v>58</v>
      </c>
      <c r="T28" s="2">
        <v>3.4</v>
      </c>
      <c r="V28" s="2">
        <v>60</v>
      </c>
      <c r="W28" s="2">
        <v>3.4</v>
      </c>
      <c r="Y28" s="8"/>
      <c r="Z28" s="2"/>
      <c r="AB28" s="8"/>
      <c r="AC28" s="2"/>
    </row>
    <row r="29" spans="1:29" ht="14.45" customHeight="1">
      <c r="A29" s="2">
        <v>56</v>
      </c>
      <c r="B29" s="2">
        <v>3.5</v>
      </c>
      <c r="C29" s="2"/>
      <c r="D29" s="2">
        <v>58</v>
      </c>
      <c r="E29" s="2">
        <v>3.5</v>
      </c>
      <c r="G29" s="2">
        <v>65.5</v>
      </c>
      <c r="H29" s="2">
        <v>3.5</v>
      </c>
      <c r="I29" s="2"/>
      <c r="J29" s="2">
        <v>78.5</v>
      </c>
      <c r="K29" s="2">
        <v>3.5</v>
      </c>
      <c r="M29" s="2">
        <v>52</v>
      </c>
      <c r="N29" s="2">
        <v>3.5</v>
      </c>
      <c r="P29" s="2">
        <v>56</v>
      </c>
      <c r="Q29" s="2">
        <v>3.5</v>
      </c>
      <c r="S29" s="2">
        <v>56</v>
      </c>
      <c r="T29" s="2">
        <v>3.5</v>
      </c>
      <c r="V29" s="2">
        <v>58</v>
      </c>
      <c r="W29" s="2">
        <v>3.5</v>
      </c>
      <c r="Y29" s="8"/>
      <c r="Z29" s="2"/>
      <c r="AB29" s="8"/>
      <c r="AC29" s="2"/>
    </row>
    <row r="30" spans="1:29" ht="14.45" customHeight="1">
      <c r="A30" s="2">
        <v>54.2</v>
      </c>
      <c r="B30" s="2">
        <v>3.6</v>
      </c>
      <c r="C30" s="2"/>
      <c r="D30" s="2">
        <v>56.2</v>
      </c>
      <c r="E30" s="2">
        <v>3.6</v>
      </c>
      <c r="G30" s="2">
        <v>63.4</v>
      </c>
      <c r="H30" s="2">
        <v>3.6</v>
      </c>
      <c r="I30" s="2"/>
      <c r="J30" s="2">
        <v>76.400000000000006</v>
      </c>
      <c r="K30" s="2">
        <v>3.6</v>
      </c>
      <c r="M30" s="2">
        <v>50.2</v>
      </c>
      <c r="N30" s="2">
        <v>3.6</v>
      </c>
      <c r="P30" s="2">
        <v>54.2</v>
      </c>
      <c r="Q30" s="2">
        <v>3.6</v>
      </c>
      <c r="S30" s="2">
        <v>54.2</v>
      </c>
      <c r="T30" s="2">
        <v>3.6</v>
      </c>
      <c r="V30" s="2">
        <v>56.2</v>
      </c>
      <c r="W30" s="2">
        <v>3.6</v>
      </c>
      <c r="Y30" s="8"/>
      <c r="Z30" s="2"/>
      <c r="AB30" s="8"/>
      <c r="AC30" s="2"/>
    </row>
    <row r="31" spans="1:29" ht="14.45" customHeight="1">
      <c r="A31" s="2">
        <v>52.6</v>
      </c>
      <c r="B31" s="2">
        <v>3.7</v>
      </c>
      <c r="C31" s="2"/>
      <c r="D31" s="2">
        <v>54.6</v>
      </c>
      <c r="E31" s="2">
        <v>3.7</v>
      </c>
      <c r="G31" s="2">
        <v>61.5</v>
      </c>
      <c r="H31" s="2">
        <v>3.7</v>
      </c>
      <c r="I31" s="2"/>
      <c r="J31" s="2">
        <v>74.5</v>
      </c>
      <c r="K31" s="2">
        <v>3.7</v>
      </c>
      <c r="M31" s="2">
        <v>48.6</v>
      </c>
      <c r="N31" s="2">
        <v>3.7</v>
      </c>
      <c r="P31" s="2">
        <v>52.6</v>
      </c>
      <c r="Q31" s="2">
        <v>3.7</v>
      </c>
      <c r="S31" s="2">
        <v>52.6</v>
      </c>
      <c r="T31" s="2">
        <v>3.7</v>
      </c>
      <c r="V31" s="2">
        <v>54.6</v>
      </c>
      <c r="W31" s="2">
        <v>3.7</v>
      </c>
      <c r="Y31" s="8"/>
      <c r="Z31" s="2"/>
      <c r="AB31" s="8"/>
      <c r="AC31" s="2"/>
    </row>
    <row r="32" spans="1:29" ht="14.45" customHeight="1">
      <c r="A32" s="2">
        <v>51.2</v>
      </c>
      <c r="B32" s="2">
        <v>3.8</v>
      </c>
      <c r="C32" s="2"/>
      <c r="D32" s="2">
        <v>53.2</v>
      </c>
      <c r="E32" s="2">
        <v>3.8</v>
      </c>
      <c r="G32" s="2">
        <v>59.8</v>
      </c>
      <c r="H32" s="2">
        <v>3.8</v>
      </c>
      <c r="I32" s="2"/>
      <c r="J32" s="2">
        <v>72.8</v>
      </c>
      <c r="K32" s="2">
        <v>3.8</v>
      </c>
      <c r="M32" s="2">
        <v>47.2</v>
      </c>
      <c r="N32" s="2">
        <v>3.8</v>
      </c>
      <c r="P32" s="2">
        <v>51.2</v>
      </c>
      <c r="Q32" s="2">
        <v>3.8</v>
      </c>
      <c r="S32" s="2">
        <v>51.2</v>
      </c>
      <c r="T32" s="2">
        <v>3.8</v>
      </c>
      <c r="V32" s="2">
        <v>53.2</v>
      </c>
      <c r="W32" s="2">
        <v>3.8</v>
      </c>
      <c r="Y32" s="8"/>
      <c r="Z32" s="2"/>
      <c r="AB32" s="8"/>
      <c r="AC32" s="2"/>
    </row>
    <row r="33" spans="1:29" ht="14.45" customHeight="1">
      <c r="A33" s="2">
        <v>50</v>
      </c>
      <c r="B33" s="2">
        <v>3.9</v>
      </c>
      <c r="C33" s="2"/>
      <c r="D33" s="2">
        <v>52</v>
      </c>
      <c r="E33" s="2">
        <v>3.9</v>
      </c>
      <c r="G33" s="2">
        <v>58.3</v>
      </c>
      <c r="H33" s="2">
        <v>3.9</v>
      </c>
      <c r="I33" s="2"/>
      <c r="J33" s="2">
        <v>71.3</v>
      </c>
      <c r="K33" s="2">
        <v>3.9</v>
      </c>
      <c r="M33" s="2">
        <v>46</v>
      </c>
      <c r="N33" s="2">
        <v>3.9</v>
      </c>
      <c r="P33" s="2">
        <v>50</v>
      </c>
      <c r="Q33" s="2">
        <v>3.9</v>
      </c>
      <c r="S33" s="2">
        <v>50</v>
      </c>
      <c r="T33" s="2">
        <v>3.9</v>
      </c>
      <c r="V33" s="2">
        <v>52</v>
      </c>
      <c r="W33" s="2">
        <v>3.9</v>
      </c>
      <c r="Y33" s="8"/>
      <c r="Z33" s="2"/>
      <c r="AB33" s="8"/>
      <c r="AC33" s="2"/>
    </row>
    <row r="34" spans="1:29" ht="14.45" customHeight="1">
      <c r="A34" s="2">
        <v>49</v>
      </c>
      <c r="B34" s="2">
        <v>4</v>
      </c>
      <c r="C34" s="2"/>
      <c r="D34" s="2">
        <v>51</v>
      </c>
      <c r="E34" s="2">
        <v>4</v>
      </c>
      <c r="G34" s="2">
        <v>57</v>
      </c>
      <c r="H34" s="2">
        <v>4</v>
      </c>
      <c r="I34" s="2"/>
      <c r="J34" s="2">
        <v>70</v>
      </c>
      <c r="K34" s="2">
        <v>4</v>
      </c>
      <c r="M34" s="2">
        <v>45</v>
      </c>
      <c r="N34" s="2">
        <v>4</v>
      </c>
      <c r="P34" s="2">
        <v>49</v>
      </c>
      <c r="Q34" s="2">
        <v>4</v>
      </c>
      <c r="S34" s="2">
        <v>49</v>
      </c>
      <c r="T34" s="2">
        <v>4</v>
      </c>
      <c r="V34" s="2">
        <v>51</v>
      </c>
      <c r="W34" s="2">
        <v>4</v>
      </c>
      <c r="Y34" s="8"/>
      <c r="Z34" s="2"/>
      <c r="AB34" s="8"/>
      <c r="AC34" s="2"/>
    </row>
    <row r="35" spans="1:29" ht="14.45" customHeight="1">
      <c r="A35" s="2">
        <v>48.2</v>
      </c>
      <c r="B35" s="2">
        <v>4.0999999999999996</v>
      </c>
      <c r="D35" s="2">
        <v>50.2</v>
      </c>
      <c r="E35" s="2">
        <v>4.0999999999999996</v>
      </c>
      <c r="G35" s="2">
        <v>55.9</v>
      </c>
      <c r="H35" s="2">
        <v>4.0999999999999996</v>
      </c>
      <c r="J35" s="2">
        <v>68.900000000000006</v>
      </c>
      <c r="K35" s="2">
        <v>4.0999999999999996</v>
      </c>
      <c r="M35" s="2">
        <v>44.2</v>
      </c>
      <c r="N35" s="2">
        <v>4.0999999999999996</v>
      </c>
      <c r="P35" s="2">
        <v>48.2</v>
      </c>
      <c r="Q35" s="2">
        <v>4.0999999999999996</v>
      </c>
      <c r="S35" s="2">
        <v>48.2</v>
      </c>
      <c r="T35" s="2">
        <v>4.0999999999999996</v>
      </c>
      <c r="V35" s="2">
        <v>50.2</v>
      </c>
      <c r="W35" s="2">
        <v>4.0999999999999996</v>
      </c>
      <c r="Y35" s="8"/>
      <c r="Z35" s="2"/>
      <c r="AB35" s="8"/>
      <c r="AC35" s="2"/>
    </row>
    <row r="36" spans="1:29" ht="14.45" customHeight="1">
      <c r="A36" s="2">
        <v>47.4</v>
      </c>
      <c r="B36" s="2">
        <v>4.2</v>
      </c>
      <c r="D36" s="2">
        <v>49.4</v>
      </c>
      <c r="E36" s="2">
        <v>4.2</v>
      </c>
      <c r="G36" s="2">
        <v>54.8</v>
      </c>
      <c r="H36" s="2">
        <v>4.2</v>
      </c>
      <c r="J36" s="2">
        <v>67.8</v>
      </c>
      <c r="K36" s="2">
        <v>4.2</v>
      </c>
      <c r="M36" s="2">
        <v>43.4</v>
      </c>
      <c r="N36" s="2">
        <v>4.2</v>
      </c>
      <c r="P36" s="2">
        <v>47.4</v>
      </c>
      <c r="Q36" s="2">
        <v>4.2</v>
      </c>
      <c r="S36" s="2">
        <v>47.4</v>
      </c>
      <c r="T36" s="2">
        <v>4.2</v>
      </c>
      <c r="V36" s="2">
        <v>49.4</v>
      </c>
      <c r="W36" s="2">
        <v>4.2</v>
      </c>
      <c r="Y36" s="8"/>
      <c r="Z36" s="2"/>
      <c r="AB36" s="8"/>
      <c r="AC36" s="2"/>
    </row>
    <row r="37" spans="1:29" ht="14.45" customHeight="1">
      <c r="A37" s="2">
        <v>46.6</v>
      </c>
      <c r="B37" s="2">
        <v>4.3</v>
      </c>
      <c r="D37" s="2">
        <v>48.6</v>
      </c>
      <c r="E37" s="2">
        <v>4.3</v>
      </c>
      <c r="G37" s="2">
        <v>53.7</v>
      </c>
      <c r="H37" s="2">
        <v>4.3</v>
      </c>
      <c r="J37" s="2">
        <v>66.7</v>
      </c>
      <c r="K37" s="2">
        <v>4.3</v>
      </c>
      <c r="M37" s="2">
        <v>42.6</v>
      </c>
      <c r="N37" s="2">
        <v>4.3</v>
      </c>
      <c r="P37" s="2">
        <v>46.6</v>
      </c>
      <c r="Q37" s="2">
        <v>4.3</v>
      </c>
      <c r="S37" s="2">
        <v>46.6</v>
      </c>
      <c r="T37" s="2">
        <v>4.3</v>
      </c>
      <c r="V37" s="2">
        <v>48.6</v>
      </c>
      <c r="W37" s="2">
        <v>4.3</v>
      </c>
      <c r="Y37" s="8"/>
      <c r="Z37" s="2"/>
      <c r="AB37" s="8"/>
      <c r="AC37" s="2"/>
    </row>
    <row r="38" spans="1:29" ht="14.45" customHeight="1">
      <c r="A38" s="2">
        <v>45.8</v>
      </c>
      <c r="B38" s="2">
        <v>4.4000000000000004</v>
      </c>
      <c r="D38" s="2">
        <v>47.8</v>
      </c>
      <c r="E38" s="2">
        <v>4.4000000000000004</v>
      </c>
      <c r="G38" s="2">
        <v>52.6</v>
      </c>
      <c r="H38" s="2">
        <v>4.4000000000000004</v>
      </c>
      <c r="J38" s="2">
        <v>65.599999999999994</v>
      </c>
      <c r="K38" s="2">
        <v>4.4000000000000004</v>
      </c>
      <c r="M38" s="2">
        <v>41.8</v>
      </c>
      <c r="N38" s="2">
        <v>4.4000000000000004</v>
      </c>
      <c r="P38" s="2">
        <v>45.8</v>
      </c>
      <c r="Q38" s="2">
        <v>4.4000000000000004</v>
      </c>
      <c r="S38" s="2">
        <v>45.8</v>
      </c>
      <c r="T38" s="2">
        <v>4.4000000000000004</v>
      </c>
      <c r="V38" s="2">
        <v>47.8</v>
      </c>
      <c r="W38" s="2">
        <v>4.4000000000000004</v>
      </c>
      <c r="Y38" s="8"/>
      <c r="Z38" s="2"/>
      <c r="AB38" s="8"/>
      <c r="AC38" s="2"/>
    </row>
    <row r="39" spans="1:29" ht="14.45" customHeight="1">
      <c r="A39" s="2">
        <v>45</v>
      </c>
      <c r="B39" s="2">
        <v>4.5</v>
      </c>
      <c r="D39" s="2">
        <v>47</v>
      </c>
      <c r="E39" s="2">
        <v>4.5</v>
      </c>
      <c r="G39" s="2">
        <v>51.5</v>
      </c>
      <c r="H39" s="2">
        <v>4.5</v>
      </c>
      <c r="J39" s="2">
        <v>64.5</v>
      </c>
      <c r="K39" s="2">
        <v>4.5</v>
      </c>
      <c r="M39" s="2">
        <v>41</v>
      </c>
      <c r="N39" s="2">
        <v>4.5</v>
      </c>
      <c r="P39" s="2">
        <v>45</v>
      </c>
      <c r="Q39" s="2">
        <v>4.5</v>
      </c>
      <c r="S39" s="2">
        <v>45</v>
      </c>
      <c r="T39" s="2">
        <v>4.5</v>
      </c>
      <c r="V39" s="2">
        <v>47</v>
      </c>
      <c r="W39" s="2">
        <v>4.5</v>
      </c>
      <c r="Y39" s="8"/>
      <c r="Z39" s="2"/>
      <c r="AB39" s="8"/>
      <c r="AC39" s="2"/>
    </row>
    <row r="40" spans="1:29" ht="14.45" customHeight="1">
      <c r="A40" s="2">
        <v>44.2</v>
      </c>
      <c r="B40" s="2">
        <v>4.5999999999999996</v>
      </c>
      <c r="D40" s="2">
        <v>46.2</v>
      </c>
      <c r="E40" s="2">
        <v>4.5999999999999996</v>
      </c>
      <c r="G40" s="2">
        <v>50.4</v>
      </c>
      <c r="H40" s="2">
        <v>4.5999999999999996</v>
      </c>
      <c r="J40" s="2">
        <v>63.4</v>
      </c>
      <c r="K40" s="2">
        <v>4.5999999999999996</v>
      </c>
      <c r="M40" s="2">
        <v>40.200000000000003</v>
      </c>
      <c r="N40" s="2">
        <v>4.5999999999999996</v>
      </c>
      <c r="P40" s="2">
        <v>44.2</v>
      </c>
      <c r="Q40" s="2">
        <v>4.5999999999999996</v>
      </c>
      <c r="S40" s="2">
        <v>44.2</v>
      </c>
      <c r="T40" s="2">
        <v>4.5999999999999996</v>
      </c>
      <c r="V40" s="2">
        <v>46.2</v>
      </c>
      <c r="W40" s="2">
        <v>4.5999999999999996</v>
      </c>
      <c r="Y40" s="2"/>
      <c r="Z40" s="2"/>
      <c r="AB40" s="2"/>
    </row>
    <row r="41" spans="1:29">
      <c r="A41" s="2">
        <v>43.4</v>
      </c>
      <c r="B41" s="2">
        <v>4.7</v>
      </c>
      <c r="D41" s="2">
        <v>45.4</v>
      </c>
      <c r="E41" s="2">
        <v>4.7</v>
      </c>
      <c r="G41" s="2">
        <v>49.3</v>
      </c>
      <c r="H41" s="2">
        <v>4.7</v>
      </c>
      <c r="J41" s="2">
        <v>62.3</v>
      </c>
      <c r="K41" s="2">
        <v>4.7</v>
      </c>
      <c r="M41" s="2">
        <v>39.4</v>
      </c>
      <c r="N41" s="2">
        <v>4.7</v>
      </c>
      <c r="P41" s="2">
        <v>43.4</v>
      </c>
      <c r="Q41" s="2">
        <v>4.7</v>
      </c>
      <c r="S41" s="2">
        <v>43.4</v>
      </c>
      <c r="T41" s="2">
        <v>4.7</v>
      </c>
      <c r="V41" s="2">
        <v>45.4</v>
      </c>
      <c r="W41" s="2">
        <v>4.7</v>
      </c>
    </row>
    <row r="42" spans="1:29" ht="14.45" customHeight="1">
      <c r="A42" s="2">
        <v>42.6</v>
      </c>
      <c r="B42" s="2">
        <v>4.8</v>
      </c>
      <c r="D42" s="2">
        <v>44.6</v>
      </c>
      <c r="E42" s="2">
        <v>4.8</v>
      </c>
      <c r="G42" s="2">
        <v>48.2</v>
      </c>
      <c r="H42" s="2">
        <v>4.8</v>
      </c>
      <c r="J42" s="2">
        <v>61.2</v>
      </c>
      <c r="K42" s="2">
        <v>4.8</v>
      </c>
      <c r="M42" s="2">
        <v>38.6</v>
      </c>
      <c r="N42" s="2">
        <v>4.8</v>
      </c>
      <c r="P42" s="2">
        <v>42.6</v>
      </c>
      <c r="Q42" s="2">
        <v>4.8</v>
      </c>
      <c r="S42" s="2">
        <v>42.6</v>
      </c>
      <c r="T42" s="2">
        <v>4.8</v>
      </c>
      <c r="V42" s="2">
        <v>44.6</v>
      </c>
      <c r="W42" s="2">
        <v>4.8</v>
      </c>
    </row>
    <row r="43" spans="1:29" ht="14.45" customHeight="1">
      <c r="A43" s="2">
        <v>41.8</v>
      </c>
      <c r="B43" s="2">
        <v>4.9000000000000004</v>
      </c>
      <c r="D43" s="2">
        <v>43.8</v>
      </c>
      <c r="E43" s="2">
        <v>4.9000000000000004</v>
      </c>
      <c r="G43" s="2">
        <v>47.1</v>
      </c>
      <c r="H43" s="2">
        <v>4.9000000000000004</v>
      </c>
      <c r="J43" s="2">
        <v>60.1</v>
      </c>
      <c r="K43" s="2">
        <v>4.9000000000000004</v>
      </c>
      <c r="M43" s="2">
        <v>37.799999999999997</v>
      </c>
      <c r="N43" s="2">
        <v>4.9000000000000004</v>
      </c>
      <c r="P43" s="2">
        <v>41.8</v>
      </c>
      <c r="Q43" s="2">
        <v>4.9000000000000004</v>
      </c>
      <c r="S43" s="2">
        <v>41.8</v>
      </c>
      <c r="T43" s="2">
        <v>4.9000000000000004</v>
      </c>
      <c r="V43" s="2">
        <v>43.8</v>
      </c>
      <c r="W43" s="2">
        <v>4.9000000000000004</v>
      </c>
    </row>
    <row r="44" spans="1:29" ht="14.45" customHeight="1">
      <c r="A44" s="2">
        <v>41</v>
      </c>
      <c r="B44" s="2">
        <v>5</v>
      </c>
      <c r="D44" s="2">
        <v>43</v>
      </c>
      <c r="E44" s="2">
        <v>5</v>
      </c>
      <c r="G44" s="2">
        <v>46</v>
      </c>
      <c r="H44" s="2">
        <v>5</v>
      </c>
      <c r="J44" s="2">
        <v>59</v>
      </c>
      <c r="K44" s="2">
        <v>5</v>
      </c>
      <c r="M44" s="2">
        <v>37</v>
      </c>
      <c r="N44" s="2">
        <v>5</v>
      </c>
      <c r="P44" s="2">
        <v>41</v>
      </c>
      <c r="Q44" s="2">
        <v>5</v>
      </c>
      <c r="S44" s="2">
        <v>41</v>
      </c>
      <c r="T44" s="2">
        <v>5</v>
      </c>
      <c r="V44" s="2">
        <v>43</v>
      </c>
      <c r="W44" s="2">
        <v>5</v>
      </c>
    </row>
    <row r="45" spans="1:29" ht="14.45" customHeight="1">
      <c r="A45" s="2">
        <v>40.299999999999997</v>
      </c>
      <c r="B45" s="2">
        <v>5.0999999999999996</v>
      </c>
      <c r="D45" s="2">
        <v>42.3</v>
      </c>
      <c r="E45" s="2">
        <v>5.0999999999999996</v>
      </c>
      <c r="G45" s="2">
        <v>45</v>
      </c>
      <c r="H45" s="2">
        <v>5.0999999999999996</v>
      </c>
      <c r="J45" s="2">
        <v>58</v>
      </c>
      <c r="K45" s="2">
        <v>5.0999999999999996</v>
      </c>
      <c r="M45" s="2">
        <v>36.299999999999997</v>
      </c>
      <c r="N45" s="2">
        <v>5.0999999999999996</v>
      </c>
      <c r="P45" s="2">
        <v>40.299999999999997</v>
      </c>
      <c r="Q45" s="2">
        <v>5.0999999999999996</v>
      </c>
      <c r="S45" s="2">
        <v>40.299999999999997</v>
      </c>
      <c r="T45" s="2">
        <v>5.0999999999999996</v>
      </c>
      <c r="V45" s="2">
        <v>42.3</v>
      </c>
      <c r="W45" s="2">
        <v>5.0999999999999996</v>
      </c>
    </row>
    <row r="46" spans="1:29" ht="14.45" customHeight="1">
      <c r="A46" s="2">
        <v>39.6</v>
      </c>
      <c r="B46" s="2">
        <v>5.2</v>
      </c>
      <c r="D46" s="2">
        <v>41.6</v>
      </c>
      <c r="E46" s="2">
        <v>5.2</v>
      </c>
      <c r="G46" s="2">
        <v>44</v>
      </c>
      <c r="H46" s="2">
        <v>5.2</v>
      </c>
      <c r="J46" s="2">
        <v>57</v>
      </c>
      <c r="K46" s="2">
        <v>5.2</v>
      </c>
      <c r="M46" s="2">
        <v>35.6</v>
      </c>
      <c r="N46" s="2">
        <v>5.2</v>
      </c>
      <c r="P46" s="2">
        <v>39.6</v>
      </c>
      <c r="Q46" s="2">
        <v>5.2</v>
      </c>
      <c r="S46" s="2">
        <v>39.6</v>
      </c>
      <c r="T46" s="2">
        <v>5.2</v>
      </c>
      <c r="V46" s="2">
        <v>41.6</v>
      </c>
      <c r="W46" s="2">
        <v>5.2</v>
      </c>
    </row>
    <row r="47" spans="1:29" ht="14.45" customHeight="1">
      <c r="A47" s="2">
        <v>38.9</v>
      </c>
      <c r="B47" s="2">
        <v>5.3</v>
      </c>
      <c r="D47" s="2">
        <v>40.9</v>
      </c>
      <c r="E47" s="2">
        <v>5.3</v>
      </c>
      <c r="G47" s="2">
        <v>43</v>
      </c>
      <c r="H47" s="2">
        <v>5.3</v>
      </c>
      <c r="J47" s="2">
        <v>56</v>
      </c>
      <c r="K47" s="2">
        <v>5.3</v>
      </c>
      <c r="M47" s="2">
        <v>34.9</v>
      </c>
      <c r="N47" s="2">
        <v>5.3</v>
      </c>
      <c r="P47" s="2">
        <v>38.9</v>
      </c>
      <c r="Q47" s="2">
        <v>5.3</v>
      </c>
      <c r="S47" s="2">
        <v>38.9</v>
      </c>
      <c r="T47" s="2">
        <v>5.3</v>
      </c>
      <c r="V47" s="2">
        <v>40.9</v>
      </c>
      <c r="W47" s="2">
        <v>5.3</v>
      </c>
    </row>
    <row r="48" spans="1:29" ht="14.45" customHeight="1">
      <c r="A48" s="2">
        <v>38.200000000000003</v>
      </c>
      <c r="B48" s="2">
        <v>5.4</v>
      </c>
      <c r="D48" s="2">
        <v>40.200000000000003</v>
      </c>
      <c r="E48" s="2">
        <v>5.4</v>
      </c>
      <c r="G48" s="2">
        <v>42</v>
      </c>
      <c r="H48" s="2">
        <v>5.4</v>
      </c>
      <c r="J48" s="2">
        <v>55</v>
      </c>
      <c r="K48" s="2">
        <v>5.4</v>
      </c>
      <c r="M48" s="2">
        <v>34.200000000000003</v>
      </c>
      <c r="N48" s="2">
        <v>5.4</v>
      </c>
      <c r="P48" s="2">
        <v>38.200000000000003</v>
      </c>
      <c r="Q48" s="2">
        <v>5.4</v>
      </c>
      <c r="S48" s="2">
        <v>38.200000000000003</v>
      </c>
      <c r="T48" s="2">
        <v>5.4</v>
      </c>
      <c r="V48" s="2">
        <v>40.200000000000003</v>
      </c>
      <c r="W48" s="2">
        <v>5.4</v>
      </c>
    </row>
    <row r="49" spans="1:23" ht="14.45" customHeight="1">
      <c r="A49" s="2">
        <v>37.5</v>
      </c>
      <c r="B49" s="2">
        <v>5.5</v>
      </c>
      <c r="D49" s="2">
        <v>39.5</v>
      </c>
      <c r="E49" s="2">
        <v>5.5</v>
      </c>
      <c r="G49" s="2">
        <v>41</v>
      </c>
      <c r="H49" s="2">
        <v>5.5</v>
      </c>
      <c r="J49" s="2">
        <v>54</v>
      </c>
      <c r="K49" s="2">
        <v>5.5</v>
      </c>
      <c r="M49" s="2">
        <v>33.5</v>
      </c>
      <c r="N49" s="2">
        <v>5.5</v>
      </c>
      <c r="P49" s="2">
        <v>37.5</v>
      </c>
      <c r="Q49" s="2">
        <v>5.5</v>
      </c>
      <c r="S49" s="2">
        <v>37.5</v>
      </c>
      <c r="T49" s="2">
        <v>5.5</v>
      </c>
      <c r="V49" s="2">
        <v>39.5</v>
      </c>
      <c r="W49" s="2">
        <v>5.5</v>
      </c>
    </row>
    <row r="50" spans="1:23" ht="14.45" customHeight="1">
      <c r="A50" s="2">
        <v>36.799999999999997</v>
      </c>
      <c r="B50" s="2">
        <v>5.6</v>
      </c>
      <c r="D50" s="2">
        <v>38.799999999999997</v>
      </c>
      <c r="E50" s="2">
        <v>5.6</v>
      </c>
      <c r="G50" s="2">
        <v>40</v>
      </c>
      <c r="H50" s="2">
        <v>5.6</v>
      </c>
      <c r="J50" s="2">
        <v>53</v>
      </c>
      <c r="K50" s="2">
        <v>5.6</v>
      </c>
      <c r="M50" s="2">
        <v>32.799999999999997</v>
      </c>
      <c r="N50" s="2">
        <v>5.6</v>
      </c>
      <c r="P50" s="2">
        <v>36.799999999999997</v>
      </c>
      <c r="Q50" s="2">
        <v>5.6</v>
      </c>
      <c r="S50" s="2">
        <v>36.799999999999997</v>
      </c>
      <c r="T50" s="2">
        <v>5.6</v>
      </c>
      <c r="V50" s="2">
        <v>38.799999999999997</v>
      </c>
      <c r="W50" s="2">
        <v>5.6</v>
      </c>
    </row>
    <row r="51" spans="1:23" ht="14.45" customHeight="1">
      <c r="A51" s="2">
        <v>36.1</v>
      </c>
      <c r="B51" s="2">
        <v>5.7</v>
      </c>
      <c r="D51" s="2">
        <v>38.1</v>
      </c>
      <c r="E51" s="2">
        <v>5.7</v>
      </c>
      <c r="G51" s="2">
        <v>39</v>
      </c>
      <c r="H51" s="2">
        <v>5.7</v>
      </c>
      <c r="J51" s="2">
        <v>52</v>
      </c>
      <c r="K51" s="2">
        <v>5.7</v>
      </c>
      <c r="M51" s="2">
        <v>32.1</v>
      </c>
      <c r="N51" s="2">
        <v>5.7</v>
      </c>
      <c r="P51" s="2">
        <v>36.1</v>
      </c>
      <c r="Q51" s="2">
        <v>5.7</v>
      </c>
      <c r="S51" s="2">
        <v>36.1</v>
      </c>
      <c r="T51" s="2">
        <v>5.7</v>
      </c>
      <c r="V51" s="2">
        <v>38.1</v>
      </c>
      <c r="W51" s="2">
        <v>5.7</v>
      </c>
    </row>
    <row r="52" spans="1:23" ht="14.45" customHeight="1">
      <c r="A52" s="2">
        <v>35.4</v>
      </c>
      <c r="B52" s="2">
        <v>5.8</v>
      </c>
      <c r="D52" s="2">
        <v>37.4</v>
      </c>
      <c r="E52" s="2">
        <v>5.8</v>
      </c>
      <c r="G52" s="2">
        <v>38</v>
      </c>
      <c r="H52" s="2">
        <v>5.8</v>
      </c>
      <c r="J52" s="2">
        <v>51</v>
      </c>
      <c r="K52" s="2">
        <v>5.8</v>
      </c>
      <c r="M52" s="2">
        <v>31.4</v>
      </c>
      <c r="N52" s="2">
        <v>5.8</v>
      </c>
      <c r="P52" s="2">
        <v>35.4</v>
      </c>
      <c r="Q52" s="2">
        <v>5.8</v>
      </c>
      <c r="S52" s="2">
        <v>35.4</v>
      </c>
      <c r="T52" s="2">
        <v>5.8</v>
      </c>
      <c r="V52" s="2">
        <v>37.4</v>
      </c>
      <c r="W52" s="2">
        <v>5.8</v>
      </c>
    </row>
    <row r="53" spans="1:23">
      <c r="A53" s="2">
        <v>34.700000000000003</v>
      </c>
      <c r="B53" s="2">
        <v>5.9</v>
      </c>
      <c r="D53" s="2">
        <v>36.700000000000003</v>
      </c>
      <c r="E53" s="2">
        <v>5.9</v>
      </c>
      <c r="G53" s="2">
        <v>37</v>
      </c>
      <c r="H53" s="2">
        <v>5.9</v>
      </c>
      <c r="J53" s="2">
        <v>50</v>
      </c>
      <c r="K53" s="2">
        <v>5.9</v>
      </c>
      <c r="M53" s="2">
        <v>30.7</v>
      </c>
      <c r="N53" s="2">
        <v>5.9</v>
      </c>
      <c r="P53" s="2">
        <v>34.700000000000003</v>
      </c>
      <c r="Q53" s="2">
        <v>5.9</v>
      </c>
      <c r="S53" s="2">
        <v>34.700000000000003</v>
      </c>
      <c r="T53" s="2">
        <v>5.9</v>
      </c>
      <c r="V53" s="2">
        <v>36.700000000000003</v>
      </c>
      <c r="W53" s="2">
        <v>5.9</v>
      </c>
    </row>
    <row r="54" spans="1:23">
      <c r="A54" s="2">
        <v>34</v>
      </c>
      <c r="B54" s="2">
        <v>6</v>
      </c>
      <c r="D54" s="2">
        <v>36</v>
      </c>
      <c r="E54" s="2">
        <v>6</v>
      </c>
      <c r="G54" s="2">
        <v>36</v>
      </c>
      <c r="H54" s="2">
        <v>6</v>
      </c>
      <c r="J54" s="2">
        <v>49</v>
      </c>
      <c r="K54" s="2">
        <v>6</v>
      </c>
      <c r="M54" s="2">
        <v>30</v>
      </c>
      <c r="N54" s="2">
        <v>6</v>
      </c>
      <c r="P54" s="2">
        <v>34</v>
      </c>
      <c r="Q54" s="2">
        <v>6</v>
      </c>
      <c r="S54" s="2">
        <v>34</v>
      </c>
      <c r="T54" s="2">
        <v>6</v>
      </c>
      <c r="V54" s="2">
        <v>36</v>
      </c>
      <c r="W54" s="2">
        <v>6</v>
      </c>
    </row>
    <row r="55" spans="1:23">
      <c r="A55" s="53"/>
      <c r="B55" s="2"/>
      <c r="D55" s="53"/>
      <c r="E55" s="2"/>
      <c r="G55" s="53"/>
      <c r="H55" s="2"/>
      <c r="J55" s="53"/>
      <c r="K55" s="2"/>
      <c r="M55" s="53"/>
      <c r="N55" s="2"/>
      <c r="P55" s="53"/>
      <c r="Q55" s="2"/>
      <c r="S55" s="53"/>
      <c r="T55" s="2"/>
      <c r="V55" s="53"/>
      <c r="W55" s="2"/>
    </row>
    <row r="56" spans="1:23">
      <c r="B56" s="2"/>
      <c r="E56" s="2"/>
      <c r="H56" s="2"/>
      <c r="K56" s="2"/>
      <c r="N56" s="2"/>
      <c r="Q56" s="2"/>
      <c r="T56" s="2"/>
      <c r="W56" s="2"/>
    </row>
  </sheetData>
  <mergeCells count="10">
    <mergeCell ref="S2:T2"/>
    <mergeCell ref="V2:W2"/>
    <mergeCell ref="Y2:Z2"/>
    <mergeCell ref="AB2:AC2"/>
    <mergeCell ref="A2:B2"/>
    <mergeCell ref="D2:E2"/>
    <mergeCell ref="G2:H2"/>
    <mergeCell ref="J2:K2"/>
    <mergeCell ref="M2:N2"/>
    <mergeCell ref="P2:Q2"/>
  </mergeCells>
  <pageMargins left="0.7" right="0.7" top="0.78740157499999996" bottom="0.78740157499999996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6"/>
  <dimension ref="A1:E7"/>
  <sheetViews>
    <sheetView workbookViewId="0"/>
  </sheetViews>
  <sheetFormatPr baseColWidth="10" defaultRowHeight="15"/>
  <cols>
    <col min="2" max="2" width="1.140625" customWidth="1"/>
    <col min="4" max="4" width="3.42578125" customWidth="1"/>
  </cols>
  <sheetData>
    <row r="1" spans="1:5" ht="14.45" customHeight="1">
      <c r="A1" s="4" t="str">
        <f>INDEX(StdBS[StdBS],5)</f>
        <v>Gleiten, Rollen, Fahren</v>
      </c>
    </row>
    <row r="2" spans="1:5" ht="14.45" customHeight="1">
      <c r="A2" s="5" t="str">
        <f>INDEX(StdGeschlecht[StdGeschlecht],1)</f>
        <v>Knaben</v>
      </c>
      <c r="B2" s="4"/>
      <c r="C2" s="5" t="str">
        <f>INDEX(StdGeschlecht[StdGeschlecht],2)</f>
        <v>Mädchen</v>
      </c>
      <c r="D2" s="4"/>
      <c r="E2" t="s">
        <v>76</v>
      </c>
    </row>
    <row r="3" spans="1:5" ht="14.45" customHeight="1">
      <c r="A3" t="s">
        <v>25</v>
      </c>
      <c r="C3" t="s">
        <v>25</v>
      </c>
      <c r="E3" t="str">
        <f>"Nicht "&amp;LOWER(E2)</f>
        <v>Nicht erfüllt</v>
      </c>
    </row>
    <row r="4" spans="1:5" ht="14.45" customHeight="1">
      <c r="A4" t="str">
        <f>$E$2</f>
        <v>Erfüllt</v>
      </c>
      <c r="C4" t="str">
        <f>$E$2</f>
        <v>Erfüllt</v>
      </c>
      <c r="E4" t="str">
        <f>Stammdaten!$BZ$3</f>
        <v>Dispensiert</v>
      </c>
    </row>
    <row r="5" spans="1:5" ht="14.45" customHeight="1">
      <c r="A5" t="s">
        <v>178</v>
      </c>
      <c r="C5" t="s">
        <v>178</v>
      </c>
    </row>
    <row r="6" spans="1:5" ht="14.45" customHeight="1">
      <c r="A6" t="s">
        <v>104</v>
      </c>
      <c r="C6" t="s">
        <v>104</v>
      </c>
    </row>
    <row r="7" spans="1:5">
      <c r="A7" s="35"/>
      <c r="C7" s="35"/>
    </row>
  </sheetData>
  <dataValidations count="1">
    <dataValidation type="list" allowBlank="1" showInputMessage="1" showErrorMessage="1" sqref="C4:C6 A4:A6" xr:uid="{00000000-0002-0000-1000-000000000000}">
      <formula1>$E$2:$E$4</formula1>
    </dataValidation>
  </dataValidations>
  <pageMargins left="0.7" right="0.7" top="0.78740157499999996" bottom="0.78740157499999996" header="0.3" footer="0.3"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7"/>
  <dimension ref="A1:O15"/>
  <sheetViews>
    <sheetView workbookViewId="0"/>
  </sheetViews>
  <sheetFormatPr baseColWidth="10" defaultRowHeight="15"/>
  <cols>
    <col min="4" max="4" width="1.140625" customWidth="1"/>
    <col min="8" max="8" width="3.42578125" customWidth="1"/>
    <col min="9" max="11" width="13.7109375" customWidth="1"/>
    <col min="12" max="12" width="1.140625" customWidth="1"/>
    <col min="13" max="15" width="13.7109375" customWidth="1"/>
    <col min="17" max="17" width="11.5703125" customWidth="1"/>
    <col min="20" max="20" width="11.5703125" customWidth="1"/>
    <col min="23" max="24" width="11.5703125" customWidth="1"/>
    <col min="26" max="26" width="11.5703125" customWidth="1"/>
    <col min="29" max="29" width="11.5703125" customWidth="1"/>
  </cols>
  <sheetData>
    <row r="1" spans="1:15" ht="14.45" customHeight="1">
      <c r="A1" s="4" t="str">
        <f>INDEX(StdDisziplinen[StdDisziplin],26)</f>
        <v>Schwimmen</v>
      </c>
      <c r="B1" s="4"/>
      <c r="K1" s="13">
        <v>60</v>
      </c>
    </row>
    <row r="2" spans="1:15" ht="14.45" customHeight="1">
      <c r="A2" s="90" t="str">
        <f>INDEX(StdGeschlecht[StdGeschlecht],1)</f>
        <v>Knaben</v>
      </c>
      <c r="B2" s="90"/>
      <c r="C2" s="90"/>
      <c r="D2" s="5"/>
      <c r="E2" s="90" t="str">
        <f>INDEX(StdGeschlecht[StdGeschlecht],2)</f>
        <v>Mädchen</v>
      </c>
      <c r="F2" s="90"/>
      <c r="G2" s="90"/>
      <c r="I2" s="90" t="str">
        <f>$A$2</f>
        <v>Knaben</v>
      </c>
      <c r="J2" s="90"/>
      <c r="K2" s="90"/>
      <c r="M2" s="90" t="str">
        <f>$E$2</f>
        <v>Mädchen</v>
      </c>
      <c r="N2" s="90"/>
      <c r="O2" s="90"/>
    </row>
    <row r="3" spans="1:15" ht="14.45" customHeight="1">
      <c r="A3" s="30" t="s">
        <v>22</v>
      </c>
      <c r="B3" s="30" t="s">
        <v>322</v>
      </c>
      <c r="C3" s="30" t="s">
        <v>7</v>
      </c>
      <c r="E3" s="30" t="s">
        <v>22</v>
      </c>
      <c r="F3" s="30" t="s">
        <v>322</v>
      </c>
      <c r="G3" s="30" t="s">
        <v>7</v>
      </c>
      <c r="I3" t="s">
        <v>315</v>
      </c>
      <c r="J3" t="s">
        <v>316</v>
      </c>
      <c r="K3" t="s">
        <v>317</v>
      </c>
      <c r="M3" t="s">
        <v>318</v>
      </c>
      <c r="N3" t="s">
        <v>319</v>
      </c>
      <c r="O3" t="s">
        <v>320</v>
      </c>
    </row>
    <row r="4" spans="1:15" ht="14.45" customHeight="1">
      <c r="A4" s="31"/>
      <c r="B4" s="31"/>
      <c r="C4" s="61"/>
      <c r="E4" s="31"/>
      <c r="F4" s="31"/>
      <c r="G4" s="61"/>
      <c r="I4" s="65">
        <v>4</v>
      </c>
      <c r="J4" s="66">
        <v>0</v>
      </c>
      <c r="K4" s="67">
        <f>(Schwimmen_Umrechnung_Knaben[[#This Row],[ResultatMin_K]]*$K$1)+Schwimmen_Umrechnung_Knaben[[#This Row],[ResultatSek_K]]</f>
        <v>240</v>
      </c>
      <c r="M4">
        <v>4</v>
      </c>
      <c r="N4" s="62">
        <v>30</v>
      </c>
      <c r="O4">
        <f>(Schwimmen_Umrechnung_Mädchen[[#This Row],[ResultatMin_M]]*$K$1)+Schwimmen_Umrechnung_Mädchen[[#This Row],[ResultatSek_M]]</f>
        <v>270</v>
      </c>
    </row>
    <row r="5" spans="1:15" ht="14.45" customHeight="1">
      <c r="A5" s="31" cm="1">
        <f t="array" ref="A5">LARGE(Schwimmen_Umrechnung_Knaben[Resultat_K],ROW()-(ROW(Schwimmen_Knaben[#Headers])+1))</f>
        <v>240</v>
      </c>
      <c r="B5" s="31" t="str" cm="1">
        <f t="array" ref="B5">INDEX(Schwimmen_Umrechnung_Knaben[ResultatMin_K]&amp;"'"&amp;TEXT(Schwimmen_Umrechnung_Knaben[ResultatSek_K],"00")&amp;"''",MATCH(Schwimmen_Knaben[[#This Row],[Resultat]],Schwimmen_Umrechnung_Knaben[Resultat_K],0))</f>
        <v>4'00''</v>
      </c>
      <c r="C5" s="61">
        <v>2</v>
      </c>
      <c r="E5" s="31" cm="1">
        <f t="array" ref="E5">LARGE(Schwimmen_Umrechnung_Mädchen[Resultat_M],ROW()-(ROW(Schwimmen_Mädchen[#Headers])+1))</f>
        <v>270</v>
      </c>
      <c r="F5" s="31" t="str" cm="1">
        <f t="array" ref="F5">INDEX(Schwimmen_Umrechnung_Mädchen[ResultatMin_M]&amp;"'"&amp;TEXT(Schwimmen_Umrechnung_Mädchen[ResultatSek_M],"00")&amp;"''",MATCH(Schwimmen_Mädchen[[#This Row],[Resultat]],Schwimmen_Umrechnung_Mädchen[Resultat_M],0))</f>
        <v>4'30''</v>
      </c>
      <c r="G5" s="68">
        <v>2</v>
      </c>
      <c r="I5" s="65">
        <v>3</v>
      </c>
      <c r="J5" s="66">
        <v>40</v>
      </c>
      <c r="K5" s="67">
        <f>(Schwimmen_Umrechnung_Knaben[[#This Row],[ResultatMin_K]]*$K$1)+Schwimmen_Umrechnung_Knaben[[#This Row],[ResultatSek_K]]</f>
        <v>220</v>
      </c>
      <c r="M5">
        <v>4</v>
      </c>
      <c r="N5" s="62">
        <v>10</v>
      </c>
      <c r="O5">
        <f>(Schwimmen_Umrechnung_Mädchen[[#This Row],[ResultatMin_M]]*$K$1)+Schwimmen_Umrechnung_Mädchen[[#This Row],[ResultatSek_M]]</f>
        <v>250</v>
      </c>
    </row>
    <row r="6" spans="1:15" ht="14.45" customHeight="1">
      <c r="A6" s="31" cm="1">
        <f t="array" ref="A6">LARGE(Schwimmen_Umrechnung_Knaben[Resultat_K],ROW()-(ROW(Schwimmen_Knaben[#Headers])+1))</f>
        <v>220</v>
      </c>
      <c r="B6" s="31" t="str" cm="1">
        <f t="array" ref="B6">INDEX(Schwimmen_Umrechnung_Knaben[ResultatMin_K]&amp;"'"&amp;TEXT(Schwimmen_Umrechnung_Knaben[ResultatSek_K],"00")&amp;"''",MATCH(Schwimmen_Knaben[[#This Row],[Resultat]],Schwimmen_Umrechnung_Knaben[Resultat_K],0))</f>
        <v>3'40''</v>
      </c>
      <c r="C6" s="61">
        <v>2.5</v>
      </c>
      <c r="E6" s="31" cm="1">
        <f t="array" ref="E6">LARGE(Schwimmen_Umrechnung_Mädchen[Resultat_M],ROW()-(ROW(Schwimmen_Mädchen[#Headers])+1))</f>
        <v>250</v>
      </c>
      <c r="F6" s="31" t="str" cm="1">
        <f t="array" ref="F6">INDEX(Schwimmen_Umrechnung_Mädchen[ResultatMin_M]&amp;"'"&amp;TEXT(Schwimmen_Umrechnung_Mädchen[ResultatSek_M],"00")&amp;"''",MATCH(Schwimmen_Mädchen[[#This Row],[Resultat]],Schwimmen_Umrechnung_Mädchen[Resultat_M],0))</f>
        <v>4'10''</v>
      </c>
      <c r="G6" s="68">
        <v>2.5</v>
      </c>
      <c r="I6" s="65">
        <v>3</v>
      </c>
      <c r="J6" s="66">
        <v>25</v>
      </c>
      <c r="K6" s="67">
        <f>(Schwimmen_Umrechnung_Knaben[[#This Row],[ResultatMin_K]]*$K$1)+Schwimmen_Umrechnung_Knaben[[#This Row],[ResultatSek_K]]</f>
        <v>205</v>
      </c>
      <c r="M6">
        <v>3</v>
      </c>
      <c r="N6" s="62">
        <v>50</v>
      </c>
      <c r="O6">
        <f>(Schwimmen_Umrechnung_Mädchen[[#This Row],[ResultatMin_M]]*$K$1)+Schwimmen_Umrechnung_Mädchen[[#This Row],[ResultatSek_M]]</f>
        <v>230</v>
      </c>
    </row>
    <row r="7" spans="1:15">
      <c r="A7" s="31" cm="1">
        <f t="array" ref="A7">LARGE(Schwimmen_Umrechnung_Knaben[Resultat_K],ROW()-(ROW(Schwimmen_Knaben[#Headers])+1))</f>
        <v>205</v>
      </c>
      <c r="B7" s="31" t="str" cm="1">
        <f t="array" ref="B7">INDEX(Schwimmen_Umrechnung_Knaben[ResultatMin_K]&amp;"'"&amp;TEXT(Schwimmen_Umrechnung_Knaben[ResultatSek_K],"00")&amp;"''",MATCH(Schwimmen_Knaben[[#This Row],[Resultat]],Schwimmen_Umrechnung_Knaben[Resultat_K],0))</f>
        <v>3'25''</v>
      </c>
      <c r="C7" s="61">
        <v>3</v>
      </c>
      <c r="E7" s="31" cm="1">
        <f t="array" ref="E7">LARGE(Schwimmen_Umrechnung_Mädchen[Resultat_M],ROW()-(ROW(Schwimmen_Mädchen[#Headers])+1))</f>
        <v>230</v>
      </c>
      <c r="F7" s="31" t="str" cm="1">
        <f t="array" ref="F7">INDEX(Schwimmen_Umrechnung_Mädchen[ResultatMin_M]&amp;"'"&amp;TEXT(Schwimmen_Umrechnung_Mädchen[ResultatSek_M],"00")&amp;"''",MATCH(Schwimmen_Mädchen[[#This Row],[Resultat]],Schwimmen_Umrechnung_Mädchen[Resultat_M],0))</f>
        <v>3'50''</v>
      </c>
      <c r="G7" s="68">
        <v>3</v>
      </c>
      <c r="I7" s="65">
        <v>3</v>
      </c>
      <c r="J7" s="66">
        <v>5</v>
      </c>
      <c r="K7" s="67">
        <f>(Schwimmen_Umrechnung_Knaben[[#This Row],[ResultatMin_K]]*$K$1)+Schwimmen_Umrechnung_Knaben[[#This Row],[ResultatSek_K]]</f>
        <v>185</v>
      </c>
      <c r="M7">
        <v>3</v>
      </c>
      <c r="N7" s="62">
        <v>30</v>
      </c>
      <c r="O7">
        <f>(Schwimmen_Umrechnung_Mädchen[[#This Row],[ResultatMin_M]]*$K$1)+Schwimmen_Umrechnung_Mädchen[[#This Row],[ResultatSek_M]]</f>
        <v>210</v>
      </c>
    </row>
    <row r="8" spans="1:15">
      <c r="A8" s="31" cm="1">
        <f t="array" ref="A8">LARGE(Schwimmen_Umrechnung_Knaben[Resultat_K],ROW()-(ROW(Schwimmen_Knaben[#Headers])+1))</f>
        <v>185</v>
      </c>
      <c r="B8" s="31" t="str" cm="1">
        <f t="array" ref="B8">INDEX(Schwimmen_Umrechnung_Knaben[ResultatMin_K]&amp;"'"&amp;TEXT(Schwimmen_Umrechnung_Knaben[ResultatSek_K],"00")&amp;"''",MATCH(Schwimmen_Knaben[[#This Row],[Resultat]],Schwimmen_Umrechnung_Knaben[Resultat_K],0))</f>
        <v>3'05''</v>
      </c>
      <c r="C8" s="61">
        <v>3.5</v>
      </c>
      <c r="E8" s="31" cm="1">
        <f t="array" ref="E8">LARGE(Schwimmen_Umrechnung_Mädchen[Resultat_M],ROW()-(ROW(Schwimmen_Mädchen[#Headers])+1))</f>
        <v>210</v>
      </c>
      <c r="F8" s="31" t="str" cm="1">
        <f t="array" ref="F8">INDEX(Schwimmen_Umrechnung_Mädchen[ResultatMin_M]&amp;"'"&amp;TEXT(Schwimmen_Umrechnung_Mädchen[ResultatSek_M],"00")&amp;"''",MATCH(Schwimmen_Mädchen[[#This Row],[Resultat]],Schwimmen_Umrechnung_Mädchen[Resultat_M],0))</f>
        <v>3'30''</v>
      </c>
      <c r="G8" s="68">
        <v>3.5</v>
      </c>
      <c r="I8" s="65">
        <v>2</v>
      </c>
      <c r="J8" s="66">
        <v>45</v>
      </c>
      <c r="K8" s="67">
        <f>(Schwimmen_Umrechnung_Knaben[[#This Row],[ResultatMin_K]]*$K$1)+Schwimmen_Umrechnung_Knaben[[#This Row],[ResultatSek_K]]</f>
        <v>165</v>
      </c>
      <c r="M8">
        <v>3</v>
      </c>
      <c r="N8" s="62">
        <v>10</v>
      </c>
      <c r="O8">
        <f>(Schwimmen_Umrechnung_Mädchen[[#This Row],[ResultatMin_M]]*$K$1)+Schwimmen_Umrechnung_Mädchen[[#This Row],[ResultatSek_M]]</f>
        <v>190</v>
      </c>
    </row>
    <row r="9" spans="1:15">
      <c r="A9" s="31" cm="1">
        <f t="array" ref="A9">LARGE(Schwimmen_Umrechnung_Knaben[Resultat_K],ROW()-(ROW(Schwimmen_Knaben[#Headers])+1))</f>
        <v>165</v>
      </c>
      <c r="B9" s="31" t="str" cm="1">
        <f t="array" ref="B9">INDEX(Schwimmen_Umrechnung_Knaben[ResultatMin_K]&amp;"'"&amp;TEXT(Schwimmen_Umrechnung_Knaben[ResultatSek_K],"00")&amp;"''",MATCH(Schwimmen_Knaben[[#This Row],[Resultat]],Schwimmen_Umrechnung_Knaben[Resultat_K],0))</f>
        <v>2'45''</v>
      </c>
      <c r="C9" s="61">
        <v>4</v>
      </c>
      <c r="E9" s="31" cm="1">
        <f t="array" ref="E9">LARGE(Schwimmen_Umrechnung_Mädchen[Resultat_M],ROW()-(ROW(Schwimmen_Mädchen[#Headers])+1))</f>
        <v>190</v>
      </c>
      <c r="F9" s="31" t="str" cm="1">
        <f t="array" ref="F9">INDEX(Schwimmen_Umrechnung_Mädchen[ResultatMin_M]&amp;"'"&amp;TEXT(Schwimmen_Umrechnung_Mädchen[ResultatSek_M],"00")&amp;"''",MATCH(Schwimmen_Mädchen[[#This Row],[Resultat]],Schwimmen_Umrechnung_Mädchen[Resultat_M],0))</f>
        <v>3'10''</v>
      </c>
      <c r="G9" s="68">
        <v>4</v>
      </c>
      <c r="I9" s="65">
        <v>2</v>
      </c>
      <c r="J9" s="66">
        <v>25</v>
      </c>
      <c r="K9" s="67">
        <f>(Schwimmen_Umrechnung_Knaben[[#This Row],[ResultatMin_K]]*$K$1)+Schwimmen_Umrechnung_Knaben[[#This Row],[ResultatSek_K]]</f>
        <v>145</v>
      </c>
      <c r="M9">
        <v>2</v>
      </c>
      <c r="N9" s="62">
        <v>50</v>
      </c>
      <c r="O9">
        <f>(Schwimmen_Umrechnung_Mädchen[[#This Row],[ResultatMin_M]]*$K$1)+Schwimmen_Umrechnung_Mädchen[[#This Row],[ResultatSek_M]]</f>
        <v>170</v>
      </c>
    </row>
    <row r="10" spans="1:15">
      <c r="A10" s="31" cm="1">
        <f t="array" ref="A10">LARGE(Schwimmen_Umrechnung_Knaben[Resultat_K],ROW()-(ROW(Schwimmen_Knaben[#Headers])+1))</f>
        <v>145</v>
      </c>
      <c r="B10" s="31" t="str" cm="1">
        <f t="array" ref="B10">INDEX(Schwimmen_Umrechnung_Knaben[ResultatMin_K]&amp;"'"&amp;TEXT(Schwimmen_Umrechnung_Knaben[ResultatSek_K],"00")&amp;"''",MATCH(Schwimmen_Knaben[[#This Row],[Resultat]],Schwimmen_Umrechnung_Knaben[Resultat_K],0))</f>
        <v>2'25''</v>
      </c>
      <c r="C10" s="61">
        <v>4.5</v>
      </c>
      <c r="E10" s="31" cm="1">
        <f t="array" ref="E10">LARGE(Schwimmen_Umrechnung_Mädchen[Resultat_M],ROW()-(ROW(Schwimmen_Mädchen[#Headers])+1))</f>
        <v>170</v>
      </c>
      <c r="F10" s="31" t="str" cm="1">
        <f t="array" ref="F10">INDEX(Schwimmen_Umrechnung_Mädchen[ResultatMin_M]&amp;"'"&amp;TEXT(Schwimmen_Umrechnung_Mädchen[ResultatSek_M],"00")&amp;"''",MATCH(Schwimmen_Mädchen[[#This Row],[Resultat]],Schwimmen_Umrechnung_Mädchen[Resultat_M],0))</f>
        <v>2'50''</v>
      </c>
      <c r="G10" s="68">
        <v>4.5</v>
      </c>
      <c r="I10" s="65">
        <v>2</v>
      </c>
      <c r="J10" s="66">
        <v>10</v>
      </c>
      <c r="K10" s="67">
        <f>(Schwimmen_Umrechnung_Knaben[[#This Row],[ResultatMin_K]]*$K$1)+Schwimmen_Umrechnung_Knaben[[#This Row],[ResultatSek_K]]</f>
        <v>130</v>
      </c>
      <c r="M10">
        <v>2</v>
      </c>
      <c r="N10" s="62">
        <v>30</v>
      </c>
      <c r="O10">
        <f>(Schwimmen_Umrechnung_Mädchen[[#This Row],[ResultatMin_M]]*$K$1)+Schwimmen_Umrechnung_Mädchen[[#This Row],[ResultatSek_M]]</f>
        <v>150</v>
      </c>
    </row>
    <row r="11" spans="1:15">
      <c r="A11" s="31" cm="1">
        <f t="array" ref="A11">LARGE(Schwimmen_Umrechnung_Knaben[Resultat_K],ROW()-(ROW(Schwimmen_Knaben[#Headers])+1))</f>
        <v>130</v>
      </c>
      <c r="B11" s="31" t="str" cm="1">
        <f t="array" ref="B11">INDEX(Schwimmen_Umrechnung_Knaben[ResultatMin_K]&amp;"'"&amp;TEXT(Schwimmen_Umrechnung_Knaben[ResultatSek_K],"00")&amp;"''",MATCH(Schwimmen_Knaben[[#This Row],[Resultat]],Schwimmen_Umrechnung_Knaben[Resultat_K],0))</f>
        <v>2'10''</v>
      </c>
      <c r="C11" s="61">
        <v>5</v>
      </c>
      <c r="E11" s="31" cm="1">
        <f t="array" ref="E11">LARGE(Schwimmen_Umrechnung_Mädchen[Resultat_M],ROW()-(ROW(Schwimmen_Mädchen[#Headers])+1))</f>
        <v>150</v>
      </c>
      <c r="F11" s="31" t="str" cm="1">
        <f t="array" ref="F11">INDEX(Schwimmen_Umrechnung_Mädchen[ResultatMin_M]&amp;"'"&amp;TEXT(Schwimmen_Umrechnung_Mädchen[ResultatSek_M],"00")&amp;"''",MATCH(Schwimmen_Mädchen[[#This Row],[Resultat]],Schwimmen_Umrechnung_Mädchen[Resultat_M],0))</f>
        <v>2'30''</v>
      </c>
      <c r="G11" s="68">
        <v>5</v>
      </c>
      <c r="I11" s="65">
        <v>1</v>
      </c>
      <c r="J11" s="66">
        <v>55</v>
      </c>
      <c r="K11" s="67">
        <f>(Schwimmen_Umrechnung_Knaben[[#This Row],[ResultatMin_K]]*$K$1)+Schwimmen_Umrechnung_Knaben[[#This Row],[ResultatSek_K]]</f>
        <v>115</v>
      </c>
      <c r="M11">
        <v>2</v>
      </c>
      <c r="N11" s="62">
        <v>15</v>
      </c>
      <c r="O11">
        <f>(Schwimmen_Umrechnung_Mädchen[[#This Row],[ResultatMin_M]]*$K$1)+Schwimmen_Umrechnung_Mädchen[[#This Row],[ResultatSek_M]]</f>
        <v>135</v>
      </c>
    </row>
    <row r="12" spans="1:15">
      <c r="A12" s="31" cm="1">
        <f t="array" ref="A12">LARGE(Schwimmen_Umrechnung_Knaben[Resultat_K],ROW()-(ROW(Schwimmen_Knaben[#Headers])+1))</f>
        <v>115</v>
      </c>
      <c r="B12" s="31" t="str" cm="1">
        <f t="array" ref="B12">INDEX(Schwimmen_Umrechnung_Knaben[ResultatMin_K]&amp;"'"&amp;TEXT(Schwimmen_Umrechnung_Knaben[ResultatSek_K],"00")&amp;"''",MATCH(Schwimmen_Knaben[[#This Row],[Resultat]],Schwimmen_Umrechnung_Knaben[Resultat_K],0))</f>
        <v>1'55''</v>
      </c>
      <c r="C12" s="61">
        <v>5.5</v>
      </c>
      <c r="E12" s="31" cm="1">
        <f t="array" ref="E12">LARGE(Schwimmen_Umrechnung_Mädchen[Resultat_M],ROW()-(ROW(Schwimmen_Mädchen[#Headers])+1))</f>
        <v>135</v>
      </c>
      <c r="F12" s="31" t="str" cm="1">
        <f t="array" ref="F12">INDEX(Schwimmen_Umrechnung_Mädchen[ResultatMin_M]&amp;"'"&amp;TEXT(Schwimmen_Umrechnung_Mädchen[ResultatSek_M],"00")&amp;"''",MATCH(Schwimmen_Mädchen[[#This Row],[Resultat]],Schwimmen_Umrechnung_Mädchen[Resultat_M],0))</f>
        <v>2'15''</v>
      </c>
      <c r="G12" s="68">
        <v>5.5</v>
      </c>
      <c r="I12" s="65">
        <v>1</v>
      </c>
      <c r="J12" s="66">
        <v>45</v>
      </c>
      <c r="K12" s="67">
        <f>(Schwimmen_Umrechnung_Knaben[[#This Row],[ResultatMin_K]]*$K$1)+Schwimmen_Umrechnung_Knaben[[#This Row],[ResultatSek_K]]</f>
        <v>105</v>
      </c>
      <c r="M12">
        <v>2</v>
      </c>
      <c r="N12" s="62">
        <v>0</v>
      </c>
      <c r="O12">
        <f>(Schwimmen_Umrechnung_Mädchen[[#This Row],[ResultatMin_M]]*$K$1)+Schwimmen_Umrechnung_Mädchen[[#This Row],[ResultatSek_M]]</f>
        <v>120</v>
      </c>
    </row>
    <row r="13" spans="1:15">
      <c r="A13" s="31" cm="1">
        <f t="array" ref="A13">LARGE(Schwimmen_Umrechnung_Knaben[Resultat_K],ROW()-(ROW(Schwimmen_Knaben[#Headers])+1))</f>
        <v>105</v>
      </c>
      <c r="B13" s="31" t="str" cm="1">
        <f t="array" ref="B13">INDEX(Schwimmen_Umrechnung_Knaben[ResultatMin_K]&amp;"'"&amp;TEXT(Schwimmen_Umrechnung_Knaben[ResultatSek_K],"00")&amp;"''",MATCH(Schwimmen_Knaben[[#This Row],[Resultat]],Schwimmen_Umrechnung_Knaben[Resultat_K],0))</f>
        <v>1'45''</v>
      </c>
      <c r="C13" s="61">
        <v>6</v>
      </c>
      <c r="E13" s="31" cm="1">
        <f t="array" ref="E13">LARGE(Schwimmen_Umrechnung_Mädchen[Resultat_M],ROW()-(ROW(Schwimmen_Mädchen[#Headers])+1))</f>
        <v>120</v>
      </c>
      <c r="F13" s="31" t="str" cm="1">
        <f t="array" ref="F13">INDEX(Schwimmen_Umrechnung_Mädchen[ResultatMin_M]&amp;"'"&amp;TEXT(Schwimmen_Umrechnung_Mädchen[ResultatSek_M],"00")&amp;"''",MATCH(Schwimmen_Mädchen[[#This Row],[Resultat]],Schwimmen_Umrechnung_Mädchen[Resultat_M],0))</f>
        <v>2'00''</v>
      </c>
      <c r="G13" s="68">
        <v>6</v>
      </c>
      <c r="I13">
        <v>0</v>
      </c>
      <c r="J13" s="62">
        <v>0</v>
      </c>
      <c r="K13">
        <f>(Schwimmen_Umrechnung_Knaben[[#This Row],[ResultatMin_K]]*$K$1)+Schwimmen_Umrechnung_Knaben[[#This Row],[ResultatSek_K]]</f>
        <v>0</v>
      </c>
      <c r="M13">
        <v>0</v>
      </c>
      <c r="N13" s="62">
        <v>0</v>
      </c>
      <c r="O13">
        <f>(Schwimmen_Umrechnung_Mädchen[[#This Row],[ResultatMin_M]]*$K$1)+Schwimmen_Umrechnung_Mädchen[[#This Row],[ResultatSek_M]]</f>
        <v>0</v>
      </c>
    </row>
    <row r="14" spans="1:15">
      <c r="A14" s="54"/>
      <c r="E14" s="54"/>
      <c r="I14" s="54"/>
      <c r="J14" s="62"/>
      <c r="M14" s="54"/>
    </row>
    <row r="15" spans="1:15">
      <c r="J15" s="62"/>
    </row>
  </sheetData>
  <mergeCells count="4">
    <mergeCell ref="A2:C2"/>
    <mergeCell ref="E2:G2"/>
    <mergeCell ref="I2:K2"/>
    <mergeCell ref="M2:O2"/>
  </mergeCells>
  <pageMargins left="0.7" right="0.7" top="0.78740157499999996" bottom="0.78740157499999996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8"/>
  <dimension ref="A1:Y55"/>
  <sheetViews>
    <sheetView zoomScale="85" zoomScaleNormal="85" workbookViewId="0"/>
  </sheetViews>
  <sheetFormatPr baseColWidth="10" defaultRowHeight="15"/>
  <cols>
    <col min="2" max="2" width="12.28515625" bestFit="1" customWidth="1"/>
    <col min="3" max="3" width="1.140625" customWidth="1"/>
    <col min="5" max="5" width="12.28515625" bestFit="1" customWidth="1"/>
    <col min="6" max="6" width="2.7109375" customWidth="1"/>
    <col min="7" max="7" width="11.7109375" customWidth="1"/>
    <col min="8" max="8" width="12.28515625" bestFit="1" customWidth="1"/>
    <col min="9" max="9" width="1.140625" customWidth="1"/>
    <col min="10" max="10" width="11.7109375" customWidth="1"/>
    <col min="11" max="11" width="12.28515625" bestFit="1" customWidth="1"/>
    <col min="12" max="12" width="2.7109375" customWidth="1"/>
    <col min="13" max="13" width="11.7109375" customWidth="1"/>
    <col min="15" max="15" width="1.140625" customWidth="1"/>
    <col min="18" max="18" width="2.7109375" customWidth="1"/>
    <col min="19" max="19" width="11.7109375" customWidth="1"/>
    <col min="21" max="21" width="1.140625" customWidth="1"/>
    <col min="24" max="24" width="3.42578125" customWidth="1"/>
    <col min="25" max="35" width="11.5703125" customWidth="1"/>
  </cols>
  <sheetData>
    <row r="1" spans="1:25">
      <c r="A1" s="4" t="str">
        <f>INDEX(StdDisziplinen[Fähigkeit],27)</f>
        <v>Beweglichkeit</v>
      </c>
      <c r="G1" s="4" t="str">
        <f>INDEX(StdDisziplinen[Fähigkeit],28)</f>
        <v>Rumpfkraft</v>
      </c>
      <c r="M1" s="4" t="str">
        <f>INDEX(StdDisziplinen[StdDisziplin],29)</f>
        <v>Konditionsparcours</v>
      </c>
      <c r="P1" s="14" t="s">
        <v>106</v>
      </c>
      <c r="S1" s="4" t="str">
        <f>INDEX(StdDisziplinen[StdDisziplin],29)</f>
        <v>Konditionsparcours</v>
      </c>
      <c r="V1" s="14" t="s">
        <v>107</v>
      </c>
    </row>
    <row r="2" spans="1:25">
      <c r="A2" s="90" t="str">
        <f>INDEX(StdGeschlecht[StdGeschlecht],1)</f>
        <v>Knaben</v>
      </c>
      <c r="B2" s="90"/>
      <c r="C2" s="5"/>
      <c r="D2" s="90" t="str">
        <f>INDEX(StdGeschlecht[StdGeschlecht],2)</f>
        <v>Mädchen</v>
      </c>
      <c r="E2" s="90"/>
      <c r="G2" s="90" t="str">
        <f>INDEX(StdGeschlecht[StdGeschlecht],1)</f>
        <v>Knaben</v>
      </c>
      <c r="H2" s="90"/>
      <c r="I2" s="5"/>
      <c r="J2" s="90" t="str">
        <f>INDEX(StdGeschlecht[StdGeschlecht],2)</f>
        <v>Mädchen</v>
      </c>
      <c r="K2" s="90"/>
      <c r="M2" s="90" t="str">
        <f>Stammdaten!$E$6</f>
        <v>Knaben_K1</v>
      </c>
      <c r="N2" s="90"/>
      <c r="P2" s="90" t="str">
        <f>Stammdaten!$E$7</f>
        <v>Mädchen_M1</v>
      </c>
      <c r="Q2" s="90"/>
      <c r="S2" s="90" t="str">
        <f>Stammdaten!$F$6</f>
        <v>Knaben_K2</v>
      </c>
      <c r="T2" s="90"/>
      <c r="V2" s="90" t="str">
        <f>Stammdaten!$F$7</f>
        <v>Mädchen_M2</v>
      </c>
      <c r="W2" s="90"/>
      <c r="Y2" t="s">
        <v>86</v>
      </c>
    </row>
    <row r="3" spans="1:25">
      <c r="A3" t="s">
        <v>22</v>
      </c>
      <c r="B3" t="s">
        <v>7</v>
      </c>
      <c r="D3" t="s">
        <v>22</v>
      </c>
      <c r="E3" t="s">
        <v>7</v>
      </c>
      <c r="G3" t="s">
        <v>22</v>
      </c>
      <c r="H3" t="s">
        <v>7</v>
      </c>
      <c r="J3" t="s">
        <v>22</v>
      </c>
      <c r="K3" t="s">
        <v>7</v>
      </c>
      <c r="M3" s="1" t="s">
        <v>22</v>
      </c>
      <c r="N3" s="1" t="s">
        <v>7</v>
      </c>
      <c r="P3" s="9" t="s">
        <v>22</v>
      </c>
      <c r="Q3" s="1" t="s">
        <v>7</v>
      </c>
      <c r="S3" s="1" t="s">
        <v>22</v>
      </c>
      <c r="T3" s="1" t="s">
        <v>7</v>
      </c>
      <c r="V3" s="9" t="s">
        <v>22</v>
      </c>
      <c r="W3" s="1" t="s">
        <v>7</v>
      </c>
      <c r="Y3" t="s">
        <v>87</v>
      </c>
    </row>
    <row r="4" spans="1:25">
      <c r="A4" s="8">
        <v>-1</v>
      </c>
      <c r="B4" t="s">
        <v>89</v>
      </c>
      <c r="D4" s="8">
        <v>0</v>
      </c>
      <c r="E4" t="s">
        <v>89</v>
      </c>
      <c r="G4" s="8">
        <v>89</v>
      </c>
      <c r="H4" t="s">
        <v>89</v>
      </c>
      <c r="J4" s="8">
        <v>69</v>
      </c>
      <c r="K4" t="s">
        <v>89</v>
      </c>
      <c r="M4" s="8">
        <v>55</v>
      </c>
      <c r="N4" s="2">
        <v>1</v>
      </c>
      <c r="P4" s="8">
        <v>40</v>
      </c>
      <c r="Q4" s="2">
        <v>1</v>
      </c>
      <c r="S4" s="8">
        <v>55</v>
      </c>
      <c r="T4" s="2">
        <v>1</v>
      </c>
      <c r="V4" s="8">
        <v>40</v>
      </c>
      <c r="W4" s="2">
        <v>1</v>
      </c>
      <c r="Y4" t="s">
        <v>88</v>
      </c>
    </row>
    <row r="5" spans="1:25">
      <c r="A5" s="8">
        <v>0</v>
      </c>
      <c r="B5" t="s">
        <v>88</v>
      </c>
      <c r="D5" s="8">
        <v>1</v>
      </c>
      <c r="E5" t="s">
        <v>88</v>
      </c>
      <c r="G5" s="8">
        <v>90</v>
      </c>
      <c r="H5" t="s">
        <v>88</v>
      </c>
      <c r="J5" s="8">
        <v>70</v>
      </c>
      <c r="K5" t="s">
        <v>88</v>
      </c>
      <c r="M5" s="8">
        <v>57</v>
      </c>
      <c r="N5" s="2">
        <v>1.1000000000000001</v>
      </c>
      <c r="P5" s="8">
        <v>42</v>
      </c>
      <c r="Q5" s="2">
        <v>1.1000000000000001</v>
      </c>
      <c r="S5" s="8">
        <v>57</v>
      </c>
      <c r="T5" s="2">
        <v>1.1000000000000001</v>
      </c>
      <c r="V5" s="8">
        <v>42</v>
      </c>
      <c r="W5" s="2">
        <v>1.1000000000000001</v>
      </c>
      <c r="Y5" t="s">
        <v>89</v>
      </c>
    </row>
    <row r="6" spans="1:25">
      <c r="A6" s="8">
        <v>2</v>
      </c>
      <c r="B6" t="s">
        <v>88</v>
      </c>
      <c r="D6" s="8">
        <v>2</v>
      </c>
      <c r="E6" t="s">
        <v>88</v>
      </c>
      <c r="G6" s="8">
        <v>91</v>
      </c>
      <c r="H6" t="s">
        <v>88</v>
      </c>
      <c r="J6" s="8">
        <v>71</v>
      </c>
      <c r="K6" t="s">
        <v>88</v>
      </c>
      <c r="M6" s="8">
        <v>59</v>
      </c>
      <c r="N6" s="2">
        <v>1.2</v>
      </c>
      <c r="P6" s="8">
        <v>44</v>
      </c>
      <c r="Q6" s="2">
        <v>1.2</v>
      </c>
      <c r="S6" s="8">
        <v>59</v>
      </c>
      <c r="T6" s="2">
        <v>1.2</v>
      </c>
      <c r="V6" s="8">
        <v>44</v>
      </c>
      <c r="W6" s="2">
        <v>1.2</v>
      </c>
    </row>
    <row r="7" spans="1:25">
      <c r="A7" s="8">
        <v>3</v>
      </c>
      <c r="B7" t="s">
        <v>88</v>
      </c>
      <c r="D7" s="8">
        <v>3</v>
      </c>
      <c r="E7" t="s">
        <v>88</v>
      </c>
      <c r="G7" s="8">
        <v>92</v>
      </c>
      <c r="H7" t="s">
        <v>88</v>
      </c>
      <c r="J7" s="8">
        <v>72</v>
      </c>
      <c r="K7" t="s">
        <v>88</v>
      </c>
      <c r="M7" s="8">
        <v>61</v>
      </c>
      <c r="N7" s="2">
        <v>1.3</v>
      </c>
      <c r="P7" s="8">
        <v>46</v>
      </c>
      <c r="Q7" s="2">
        <v>1.3</v>
      </c>
      <c r="S7" s="8">
        <v>61</v>
      </c>
      <c r="T7" s="2">
        <v>1.3</v>
      </c>
      <c r="V7" s="8">
        <v>46</v>
      </c>
      <c r="W7" s="2">
        <v>1.3</v>
      </c>
    </row>
    <row r="8" spans="1:25">
      <c r="A8" s="8">
        <v>4</v>
      </c>
      <c r="B8" t="s">
        <v>88</v>
      </c>
      <c r="D8" s="8">
        <v>4</v>
      </c>
      <c r="E8" t="s">
        <v>88</v>
      </c>
      <c r="G8" s="8">
        <v>93</v>
      </c>
      <c r="H8" t="s">
        <v>88</v>
      </c>
      <c r="J8" s="8">
        <v>73</v>
      </c>
      <c r="K8" t="s">
        <v>88</v>
      </c>
      <c r="M8" s="8">
        <v>63</v>
      </c>
      <c r="N8" s="2">
        <v>1.4</v>
      </c>
      <c r="P8" s="8">
        <v>48</v>
      </c>
      <c r="Q8" s="2">
        <v>1.4</v>
      </c>
      <c r="S8" s="8">
        <v>63</v>
      </c>
      <c r="T8" s="2">
        <v>1.4</v>
      </c>
      <c r="V8" s="8">
        <v>48</v>
      </c>
      <c r="W8" s="2">
        <v>1.4</v>
      </c>
    </row>
    <row r="9" spans="1:25">
      <c r="A9" s="8">
        <v>5</v>
      </c>
      <c r="B9" t="s">
        <v>88</v>
      </c>
      <c r="D9" s="8">
        <v>5</v>
      </c>
      <c r="E9" t="s">
        <v>88</v>
      </c>
      <c r="G9" s="8">
        <v>94</v>
      </c>
      <c r="H9" t="s">
        <v>88</v>
      </c>
      <c r="J9" s="8">
        <v>74</v>
      </c>
      <c r="K9" t="s">
        <v>88</v>
      </c>
      <c r="M9" s="8">
        <v>65</v>
      </c>
      <c r="N9" s="2">
        <v>1.5</v>
      </c>
      <c r="P9" s="8">
        <v>50</v>
      </c>
      <c r="Q9" s="2">
        <v>1.5</v>
      </c>
      <c r="S9" s="8">
        <v>65</v>
      </c>
      <c r="T9" s="2">
        <v>1.5</v>
      </c>
      <c r="V9" s="8">
        <v>50</v>
      </c>
      <c r="W9" s="2">
        <v>1.5</v>
      </c>
    </row>
    <row r="10" spans="1:25">
      <c r="A10" s="8">
        <v>6</v>
      </c>
      <c r="B10" t="s">
        <v>87</v>
      </c>
      <c r="D10" s="8">
        <v>6</v>
      </c>
      <c r="E10" t="s">
        <v>88</v>
      </c>
      <c r="G10" s="8">
        <v>95</v>
      </c>
      <c r="H10" t="s">
        <v>88</v>
      </c>
      <c r="J10" s="8">
        <v>75</v>
      </c>
      <c r="K10" t="s">
        <v>88</v>
      </c>
      <c r="M10" s="8">
        <v>67</v>
      </c>
      <c r="N10" s="2">
        <v>1.6</v>
      </c>
      <c r="P10" s="8">
        <v>52</v>
      </c>
      <c r="Q10" s="2">
        <v>1.6</v>
      </c>
      <c r="S10" s="8">
        <v>67</v>
      </c>
      <c r="T10" s="2">
        <v>1.6</v>
      </c>
      <c r="V10" s="8">
        <v>52</v>
      </c>
      <c r="W10" s="2">
        <v>1.6</v>
      </c>
    </row>
    <row r="11" spans="1:25">
      <c r="A11" s="8">
        <v>7</v>
      </c>
      <c r="B11" t="s">
        <v>87</v>
      </c>
      <c r="D11" s="8">
        <v>7</v>
      </c>
      <c r="E11" t="s">
        <v>88</v>
      </c>
      <c r="G11" s="8">
        <v>96</v>
      </c>
      <c r="H11" t="s">
        <v>88</v>
      </c>
      <c r="J11" s="8">
        <v>76</v>
      </c>
      <c r="K11" t="s">
        <v>88</v>
      </c>
      <c r="M11" s="8">
        <v>69</v>
      </c>
      <c r="N11" s="2">
        <v>1.7</v>
      </c>
      <c r="P11" s="8">
        <v>54</v>
      </c>
      <c r="Q11" s="2">
        <v>1.7</v>
      </c>
      <c r="S11" s="8">
        <v>69</v>
      </c>
      <c r="T11" s="2">
        <v>1.7</v>
      </c>
      <c r="V11" s="8">
        <v>54</v>
      </c>
      <c r="W11" s="2">
        <v>1.7</v>
      </c>
    </row>
    <row r="12" spans="1:25">
      <c r="A12" s="8">
        <v>8</v>
      </c>
      <c r="B12" t="s">
        <v>87</v>
      </c>
      <c r="D12" s="8">
        <v>8</v>
      </c>
      <c r="E12" t="s">
        <v>88</v>
      </c>
      <c r="G12" s="8">
        <v>97</v>
      </c>
      <c r="H12" t="s">
        <v>88</v>
      </c>
      <c r="J12" s="8">
        <v>77</v>
      </c>
      <c r="K12" t="s">
        <v>88</v>
      </c>
      <c r="M12" s="8">
        <v>71</v>
      </c>
      <c r="N12" s="2">
        <v>1.8</v>
      </c>
      <c r="P12" s="8">
        <v>56</v>
      </c>
      <c r="Q12" s="2">
        <v>1.8</v>
      </c>
      <c r="S12" s="8">
        <v>71</v>
      </c>
      <c r="T12" s="2">
        <v>1.8</v>
      </c>
      <c r="V12" s="8">
        <v>56</v>
      </c>
      <c r="W12" s="2">
        <v>1.8</v>
      </c>
    </row>
    <row r="13" spans="1:25">
      <c r="A13" s="8">
        <v>9</v>
      </c>
      <c r="B13" t="s">
        <v>87</v>
      </c>
      <c r="D13" s="8">
        <v>9</v>
      </c>
      <c r="E13" t="s">
        <v>88</v>
      </c>
      <c r="G13" s="8">
        <v>98</v>
      </c>
      <c r="H13" t="s">
        <v>88</v>
      </c>
      <c r="J13" s="8">
        <v>78</v>
      </c>
      <c r="K13" t="s">
        <v>88</v>
      </c>
      <c r="M13" s="8">
        <v>73</v>
      </c>
      <c r="N13" s="2">
        <v>1.9</v>
      </c>
      <c r="P13" s="8">
        <v>58</v>
      </c>
      <c r="Q13" s="2">
        <v>1.9</v>
      </c>
      <c r="S13" s="8">
        <v>73</v>
      </c>
      <c r="T13" s="2">
        <v>1.9</v>
      </c>
      <c r="V13" s="8">
        <v>58</v>
      </c>
      <c r="W13" s="2">
        <v>1.9</v>
      </c>
    </row>
    <row r="14" spans="1:25">
      <c r="A14" s="8">
        <v>10</v>
      </c>
      <c r="B14" t="s">
        <v>87</v>
      </c>
      <c r="D14" s="8">
        <v>10</v>
      </c>
      <c r="E14" t="s">
        <v>88</v>
      </c>
      <c r="G14" s="8">
        <v>99</v>
      </c>
      <c r="H14" t="s">
        <v>88</v>
      </c>
      <c r="J14" s="8">
        <v>79</v>
      </c>
      <c r="K14" t="s">
        <v>88</v>
      </c>
      <c r="M14" s="8">
        <v>75</v>
      </c>
      <c r="N14" s="2">
        <v>2</v>
      </c>
      <c r="P14" s="8">
        <v>60</v>
      </c>
      <c r="Q14" s="2">
        <v>2</v>
      </c>
      <c r="S14" s="8">
        <v>75</v>
      </c>
      <c r="T14" s="2">
        <v>2</v>
      </c>
      <c r="V14" s="8">
        <v>60</v>
      </c>
      <c r="W14" s="2">
        <v>2</v>
      </c>
    </row>
    <row r="15" spans="1:25">
      <c r="A15" s="8">
        <v>11</v>
      </c>
      <c r="B15" t="s">
        <v>87</v>
      </c>
      <c r="D15" s="8">
        <v>11</v>
      </c>
      <c r="E15" t="str">
        <f t="shared" ref="E15:E24" si="0">$Y$3</f>
        <v>Gut</v>
      </c>
      <c r="G15" s="8">
        <v>100</v>
      </c>
      <c r="H15" t="s">
        <v>87</v>
      </c>
      <c r="J15" s="8">
        <v>80</v>
      </c>
      <c r="K15" t="s">
        <v>88</v>
      </c>
      <c r="M15" s="8">
        <v>77</v>
      </c>
      <c r="N15" s="2">
        <v>2.1</v>
      </c>
      <c r="P15" s="8">
        <v>62</v>
      </c>
      <c r="Q15" s="2">
        <v>2.1</v>
      </c>
      <c r="S15" s="8">
        <v>77</v>
      </c>
      <c r="T15" s="2">
        <v>2.1</v>
      </c>
      <c r="V15" s="8">
        <v>62</v>
      </c>
      <c r="W15" s="2">
        <v>2.1</v>
      </c>
    </row>
    <row r="16" spans="1:25">
      <c r="A16" s="8">
        <v>12</v>
      </c>
      <c r="B16" t="s">
        <v>87</v>
      </c>
      <c r="D16" s="8">
        <v>12</v>
      </c>
      <c r="E16" t="str">
        <f t="shared" si="0"/>
        <v>Gut</v>
      </c>
      <c r="G16" s="8">
        <v>101</v>
      </c>
      <c r="H16" t="s">
        <v>87</v>
      </c>
      <c r="J16" s="8">
        <v>81</v>
      </c>
      <c r="K16" t="s">
        <v>88</v>
      </c>
      <c r="M16" s="8">
        <v>79</v>
      </c>
      <c r="N16" s="2">
        <v>2.2000000000000002</v>
      </c>
      <c r="P16" s="8">
        <v>64</v>
      </c>
      <c r="Q16" s="2">
        <v>2.2000000000000002</v>
      </c>
      <c r="S16" s="8">
        <v>79</v>
      </c>
      <c r="T16" s="2">
        <v>2.2000000000000002</v>
      </c>
      <c r="V16" s="8">
        <v>64</v>
      </c>
      <c r="W16" s="2">
        <v>2.2000000000000002</v>
      </c>
    </row>
    <row r="17" spans="1:23">
      <c r="A17" s="8">
        <v>13</v>
      </c>
      <c r="B17" t="s">
        <v>87</v>
      </c>
      <c r="D17" s="8">
        <v>13</v>
      </c>
      <c r="E17" t="str">
        <f t="shared" si="0"/>
        <v>Gut</v>
      </c>
      <c r="G17" s="8">
        <v>102</v>
      </c>
      <c r="H17" t="s">
        <v>87</v>
      </c>
      <c r="J17" s="8">
        <v>82</v>
      </c>
      <c r="K17" t="s">
        <v>88</v>
      </c>
      <c r="M17" s="8">
        <v>81</v>
      </c>
      <c r="N17" s="2">
        <v>2.2999999999999998</v>
      </c>
      <c r="P17" s="8">
        <v>66</v>
      </c>
      <c r="Q17" s="2">
        <v>2.2999999999999998</v>
      </c>
      <c r="S17" s="8">
        <v>81</v>
      </c>
      <c r="T17" s="2">
        <v>2.2999999999999998</v>
      </c>
      <c r="V17" s="8">
        <v>66</v>
      </c>
      <c r="W17" s="2">
        <v>2.2999999999999998</v>
      </c>
    </row>
    <row r="18" spans="1:23">
      <c r="A18" s="8">
        <v>14</v>
      </c>
      <c r="B18" t="s">
        <v>87</v>
      </c>
      <c r="D18" s="8">
        <v>14</v>
      </c>
      <c r="E18" t="str">
        <f t="shared" si="0"/>
        <v>Gut</v>
      </c>
      <c r="G18" s="8">
        <v>103</v>
      </c>
      <c r="H18" t="s">
        <v>87</v>
      </c>
      <c r="J18" s="8">
        <v>83</v>
      </c>
      <c r="K18" t="s">
        <v>88</v>
      </c>
      <c r="M18" s="8">
        <v>83</v>
      </c>
      <c r="N18" s="2">
        <v>2.4</v>
      </c>
      <c r="P18" s="8">
        <v>68</v>
      </c>
      <c r="Q18" s="2">
        <v>2.4</v>
      </c>
      <c r="S18" s="8">
        <v>83</v>
      </c>
      <c r="T18" s="2">
        <v>2.4</v>
      </c>
      <c r="V18" s="8">
        <v>68</v>
      </c>
      <c r="W18" s="2">
        <v>2.4</v>
      </c>
    </row>
    <row r="19" spans="1:23">
      <c r="A19" s="8">
        <v>15</v>
      </c>
      <c r="B19" t="s">
        <v>87</v>
      </c>
      <c r="D19" s="8">
        <v>15</v>
      </c>
      <c r="E19" t="str">
        <f t="shared" si="0"/>
        <v>Gut</v>
      </c>
      <c r="G19" s="8">
        <v>104</v>
      </c>
      <c r="H19" t="s">
        <v>87</v>
      </c>
      <c r="J19" s="8">
        <v>84</v>
      </c>
      <c r="K19" t="s">
        <v>88</v>
      </c>
      <c r="M19" s="8">
        <v>85</v>
      </c>
      <c r="N19" s="2">
        <v>2.5</v>
      </c>
      <c r="P19" s="8">
        <v>70</v>
      </c>
      <c r="Q19" s="2">
        <v>2.5</v>
      </c>
      <c r="S19" s="8">
        <v>85</v>
      </c>
      <c r="T19" s="2">
        <v>2.5</v>
      </c>
      <c r="V19" s="8">
        <v>70</v>
      </c>
      <c r="W19" s="2">
        <v>2.5</v>
      </c>
    </row>
    <row r="20" spans="1:23">
      <c r="A20" s="8">
        <v>16</v>
      </c>
      <c r="B20" t="s">
        <v>87</v>
      </c>
      <c r="D20" s="8">
        <v>16</v>
      </c>
      <c r="E20" t="str">
        <f t="shared" si="0"/>
        <v>Gut</v>
      </c>
      <c r="G20" s="8">
        <v>105</v>
      </c>
      <c r="H20" t="s">
        <v>87</v>
      </c>
      <c r="J20" s="8">
        <v>85</v>
      </c>
      <c r="K20" t="s">
        <v>88</v>
      </c>
      <c r="M20" s="8">
        <v>87</v>
      </c>
      <c r="N20" s="2">
        <v>2.6</v>
      </c>
      <c r="P20" s="8">
        <v>72</v>
      </c>
      <c r="Q20" s="2">
        <v>2.6</v>
      </c>
      <c r="S20" s="8">
        <v>87</v>
      </c>
      <c r="T20" s="2">
        <v>2.6</v>
      </c>
      <c r="V20" s="8">
        <v>72</v>
      </c>
      <c r="W20" s="2">
        <v>2.6</v>
      </c>
    </row>
    <row r="21" spans="1:23">
      <c r="A21" s="8">
        <v>17</v>
      </c>
      <c r="B21" t="s">
        <v>86</v>
      </c>
      <c r="D21" s="8">
        <v>17</v>
      </c>
      <c r="E21" t="str">
        <f t="shared" si="0"/>
        <v>Gut</v>
      </c>
      <c r="G21" s="8">
        <v>106</v>
      </c>
      <c r="H21" t="s">
        <v>87</v>
      </c>
      <c r="J21" s="8">
        <v>86</v>
      </c>
      <c r="K21" t="s">
        <v>88</v>
      </c>
      <c r="M21" s="8">
        <v>89</v>
      </c>
      <c r="N21" s="2">
        <v>2.7</v>
      </c>
      <c r="P21" s="8">
        <v>74</v>
      </c>
      <c r="Q21" s="2">
        <v>2.7</v>
      </c>
      <c r="S21" s="8">
        <v>89</v>
      </c>
      <c r="T21" s="2">
        <v>2.7</v>
      </c>
      <c r="V21" s="8">
        <v>74</v>
      </c>
      <c r="W21" s="2">
        <v>2.7</v>
      </c>
    </row>
    <row r="22" spans="1:23">
      <c r="A22" s="35"/>
      <c r="D22" s="8">
        <v>18</v>
      </c>
      <c r="E22" t="str">
        <f t="shared" si="0"/>
        <v>Gut</v>
      </c>
      <c r="G22" s="8">
        <v>107</v>
      </c>
      <c r="H22" t="s">
        <v>87</v>
      </c>
      <c r="J22" s="8">
        <v>87</v>
      </c>
      <c r="K22" t="s">
        <v>88</v>
      </c>
      <c r="M22" s="8">
        <v>91</v>
      </c>
      <c r="N22" s="2">
        <v>2.8</v>
      </c>
      <c r="P22" s="8">
        <v>76</v>
      </c>
      <c r="Q22" s="2">
        <v>2.8</v>
      </c>
      <c r="S22" s="8">
        <v>91</v>
      </c>
      <c r="T22" s="2">
        <v>2.8</v>
      </c>
      <c r="V22" s="8">
        <v>76</v>
      </c>
      <c r="W22" s="2">
        <v>2.8</v>
      </c>
    </row>
    <row r="23" spans="1:23">
      <c r="D23" s="8">
        <v>19</v>
      </c>
      <c r="E23" t="str">
        <f t="shared" si="0"/>
        <v>Gut</v>
      </c>
      <c r="G23" s="8">
        <v>108</v>
      </c>
      <c r="H23" t="s">
        <v>87</v>
      </c>
      <c r="J23" s="8">
        <v>88</v>
      </c>
      <c r="K23" t="s">
        <v>88</v>
      </c>
      <c r="M23" s="8">
        <v>93</v>
      </c>
      <c r="N23" s="2">
        <v>2.9</v>
      </c>
      <c r="P23" s="8">
        <v>78</v>
      </c>
      <c r="Q23" s="2">
        <v>2.9</v>
      </c>
      <c r="S23" s="8">
        <v>93</v>
      </c>
      <c r="T23" s="2">
        <v>2.9</v>
      </c>
      <c r="V23" s="8">
        <v>78</v>
      </c>
      <c r="W23" s="2">
        <v>2.9</v>
      </c>
    </row>
    <row r="24" spans="1:23">
      <c r="A24" s="7"/>
      <c r="D24" s="8">
        <v>20</v>
      </c>
      <c r="E24" t="str">
        <f t="shared" si="0"/>
        <v>Gut</v>
      </c>
      <c r="G24" s="8">
        <v>109</v>
      </c>
      <c r="H24" t="s">
        <v>87</v>
      </c>
      <c r="J24" s="8">
        <v>89</v>
      </c>
      <c r="K24" t="s">
        <v>88</v>
      </c>
      <c r="M24" s="8">
        <v>95</v>
      </c>
      <c r="N24" s="2">
        <v>3</v>
      </c>
      <c r="P24" s="8">
        <v>80</v>
      </c>
      <c r="Q24" s="2">
        <v>3</v>
      </c>
      <c r="S24" s="8">
        <v>95</v>
      </c>
      <c r="T24" s="2">
        <v>3</v>
      </c>
      <c r="V24" s="8">
        <v>80</v>
      </c>
      <c r="W24" s="2">
        <v>3</v>
      </c>
    </row>
    <row r="25" spans="1:23">
      <c r="A25" s="3"/>
      <c r="D25" s="8">
        <v>21</v>
      </c>
      <c r="E25" t="str">
        <f>$Y$2</f>
        <v>Sehr gut</v>
      </c>
      <c r="G25" s="8">
        <v>110</v>
      </c>
      <c r="H25" t="s">
        <v>87</v>
      </c>
      <c r="J25" s="8">
        <v>90</v>
      </c>
      <c r="K25" t="s">
        <v>87</v>
      </c>
      <c r="M25" s="8">
        <v>97</v>
      </c>
      <c r="N25" s="2">
        <v>3.1</v>
      </c>
      <c r="P25" s="8">
        <v>82</v>
      </c>
      <c r="Q25" s="2">
        <v>3.1</v>
      </c>
      <c r="S25" s="8">
        <v>97</v>
      </c>
      <c r="T25" s="2">
        <v>3.1</v>
      </c>
      <c r="V25" s="8">
        <v>82</v>
      </c>
      <c r="W25" s="2">
        <v>3.1</v>
      </c>
    </row>
    <row r="26" spans="1:23">
      <c r="D26" s="35"/>
      <c r="G26" s="8">
        <v>111</v>
      </c>
      <c r="H26" t="s">
        <v>87</v>
      </c>
      <c r="J26" s="8">
        <v>91</v>
      </c>
      <c r="K26" t="s">
        <v>87</v>
      </c>
      <c r="M26" s="8">
        <v>99</v>
      </c>
      <c r="N26" s="2">
        <v>3.2</v>
      </c>
      <c r="P26" s="8">
        <v>84</v>
      </c>
      <c r="Q26" s="2">
        <v>3.2</v>
      </c>
      <c r="S26" s="8">
        <v>99</v>
      </c>
      <c r="T26" s="2">
        <v>3.2</v>
      </c>
      <c r="V26" s="8">
        <v>84</v>
      </c>
      <c r="W26" s="2">
        <v>3.2</v>
      </c>
    </row>
    <row r="27" spans="1:23">
      <c r="G27" s="8">
        <v>112</v>
      </c>
      <c r="H27" t="s">
        <v>87</v>
      </c>
      <c r="J27" s="8">
        <v>92</v>
      </c>
      <c r="K27" t="s">
        <v>87</v>
      </c>
      <c r="M27" s="8">
        <v>101</v>
      </c>
      <c r="N27" s="2">
        <v>3.3</v>
      </c>
      <c r="P27" s="8">
        <v>86</v>
      </c>
      <c r="Q27" s="2">
        <v>3.3</v>
      </c>
      <c r="S27" s="8">
        <v>101</v>
      </c>
      <c r="T27" s="2">
        <v>3.3</v>
      </c>
      <c r="V27" s="8">
        <v>86</v>
      </c>
      <c r="W27" s="2">
        <v>3.3</v>
      </c>
    </row>
    <row r="28" spans="1:23">
      <c r="G28" s="8">
        <v>113</v>
      </c>
      <c r="H28" t="s">
        <v>87</v>
      </c>
      <c r="J28" s="8">
        <v>93</v>
      </c>
      <c r="K28" t="s">
        <v>87</v>
      </c>
      <c r="M28" s="8">
        <v>103</v>
      </c>
      <c r="N28" s="2">
        <v>3.4</v>
      </c>
      <c r="P28" s="8">
        <v>88</v>
      </c>
      <c r="Q28" s="2">
        <v>3.4</v>
      </c>
      <c r="S28" s="8">
        <v>103</v>
      </c>
      <c r="T28" s="2">
        <v>3.4</v>
      </c>
      <c r="V28" s="8">
        <v>88</v>
      </c>
      <c r="W28" s="2">
        <v>3.4</v>
      </c>
    </row>
    <row r="29" spans="1:23">
      <c r="G29" s="8">
        <v>114</v>
      </c>
      <c r="H29" t="s">
        <v>87</v>
      </c>
      <c r="J29" s="8">
        <v>94</v>
      </c>
      <c r="K29" t="s">
        <v>87</v>
      </c>
      <c r="M29" s="8">
        <v>105</v>
      </c>
      <c r="N29" s="2">
        <v>3.5</v>
      </c>
      <c r="P29" s="8">
        <v>90</v>
      </c>
      <c r="Q29" s="2">
        <v>3.5</v>
      </c>
      <c r="S29" s="8">
        <v>105</v>
      </c>
      <c r="T29" s="2">
        <v>3.5</v>
      </c>
      <c r="V29" s="8">
        <v>90</v>
      </c>
      <c r="W29" s="2">
        <v>3.5</v>
      </c>
    </row>
    <row r="30" spans="1:23">
      <c r="G30" s="8">
        <v>115</v>
      </c>
      <c r="H30" t="s">
        <v>87</v>
      </c>
      <c r="J30" s="8">
        <v>95</v>
      </c>
      <c r="K30" t="s">
        <v>87</v>
      </c>
      <c r="M30" s="8">
        <v>107</v>
      </c>
      <c r="N30" s="2">
        <v>3.6</v>
      </c>
      <c r="P30" s="8">
        <v>92</v>
      </c>
      <c r="Q30" s="2">
        <v>3.6</v>
      </c>
      <c r="S30" s="8">
        <v>107</v>
      </c>
      <c r="T30" s="2">
        <v>3.6</v>
      </c>
      <c r="V30" s="8">
        <v>92</v>
      </c>
      <c r="W30" s="2">
        <v>3.6</v>
      </c>
    </row>
    <row r="31" spans="1:23">
      <c r="G31" s="8">
        <v>116</v>
      </c>
      <c r="H31" t="s">
        <v>87</v>
      </c>
      <c r="J31" s="8">
        <v>96</v>
      </c>
      <c r="K31" t="s">
        <v>87</v>
      </c>
      <c r="M31" s="8">
        <v>109</v>
      </c>
      <c r="N31" s="2">
        <v>3.7</v>
      </c>
      <c r="P31" s="8">
        <v>94</v>
      </c>
      <c r="Q31" s="2">
        <v>3.7</v>
      </c>
      <c r="S31" s="8">
        <v>109</v>
      </c>
      <c r="T31" s="2">
        <v>3.7</v>
      </c>
      <c r="V31" s="8">
        <v>94</v>
      </c>
      <c r="W31" s="2">
        <v>3.7</v>
      </c>
    </row>
    <row r="32" spans="1:23">
      <c r="G32" s="8">
        <v>117</v>
      </c>
      <c r="H32" t="s">
        <v>87</v>
      </c>
      <c r="J32" s="8">
        <v>97</v>
      </c>
      <c r="K32" t="s">
        <v>87</v>
      </c>
      <c r="M32" s="8">
        <v>111</v>
      </c>
      <c r="N32" s="2">
        <v>3.8</v>
      </c>
      <c r="P32" s="8">
        <v>96</v>
      </c>
      <c r="Q32" s="2">
        <v>3.8</v>
      </c>
      <c r="S32" s="8">
        <v>111</v>
      </c>
      <c r="T32" s="2">
        <v>3.8</v>
      </c>
      <c r="V32" s="8">
        <v>96</v>
      </c>
      <c r="W32" s="2">
        <v>3.8</v>
      </c>
    </row>
    <row r="33" spans="7:23">
      <c r="G33" s="8">
        <v>118</v>
      </c>
      <c r="H33" t="s">
        <v>87</v>
      </c>
      <c r="J33" s="8">
        <v>98</v>
      </c>
      <c r="K33" t="s">
        <v>87</v>
      </c>
      <c r="M33" s="8">
        <v>113</v>
      </c>
      <c r="N33" s="2">
        <v>3.9</v>
      </c>
      <c r="P33" s="8">
        <v>98</v>
      </c>
      <c r="Q33" s="2">
        <v>3.9</v>
      </c>
      <c r="S33" s="8">
        <v>113</v>
      </c>
      <c r="T33" s="2">
        <v>3.9</v>
      </c>
      <c r="V33" s="8">
        <v>98</v>
      </c>
      <c r="W33" s="2">
        <v>3.9</v>
      </c>
    </row>
    <row r="34" spans="7:23">
      <c r="G34" s="8">
        <v>119</v>
      </c>
      <c r="H34" t="s">
        <v>87</v>
      </c>
      <c r="J34" s="8">
        <v>99</v>
      </c>
      <c r="K34" t="s">
        <v>87</v>
      </c>
      <c r="M34" s="8">
        <v>115</v>
      </c>
      <c r="N34" s="2">
        <v>4</v>
      </c>
      <c r="P34" s="8">
        <v>100</v>
      </c>
      <c r="Q34" s="2">
        <v>4</v>
      </c>
      <c r="S34" s="8">
        <v>115</v>
      </c>
      <c r="T34" s="2">
        <v>4</v>
      </c>
      <c r="V34" s="8">
        <v>100</v>
      </c>
      <c r="W34" s="2">
        <v>4</v>
      </c>
    </row>
    <row r="35" spans="7:23">
      <c r="G35" s="8">
        <v>120</v>
      </c>
      <c r="H35" t="s">
        <v>86</v>
      </c>
      <c r="J35" s="8">
        <v>100</v>
      </c>
      <c r="K35" t="s">
        <v>87</v>
      </c>
      <c r="M35" s="8">
        <v>117</v>
      </c>
      <c r="N35" s="2">
        <v>4.0999999999999996</v>
      </c>
      <c r="P35" s="8">
        <v>102</v>
      </c>
      <c r="Q35" s="2">
        <v>4.0999999999999996</v>
      </c>
      <c r="S35" s="8">
        <v>117</v>
      </c>
      <c r="T35" s="2">
        <v>4.0999999999999996</v>
      </c>
      <c r="V35" s="8">
        <v>102</v>
      </c>
      <c r="W35" s="2">
        <v>4.0999999999999996</v>
      </c>
    </row>
    <row r="36" spans="7:23">
      <c r="G36" s="35"/>
      <c r="J36" s="8">
        <v>101</v>
      </c>
      <c r="K36" t="s">
        <v>87</v>
      </c>
      <c r="M36" s="8">
        <v>119</v>
      </c>
      <c r="N36" s="2">
        <v>4.2</v>
      </c>
      <c r="P36" s="8">
        <v>104</v>
      </c>
      <c r="Q36" s="2">
        <v>4.2</v>
      </c>
      <c r="S36" s="8">
        <v>119</v>
      </c>
      <c r="T36" s="2">
        <v>4.2</v>
      </c>
      <c r="V36" s="8">
        <v>104</v>
      </c>
      <c r="W36" s="2">
        <v>4.2</v>
      </c>
    </row>
    <row r="37" spans="7:23">
      <c r="J37" s="8">
        <v>102</v>
      </c>
      <c r="K37" t="s">
        <v>87</v>
      </c>
      <c r="M37" s="8">
        <v>121</v>
      </c>
      <c r="N37" s="2">
        <v>4.3</v>
      </c>
      <c r="P37" s="8">
        <v>106</v>
      </c>
      <c r="Q37" s="2">
        <v>4.3</v>
      </c>
      <c r="S37" s="8">
        <v>121</v>
      </c>
      <c r="T37" s="2">
        <v>4.3</v>
      </c>
      <c r="V37" s="8">
        <v>106</v>
      </c>
      <c r="W37" s="2">
        <v>4.3</v>
      </c>
    </row>
    <row r="38" spans="7:23">
      <c r="J38" s="8">
        <v>103</v>
      </c>
      <c r="K38" t="s">
        <v>87</v>
      </c>
      <c r="M38" s="8">
        <v>123</v>
      </c>
      <c r="N38" s="2">
        <v>4.4000000000000004</v>
      </c>
      <c r="P38" s="8">
        <v>108</v>
      </c>
      <c r="Q38" s="2">
        <v>4.4000000000000004</v>
      </c>
      <c r="S38" s="8">
        <v>123</v>
      </c>
      <c r="T38" s="2">
        <v>4.4000000000000004</v>
      </c>
      <c r="V38" s="8">
        <v>108</v>
      </c>
      <c r="W38" s="2">
        <v>4.4000000000000004</v>
      </c>
    </row>
    <row r="39" spans="7:23">
      <c r="J39" s="8">
        <v>104</v>
      </c>
      <c r="K39" t="s">
        <v>87</v>
      </c>
      <c r="M39" s="8">
        <v>125</v>
      </c>
      <c r="N39" s="2">
        <v>4.5</v>
      </c>
      <c r="P39" s="8">
        <v>110</v>
      </c>
      <c r="Q39" s="2">
        <v>4.5</v>
      </c>
      <c r="S39" s="8">
        <v>125</v>
      </c>
      <c r="T39" s="2">
        <v>4.5</v>
      </c>
      <c r="V39" s="8">
        <v>110</v>
      </c>
      <c r="W39" s="2">
        <v>4.5</v>
      </c>
    </row>
    <row r="40" spans="7:23">
      <c r="J40" s="8">
        <v>105</v>
      </c>
      <c r="K40" t="s">
        <v>87</v>
      </c>
      <c r="M40" s="8">
        <v>127</v>
      </c>
      <c r="N40" s="2">
        <v>4.5999999999999996</v>
      </c>
      <c r="P40" s="8">
        <v>112</v>
      </c>
      <c r="Q40" s="2">
        <v>4.5999999999999996</v>
      </c>
      <c r="S40" s="8">
        <v>127</v>
      </c>
      <c r="T40" s="2">
        <v>4.5999999999999996</v>
      </c>
      <c r="V40" s="8">
        <v>112</v>
      </c>
      <c r="W40" s="2">
        <v>4.5999999999999996</v>
      </c>
    </row>
    <row r="41" spans="7:23">
      <c r="J41" s="8">
        <v>106</v>
      </c>
      <c r="K41" t="s">
        <v>87</v>
      </c>
      <c r="M41" s="8">
        <v>129</v>
      </c>
      <c r="N41" s="2">
        <v>4.7</v>
      </c>
      <c r="P41" s="8">
        <v>114</v>
      </c>
      <c r="Q41" s="2">
        <v>4.7</v>
      </c>
      <c r="S41" s="8">
        <v>129</v>
      </c>
      <c r="T41" s="2">
        <v>4.7</v>
      </c>
      <c r="V41" s="8">
        <v>114</v>
      </c>
      <c r="W41" s="2">
        <v>4.7</v>
      </c>
    </row>
    <row r="42" spans="7:23">
      <c r="J42" s="8">
        <v>107</v>
      </c>
      <c r="K42" t="s">
        <v>87</v>
      </c>
      <c r="M42" s="8">
        <v>131</v>
      </c>
      <c r="N42" s="2">
        <v>4.8</v>
      </c>
      <c r="P42" s="8">
        <v>116</v>
      </c>
      <c r="Q42" s="2">
        <v>4.8</v>
      </c>
      <c r="S42" s="8">
        <v>131</v>
      </c>
      <c r="T42" s="2">
        <v>4.8</v>
      </c>
      <c r="V42" s="8">
        <v>116</v>
      </c>
      <c r="W42" s="2">
        <v>4.8</v>
      </c>
    </row>
    <row r="43" spans="7:23">
      <c r="J43" s="8">
        <v>108</v>
      </c>
      <c r="K43" t="s">
        <v>87</v>
      </c>
      <c r="M43" s="8">
        <v>133</v>
      </c>
      <c r="N43" s="2">
        <v>4.9000000000000004</v>
      </c>
      <c r="P43" s="8">
        <v>118</v>
      </c>
      <c r="Q43" s="2">
        <v>4.9000000000000004</v>
      </c>
      <c r="S43" s="8">
        <v>133</v>
      </c>
      <c r="T43" s="2">
        <v>4.9000000000000004</v>
      </c>
      <c r="V43" s="8">
        <v>118</v>
      </c>
      <c r="W43" s="2">
        <v>4.9000000000000004</v>
      </c>
    </row>
    <row r="44" spans="7:23">
      <c r="J44" s="8">
        <v>109</v>
      </c>
      <c r="K44" t="s">
        <v>87</v>
      </c>
      <c r="M44" s="8">
        <v>135</v>
      </c>
      <c r="N44" s="2">
        <v>5</v>
      </c>
      <c r="P44" s="8">
        <v>120</v>
      </c>
      <c r="Q44" s="2">
        <v>5</v>
      </c>
      <c r="S44" s="8">
        <v>135</v>
      </c>
      <c r="T44" s="2">
        <v>5</v>
      </c>
      <c r="V44" s="8">
        <v>120</v>
      </c>
      <c r="W44" s="2">
        <v>5</v>
      </c>
    </row>
    <row r="45" spans="7:23">
      <c r="J45" s="8">
        <v>110</v>
      </c>
      <c r="K45" t="s">
        <v>86</v>
      </c>
      <c r="M45" s="8">
        <v>136</v>
      </c>
      <c r="N45" s="2">
        <v>5.0999999999999996</v>
      </c>
      <c r="P45" s="8">
        <v>121</v>
      </c>
      <c r="Q45" s="2">
        <v>5.0999999999999996</v>
      </c>
      <c r="S45" s="8">
        <v>136</v>
      </c>
      <c r="T45" s="2">
        <v>5.0999999999999996</v>
      </c>
      <c r="V45" s="8">
        <v>121</v>
      </c>
      <c r="W45" s="2">
        <v>5.0999999999999996</v>
      </c>
    </row>
    <row r="46" spans="7:23">
      <c r="J46" s="35"/>
      <c r="M46" s="8">
        <v>137</v>
      </c>
      <c r="N46" s="2">
        <v>5.2</v>
      </c>
      <c r="P46" s="8">
        <v>122</v>
      </c>
      <c r="Q46" s="2">
        <v>5.2</v>
      </c>
      <c r="S46" s="8">
        <v>137</v>
      </c>
      <c r="T46" s="2">
        <v>5.2</v>
      </c>
      <c r="V46" s="8">
        <v>122</v>
      </c>
      <c r="W46" s="2">
        <v>5.2</v>
      </c>
    </row>
    <row r="47" spans="7:23">
      <c r="M47" s="8">
        <v>138</v>
      </c>
      <c r="N47" s="2">
        <v>5.3</v>
      </c>
      <c r="P47" s="8">
        <v>123</v>
      </c>
      <c r="Q47" s="2">
        <v>5.3</v>
      </c>
      <c r="S47" s="8">
        <v>138</v>
      </c>
      <c r="T47" s="2">
        <v>5.3</v>
      </c>
      <c r="V47" s="8">
        <v>123</v>
      </c>
      <c r="W47" s="2">
        <v>5.3</v>
      </c>
    </row>
    <row r="48" spans="7:23">
      <c r="M48" s="8">
        <v>139</v>
      </c>
      <c r="N48" s="2">
        <v>5.4</v>
      </c>
      <c r="P48" s="8">
        <v>124</v>
      </c>
      <c r="Q48" s="2">
        <v>5.4</v>
      </c>
      <c r="S48" s="8">
        <v>139</v>
      </c>
      <c r="T48" s="2">
        <v>5.4</v>
      </c>
      <c r="V48" s="8">
        <v>124</v>
      </c>
      <c r="W48" s="2">
        <v>5.4</v>
      </c>
    </row>
    <row r="49" spans="13:23">
      <c r="M49" s="8">
        <v>140</v>
      </c>
      <c r="N49" s="2">
        <v>5.5</v>
      </c>
      <c r="P49" s="8">
        <v>125</v>
      </c>
      <c r="Q49" s="2">
        <v>5.5</v>
      </c>
      <c r="S49" s="8">
        <v>140</v>
      </c>
      <c r="T49" s="2">
        <v>5.5</v>
      </c>
      <c r="V49" s="8">
        <v>125</v>
      </c>
      <c r="W49" s="2">
        <v>5.5</v>
      </c>
    </row>
    <row r="50" spans="13:23">
      <c r="M50" s="8">
        <v>141</v>
      </c>
      <c r="N50" s="2">
        <v>5.6</v>
      </c>
      <c r="P50" s="8">
        <v>126</v>
      </c>
      <c r="Q50" s="2">
        <v>5.6</v>
      </c>
      <c r="S50" s="8">
        <v>141</v>
      </c>
      <c r="T50" s="2">
        <v>5.6</v>
      </c>
      <c r="V50" s="8">
        <v>126</v>
      </c>
      <c r="W50" s="2">
        <v>5.6</v>
      </c>
    </row>
    <row r="51" spans="13:23">
      <c r="M51" s="8">
        <v>142</v>
      </c>
      <c r="N51" s="2">
        <v>5.7</v>
      </c>
      <c r="P51" s="8">
        <v>127</v>
      </c>
      <c r="Q51" s="2">
        <v>5.7</v>
      </c>
      <c r="S51" s="8">
        <v>142</v>
      </c>
      <c r="T51" s="2">
        <v>5.7</v>
      </c>
      <c r="V51" s="8">
        <v>127</v>
      </c>
      <c r="W51" s="2">
        <v>5.7</v>
      </c>
    </row>
    <row r="52" spans="13:23">
      <c r="M52" s="8">
        <v>143</v>
      </c>
      <c r="N52" s="2">
        <v>5.8</v>
      </c>
      <c r="P52" s="8">
        <v>128</v>
      </c>
      <c r="Q52" s="2">
        <v>5.8</v>
      </c>
      <c r="S52" s="8">
        <v>143</v>
      </c>
      <c r="T52" s="2">
        <v>5.8</v>
      </c>
      <c r="V52" s="8">
        <v>128</v>
      </c>
      <c r="W52" s="2">
        <v>5.8</v>
      </c>
    </row>
    <row r="53" spans="13:23">
      <c r="M53" s="8">
        <v>144</v>
      </c>
      <c r="N53" s="2">
        <v>5.9</v>
      </c>
      <c r="P53" s="8">
        <v>129</v>
      </c>
      <c r="Q53" s="2">
        <v>5.9</v>
      </c>
      <c r="S53" s="8">
        <v>144</v>
      </c>
      <c r="T53" s="2">
        <v>5.9</v>
      </c>
      <c r="V53" s="8">
        <v>129</v>
      </c>
      <c r="W53" s="2">
        <v>5.9</v>
      </c>
    </row>
    <row r="54" spans="13:23">
      <c r="M54" s="8">
        <v>145</v>
      </c>
      <c r="N54" s="2">
        <v>6</v>
      </c>
      <c r="P54" s="8">
        <v>130</v>
      </c>
      <c r="Q54" s="2">
        <v>6</v>
      </c>
      <c r="S54" s="8">
        <v>145</v>
      </c>
      <c r="T54" s="2">
        <v>6</v>
      </c>
      <c r="V54" s="8">
        <v>130</v>
      </c>
      <c r="W54" s="2">
        <v>6</v>
      </c>
    </row>
    <row r="55" spans="13:23">
      <c r="M55" s="35"/>
      <c r="N55" s="2"/>
      <c r="P55" s="35"/>
      <c r="Q55" s="2"/>
      <c r="S55" s="35"/>
      <c r="T55" s="2"/>
      <c r="V55" s="35"/>
      <c r="W55" s="2"/>
    </row>
  </sheetData>
  <mergeCells count="8">
    <mergeCell ref="S2:T2"/>
    <mergeCell ref="V2:W2"/>
    <mergeCell ref="P2:Q2"/>
    <mergeCell ref="A2:B2"/>
    <mergeCell ref="D2:E2"/>
    <mergeCell ref="G2:H2"/>
    <mergeCell ref="J2:K2"/>
    <mergeCell ref="M2:N2"/>
  </mergeCells>
  <dataValidations disablePrompts="1" count="1">
    <dataValidation type="list" allowBlank="1" showInputMessage="1" showErrorMessage="1" sqref="B4:B21 E4:E25 H4:H35 K4:K45" xr:uid="{00000000-0002-0000-1200-000000000000}">
      <formula1>$Y$2:$Y$5</formula1>
    </dataValidation>
  </dataValidations>
  <pageMargins left="0.7" right="0.7" top="0.78740157499999996" bottom="0.78740157499999996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9"/>
  <dimension ref="A1:CD61"/>
  <sheetViews>
    <sheetView zoomScale="90" zoomScaleNormal="90" workbookViewId="0"/>
  </sheetViews>
  <sheetFormatPr baseColWidth="10" defaultRowHeight="15"/>
  <cols>
    <col min="1" max="1" width="19.140625" bestFit="1" customWidth="1"/>
    <col min="2" max="2" width="13.5703125" bestFit="1" customWidth="1"/>
    <col min="3" max="3" width="3.42578125" customWidth="1"/>
    <col min="4" max="4" width="9.85546875" customWidth="1"/>
    <col min="5" max="6" width="16.7109375" customWidth="1"/>
    <col min="7" max="7" width="13" customWidth="1"/>
    <col min="8" max="8" width="3.42578125" customWidth="1"/>
    <col min="9" max="9" width="26" bestFit="1" customWidth="1"/>
    <col min="10" max="10" width="20.7109375" bestFit="1" customWidth="1"/>
    <col min="11" max="11" width="3.42578125" customWidth="1"/>
    <col min="12" max="12" width="4.7109375" customWidth="1"/>
    <col min="13" max="13" width="7.5703125" style="3" customWidth="1"/>
    <col min="14" max="14" width="6.7109375" style="3" bestFit="1" customWidth="1"/>
    <col min="15" max="15" width="18" style="3" bestFit="1" customWidth="1"/>
    <col min="16" max="16" width="10.85546875" style="3" customWidth="1"/>
    <col min="17" max="17" width="15.42578125" style="3" customWidth="1"/>
    <col min="18" max="18" width="24.28515625" customWidth="1"/>
    <col min="19" max="19" width="23.5703125" customWidth="1"/>
    <col min="20" max="20" width="11.7109375" customWidth="1"/>
    <col min="21" max="21" width="14.7109375" customWidth="1"/>
    <col min="22" max="22" width="30" bestFit="1" customWidth="1"/>
    <col min="23" max="23" width="42.85546875" bestFit="1" customWidth="1"/>
    <col min="24" max="24" width="42.85546875" customWidth="1"/>
    <col min="25" max="25" width="30.85546875" bestFit="1" customWidth="1"/>
    <col min="26" max="26" width="44" bestFit="1" customWidth="1"/>
    <col min="27" max="27" width="33.85546875" customWidth="1"/>
    <col min="28" max="28" width="46.5703125" bestFit="1" customWidth="1"/>
    <col min="29" max="29" width="29.85546875" customWidth="1"/>
    <col min="30" max="30" width="28.7109375" customWidth="1"/>
    <col min="31" max="31" width="41.85546875" customWidth="1"/>
    <col min="32" max="32" width="47.42578125" bestFit="1" customWidth="1"/>
    <col min="33" max="34" width="30.5703125" bestFit="1" customWidth="1"/>
    <col min="35" max="35" width="31.42578125" bestFit="1" customWidth="1"/>
    <col min="36" max="36" width="11.140625" customWidth="1"/>
    <col min="37" max="38" width="23.5703125" customWidth="1"/>
    <col min="39" max="39" width="17" customWidth="1"/>
    <col min="40" max="43" width="14.7109375" customWidth="1"/>
    <col min="44" max="44" width="17.85546875" customWidth="1"/>
    <col min="45" max="45" width="18.5703125" customWidth="1"/>
    <col min="46" max="46" width="18.7109375" customWidth="1"/>
    <col min="47" max="47" width="9.7109375" customWidth="1"/>
    <col min="48" max="54" width="11.28515625" customWidth="1"/>
    <col min="55" max="55" width="41.85546875" bestFit="1" customWidth="1"/>
    <col min="56" max="56" width="37.5703125" bestFit="1" customWidth="1"/>
    <col min="57" max="57" width="20.7109375" bestFit="1" customWidth="1"/>
    <col min="58" max="58" width="37.5703125" bestFit="1" customWidth="1"/>
    <col min="59" max="59" width="34.42578125" customWidth="1"/>
    <col min="60" max="61" width="23.7109375" customWidth="1"/>
    <col min="62" max="62" width="30.42578125" bestFit="1" customWidth="1"/>
    <col min="63" max="63" width="24.85546875" customWidth="1"/>
    <col min="64" max="64" width="3.42578125" customWidth="1"/>
    <col min="65" max="65" width="16.42578125" customWidth="1"/>
    <col min="66" max="66" width="30.5703125" customWidth="1"/>
    <col min="67" max="67" width="26.42578125" customWidth="1"/>
    <col min="68" max="70" width="20.7109375" customWidth="1"/>
    <col min="71" max="71" width="21.85546875" customWidth="1"/>
    <col min="72" max="72" width="3.42578125" customWidth="1"/>
    <col min="73" max="73" width="42.42578125" bestFit="1" customWidth="1"/>
    <col min="74" max="74" width="26" customWidth="1"/>
    <col min="75" max="75" width="3.42578125" customWidth="1"/>
    <col min="76" max="76" width="49.140625" bestFit="1" customWidth="1"/>
    <col min="77" max="77" width="3.42578125" customWidth="1"/>
    <col min="78" max="78" width="18.5703125" bestFit="1" customWidth="1"/>
    <col min="79" max="79" width="31.5703125" bestFit="1" customWidth="1"/>
    <col min="80" max="80" width="37.85546875" bestFit="1" customWidth="1"/>
    <col min="81" max="81" width="37.42578125" bestFit="1" customWidth="1"/>
    <col min="82" max="82" width="13.28515625" bestFit="1" customWidth="1"/>
    <col min="83" max="83" width="3.42578125" customWidth="1"/>
  </cols>
  <sheetData>
    <row r="1" spans="1:82">
      <c r="M1" t="str">
        <f>$BM$4</f>
        <v>StdBS[StdNummer]</v>
      </c>
      <c r="N1" t="str">
        <f>$BM$15</f>
        <v>StdFit[StdFit0]</v>
      </c>
      <c r="O1" s="3" t="str">
        <f>$BU$4</f>
        <v>StdGruppe[StdGruppe]</v>
      </c>
      <c r="P1" t="str">
        <f>$BN$15</f>
        <v>StdFit[StdFit1]</v>
      </c>
      <c r="Q1" t="str">
        <f>$BQ$15</f>
        <v>StdFähigkeit[StdFähigkeit]</v>
      </c>
      <c r="V1" t="str">
        <f>LEFT($V$2,3)</f>
        <v>Res</v>
      </c>
      <c r="W1" t="str">
        <f>LEFT($W$2,3)</f>
        <v>Ein</v>
      </c>
      <c r="Y1" t="s">
        <v>382</v>
      </c>
      <c r="Z1" t="str">
        <f>$J$3&amp;"Umrechnung]]"</f>
        <v>[@[Umrechnung]]</v>
      </c>
      <c r="AF1" t="str">
        <f>$BX$24</f>
        <v>StdResultatform[StdResultatform]</v>
      </c>
      <c r="AG1" s="11" t="str">
        <f>$BU$15</f>
        <v>StdBewertungen[StdBewertung]</v>
      </c>
      <c r="AH1" t="str">
        <f>$AG$1</f>
        <v>StdBewertungen[StdBewertung]</v>
      </c>
      <c r="AI1" t="str">
        <f>$AG$1</f>
        <v>StdBewertungen[StdBewertung]</v>
      </c>
      <c r="AJ1" t="str">
        <f>$BX$4</f>
        <v>StdErgebnis[StdErgebnis]</v>
      </c>
      <c r="AN1" t="str">
        <f>$BS$15</f>
        <v>StdVergleichstyp[StdVergleichstyp]</v>
      </c>
      <c r="BF1" s="81" t="s">
        <v>440</v>
      </c>
      <c r="BG1" s="81"/>
      <c r="BH1" s="82" t="str">
        <f>"Vorgabe "&amp;$BU$17&amp;" SuS:"</f>
        <v>Vorgabe Anzahl SuS:</v>
      </c>
      <c r="BI1" s="83">
        <v>30</v>
      </c>
      <c r="BJ1" s="81"/>
      <c r="BK1" s="81"/>
      <c r="BZ1" t="str">
        <f>"Zu wenige "&amp;PROPER($BZ$23)&amp;"e"</f>
        <v>Zu wenige Werte</v>
      </c>
    </row>
    <row r="2" spans="1:82">
      <c r="L2" t="s">
        <v>237</v>
      </c>
      <c r="V2" t="s">
        <v>22</v>
      </c>
      <c r="W2" t="s">
        <v>407</v>
      </c>
      <c r="Y2" t="s">
        <v>284</v>
      </c>
      <c r="Z2" t="s">
        <v>140</v>
      </c>
      <c r="AA2" t="str">
        <f>"["&amp;$V$2&amp;"]"</f>
        <v>[Resultat]</v>
      </c>
      <c r="AB2" t="s">
        <v>238</v>
      </c>
      <c r="AE2" t="str">
        <f>$AA$2</f>
        <v>[Resultat]</v>
      </c>
      <c r="AI2" t="str">
        <f>$BV$15</f>
        <v>StdBewertungen[Anzeigetext]</v>
      </c>
      <c r="AM2" t="str">
        <f>$CA$23&amp;": "</f>
        <v xml:space="preserve">Maximalwert: </v>
      </c>
      <c r="AR2" t="s">
        <v>350</v>
      </c>
      <c r="AS2" t="str">
        <f>LOWER($CB$23)&amp;" __ "&amp;$BX$20</f>
        <v>max. __ Punkte</v>
      </c>
      <c r="AT2" t="str">
        <f>$AS$2</f>
        <v>max. __ Punkte</v>
      </c>
      <c r="AV2" t="s">
        <v>383</v>
      </c>
      <c r="AZ2" t="s">
        <v>396</v>
      </c>
      <c r="BA2" t="s">
        <v>397</v>
      </c>
      <c r="BB2" t="s">
        <v>404</v>
      </c>
      <c r="BD2" t="str">
        <f>$W$2</f>
        <v>Eingabe</v>
      </c>
      <c r="BE2" s="75">
        <f ca="1">SUM(INDIRECT($BE$4))</f>
        <v>9</v>
      </c>
      <c r="BF2" s="81" t="s">
        <v>432</v>
      </c>
      <c r="BG2" s="81"/>
      <c r="BH2" s="84">
        <v>1</v>
      </c>
      <c r="BI2" s="84">
        <f>$BI$1-1</f>
        <v>29</v>
      </c>
      <c r="BJ2" s="81" t="s">
        <v>433</v>
      </c>
      <c r="BK2" s="85"/>
      <c r="BZ2" t="str">
        <f>LEFT($BZ$3,1)</f>
        <v>D</v>
      </c>
    </row>
    <row r="3" spans="1:82">
      <c r="A3" t="s">
        <v>102</v>
      </c>
      <c r="D3" t="s">
        <v>36</v>
      </c>
      <c r="J3" t="s">
        <v>422</v>
      </c>
      <c r="U3" s="13">
        <v>2</v>
      </c>
      <c r="W3" t="str">
        <f>$J$3&amp;$W$2&amp;"]]"</f>
        <v>[@[Eingabe]]</v>
      </c>
      <c r="X3" t="str">
        <f>$J$3&amp;$V$2&amp;"]]"</f>
        <v>[@[Resultat]]</v>
      </c>
      <c r="Z3" t="str">
        <f>$J$3&amp;$Z$2&amp;"]]"</f>
        <v>[@[Rundung]]</v>
      </c>
      <c r="AA3" t="s">
        <v>327</v>
      </c>
      <c r="AB3" t="str">
        <f>$J$3&amp;LEFT($AB$2,5)&amp;"-"&amp;PROPER(RIGHT($AB$2,4)&amp;"]]")</f>
        <v>[@[Skala-Wert]]</v>
      </c>
      <c r="AC3" t="str">
        <f>$AA$3</f>
        <v>_X</v>
      </c>
      <c r="AZ3" s="75" t="str">
        <f ca="1">$BD$3</f>
        <v>,</v>
      </c>
      <c r="BD3" s="75" t="str">
        <f ca="1">IF(NOT(ISERROR(FIND(CHAR(44),$BE$3,1))),CHAR(44),CHAR(46))</f>
        <v>,</v>
      </c>
      <c r="BE3" s="77">
        <f ca="1">IF(MOD($BE$2*'BS 1_1'!$A$14,1)=0,($BE$2+1)*'BS 1_1'!$A$14,$BE$2*'BS 1_1'!$A$14)</f>
        <v>122.39999999999999</v>
      </c>
      <c r="BF3" s="81"/>
      <c r="BG3" s="81"/>
      <c r="BH3" s="81"/>
      <c r="BI3" s="81"/>
      <c r="BJ3" s="81"/>
      <c r="BK3" s="81"/>
      <c r="BM3" t="s">
        <v>39</v>
      </c>
      <c r="BU3" t="s">
        <v>48</v>
      </c>
      <c r="BX3" t="s">
        <v>74</v>
      </c>
      <c r="BZ3" s="11" t="s">
        <v>104</v>
      </c>
      <c r="CA3" t="str">
        <f>LEFT($BZ$3,7)&amp;"ationen"</f>
        <v>Dispensationen</v>
      </c>
      <c r="CB3" t="str">
        <f>" "&amp;LOWER($BZ$3)</f>
        <v xml:space="preserve"> dispensiert</v>
      </c>
      <c r="CC3" t="str">
        <f>LOWER($BZ$3)</f>
        <v>dispensiert</v>
      </c>
    </row>
    <row r="4" spans="1:82">
      <c r="A4" t="str" cm="1">
        <f t="array" ref="A4:B4">$A$3&amp;"["&amp;StdJahr[#Headers]&amp;"]"</f>
        <v>StdJahr[StdJahr]</v>
      </c>
      <c r="B4" t="str">
        <v>StdJahr[StdJahrText]</v>
      </c>
      <c r="D4" t="str" cm="1">
        <f t="array" ref="D4:F4">$D$3&amp;"["&amp;StdGeschlecht[#Headers]&amp;"]"</f>
        <v>StdGeschlecht[StdGeschlecht]</v>
      </c>
      <c r="E4" t="str">
        <v>StdGeschlecht[1]</v>
      </c>
      <c r="F4" t="str">
        <v>StdGeschlecht[2]</v>
      </c>
      <c r="L4" t="str" cm="1">
        <f t="array" ref="L4:BK4">$L$2&amp;"["&amp;StdDisziplinen[#Headers]&amp;"]"</f>
        <v>StdDisziplinen[ID]</v>
      </c>
      <c r="M4" s="3" t="str">
        <v>StdDisziplinen[BS-Nr.]</v>
      </c>
      <c r="N4" s="3" t="str">
        <v>StdDisziplinen[Fit0]</v>
      </c>
      <c r="O4" s="3" t="str">
        <v>StdDisziplinen[Gruppe]</v>
      </c>
      <c r="P4" s="3" t="str">
        <v>StdDisziplinen[Fit1]</v>
      </c>
      <c r="Q4" s="3" t="str">
        <v>StdDisziplinen[Fähigkeit]</v>
      </c>
      <c r="R4" t="str">
        <v>StdDisziplinen[StdDisziplin]</v>
      </c>
      <c r="S4" t="str">
        <v>StdDisziplinen[StdTabÜberschrift]</v>
      </c>
      <c r="T4" t="str">
        <v>StdDisziplinen[StdTabMax]</v>
      </c>
      <c r="U4" t="str">
        <v>StdDisziplinen[StdTabPos]</v>
      </c>
      <c r="V4" t="str">
        <v>StdDisziplinen[StdTabResultat]</v>
      </c>
      <c r="W4" t="str">
        <v>StdDisziplinen[StdTabResEin]</v>
      </c>
      <c r="X4" t="str">
        <v>StdDisziplinen[StdTabResRes]</v>
      </c>
      <c r="Y4" t="str">
        <v>StdDisziplinen[StdTabGerundet]</v>
      </c>
      <c r="Z4" t="str">
        <v>StdDisziplinen[StdTabGerRun]</v>
      </c>
      <c r="AA4" t="str">
        <v>StdDisziplinen[TabÜberschriftResultat]</v>
      </c>
      <c r="AB4" t="str">
        <v>StdDisziplinen[TabÜberschriftSkala]</v>
      </c>
      <c r="AC4" t="str">
        <v>StdDisziplinen[TabÜberschriftNote]</v>
      </c>
      <c r="AD4" t="str">
        <v>StdDisziplinen[TabÜberschriftDurchschnitt]</v>
      </c>
      <c r="AE4" t="str">
        <v>StdDisziplinen[BereichBedingteFormatierung]</v>
      </c>
      <c r="AF4" t="str">
        <v>StdDisziplinen[Resultatform]</v>
      </c>
      <c r="AG4" t="str">
        <v>StdDisziplinen[Bewertung]</v>
      </c>
      <c r="AH4" t="str">
        <v>StdDisziplinen[Bewertung2]</v>
      </c>
      <c r="AI4" t="str">
        <v>StdDisziplinen[Resultatanzeige]</v>
      </c>
      <c r="AJ4" t="str">
        <v>StdDisziplinen[Ergebnis]</v>
      </c>
      <c r="AK4" t="str">
        <v>StdDisziplinen[Maximalwert_OS1]</v>
      </c>
      <c r="AL4" t="str">
        <v>StdDisziplinen[Maximalwert_OS2]</v>
      </c>
      <c r="AM4" t="str">
        <v>StdDisziplinen[Maximalwert_Text]</v>
      </c>
      <c r="AN4" t="str">
        <v>StdDisziplinen[Vergleichstyp]</v>
      </c>
      <c r="AO4" t="str">
        <v>StdDisziplinen[Rundung_Stellen]</v>
      </c>
      <c r="AP4" t="str">
        <v>StdDisziplinen[Rundung_Aufrunden]</v>
      </c>
      <c r="AQ4" t="str">
        <v>StdDisziplinen[GemStufe]</v>
      </c>
      <c r="AR4" t="str">
        <v>StdDisziplinen[StufeMax]</v>
      </c>
      <c r="AS4" t="str">
        <v>StdDisziplinen[MaxTextSt1]</v>
      </c>
      <c r="AT4" t="str">
        <v>StdDisziplinen[MaxTextSt2]</v>
      </c>
      <c r="AU4" t="str">
        <v>StdDisziplinen[Spalte]</v>
      </c>
      <c r="AV4" t="str">
        <v>StdDisziplinen[Res_Code]</v>
      </c>
      <c r="AW4" t="str">
        <v>StdDisziplinen[Run_Code]</v>
      </c>
      <c r="AX4" t="str">
        <v>StdDisziplinen[Ska_Code]</v>
      </c>
      <c r="AY4" t="str">
        <v>StdDisziplinen[Not_Code]</v>
      </c>
      <c r="AZ4" t="str">
        <v>StdDisziplinen[R-A_Code]</v>
      </c>
      <c r="BA4" t="str">
        <v>StdDisziplinen[N-A_Code]</v>
      </c>
      <c r="BB4" t="str">
        <v>StdDisziplinen[M-P_Code]</v>
      </c>
      <c r="BC4" t="str">
        <v>StdDisziplinen[BedRes]</v>
      </c>
      <c r="BD4" t="str">
        <v>StdDisziplinen[StdTabEingabe]</v>
      </c>
      <c r="BE4" t="str">
        <v>StdDisziplinen[Anz_StdTabEingabe]</v>
      </c>
      <c r="BF4" t="str">
        <v>StdDisziplinen[Bereich_Ein_Z]</v>
      </c>
      <c r="BG4" t="str">
        <v>StdDisziplinen[Bereich_Ein_S]</v>
      </c>
      <c r="BH4" t="str">
        <v>StdDisziplinen[Bereich_Ein_ZStart]</v>
      </c>
      <c r="BI4" t="str">
        <v>StdDisziplinen[Bereich_Ein_ZEnde]</v>
      </c>
      <c r="BJ4" t="str">
        <v>StdDisziplinen[Bereich_Ein_Adr]</v>
      </c>
      <c r="BK4" t="str">
        <v>StdDisziplinen[Bereich_Stu_Adr]</v>
      </c>
      <c r="BM4" t="str" cm="1">
        <f t="array" ref="BM4:BS4">$BM$3&amp;"["&amp;StdBS[#Headers]&amp;"]"</f>
        <v>StdBS[StdNummer]</v>
      </c>
      <c r="BN4" t="str">
        <v>StdBS[StdBS]</v>
      </c>
      <c r="BO4" t="str">
        <v>StdBS[Titelanzeige]</v>
      </c>
      <c r="BP4" t="str">
        <v>StdBS[AnzDisz]</v>
      </c>
      <c r="BQ4" t="str">
        <v>StdBS[AnzGeforderteDiszBS]</v>
      </c>
      <c r="BR4" t="str">
        <v>StdBS[ZeileStellenDurchschnitt]</v>
      </c>
      <c r="BS4" t="str">
        <v>StdBS[RundungDurchschnitt]</v>
      </c>
      <c r="BU4" t="str" cm="1">
        <f t="array" ref="BU4:BV4">$BU$3&amp;"["&amp;StdGruppe[#Headers]&amp;"]"</f>
        <v>StdGruppe[StdGruppe]</v>
      </c>
      <c r="BV4" t="str">
        <v>StdGruppe[AnzGeforderteDiszGruppe]</v>
      </c>
      <c r="BX4" t="str">
        <f>$BX$3&amp;"["&amp;StdErgebnis[[#Headers],[StdErgebnis]]&amp;"]"</f>
        <v>StdErgebnis[StdErgebnis]</v>
      </c>
      <c r="BZ4" t="s">
        <v>236</v>
      </c>
      <c r="CA4" t="str">
        <f>RIGHT(BZ4,LEN(BZ4)-1)</f>
        <v>nicht durchgeführt</v>
      </c>
    </row>
    <row r="5" spans="1:82">
      <c r="A5" t="s">
        <v>102</v>
      </c>
      <c r="B5" t="s">
        <v>103</v>
      </c>
      <c r="D5" t="s">
        <v>36</v>
      </c>
      <c r="E5" t="s">
        <v>373</v>
      </c>
      <c r="F5" t="s">
        <v>374</v>
      </c>
      <c r="L5" t="s">
        <v>79</v>
      </c>
      <c r="M5" s="3" t="s">
        <v>58</v>
      </c>
      <c r="N5" s="3" t="s">
        <v>67</v>
      </c>
      <c r="O5" s="3" t="s">
        <v>47</v>
      </c>
      <c r="P5" s="3" t="s">
        <v>68</v>
      </c>
      <c r="Q5" s="3" t="s">
        <v>53</v>
      </c>
      <c r="R5" t="s">
        <v>38</v>
      </c>
      <c r="S5" t="s">
        <v>70</v>
      </c>
      <c r="T5" t="s">
        <v>351</v>
      </c>
      <c r="U5" t="s">
        <v>331</v>
      </c>
      <c r="V5" t="s">
        <v>325</v>
      </c>
      <c r="W5" t="s">
        <v>406</v>
      </c>
      <c r="X5" t="s">
        <v>328</v>
      </c>
      <c r="Y5" t="s">
        <v>326</v>
      </c>
      <c r="Z5" t="s">
        <v>329</v>
      </c>
      <c r="AA5" t="s">
        <v>119</v>
      </c>
      <c r="AB5" t="s">
        <v>330</v>
      </c>
      <c r="AC5" t="s">
        <v>120</v>
      </c>
      <c r="AD5" t="s">
        <v>121</v>
      </c>
      <c r="AE5" t="s">
        <v>139</v>
      </c>
      <c r="AF5" t="s">
        <v>128</v>
      </c>
      <c r="AG5" t="s">
        <v>34</v>
      </c>
      <c r="AH5" t="s">
        <v>235</v>
      </c>
      <c r="AI5" t="s">
        <v>118</v>
      </c>
      <c r="AJ5" t="s">
        <v>73</v>
      </c>
      <c r="AK5" t="s">
        <v>143</v>
      </c>
      <c r="AL5" t="s">
        <v>142</v>
      </c>
      <c r="AM5" t="s">
        <v>367</v>
      </c>
      <c r="AN5" t="s">
        <v>132</v>
      </c>
      <c r="AO5" t="s">
        <v>415</v>
      </c>
      <c r="AP5" t="s">
        <v>416</v>
      </c>
      <c r="AQ5" t="s">
        <v>401</v>
      </c>
      <c r="AR5" t="s">
        <v>349</v>
      </c>
      <c r="AS5" t="s">
        <v>304</v>
      </c>
      <c r="AT5" t="s">
        <v>305</v>
      </c>
      <c r="AU5" t="s">
        <v>352</v>
      </c>
      <c r="AV5" t="s">
        <v>392</v>
      </c>
      <c r="AW5" t="s">
        <v>393</v>
      </c>
      <c r="AX5" t="s">
        <v>394</v>
      </c>
      <c r="AY5" t="s">
        <v>395</v>
      </c>
      <c r="AZ5" t="s">
        <v>398</v>
      </c>
      <c r="BA5" t="s">
        <v>399</v>
      </c>
      <c r="BB5" t="s">
        <v>405</v>
      </c>
      <c r="BC5" t="s">
        <v>408</v>
      </c>
      <c r="BD5" t="s">
        <v>413</v>
      </c>
      <c r="BE5" t="s">
        <v>414</v>
      </c>
      <c r="BF5" t="s">
        <v>434</v>
      </c>
      <c r="BG5" t="s">
        <v>435</v>
      </c>
      <c r="BH5" t="s">
        <v>436</v>
      </c>
      <c r="BI5" t="s">
        <v>437</v>
      </c>
      <c r="BJ5" t="s">
        <v>438</v>
      </c>
      <c r="BK5" t="s">
        <v>439</v>
      </c>
      <c r="BM5" t="s">
        <v>56</v>
      </c>
      <c r="BN5" t="s">
        <v>39</v>
      </c>
      <c r="BO5" t="s">
        <v>116</v>
      </c>
      <c r="BP5" t="s">
        <v>370</v>
      </c>
      <c r="BQ5" t="s">
        <v>389</v>
      </c>
      <c r="BR5" t="s">
        <v>391</v>
      </c>
      <c r="BS5" t="s">
        <v>348</v>
      </c>
      <c r="BU5" t="s">
        <v>48</v>
      </c>
      <c r="BV5" t="s">
        <v>347</v>
      </c>
      <c r="BX5" t="s">
        <v>74</v>
      </c>
      <c r="BZ5" s="11" t="s">
        <v>134</v>
      </c>
      <c r="CA5" t="str">
        <f>LOWER($BZ$5)&amp;"en"</f>
        <v>disziplinen</v>
      </c>
      <c r="CB5" t="str">
        <f>" "&amp;$BZ$5&amp;"en"</f>
        <v xml:space="preserve"> Disziplinen</v>
      </c>
    </row>
    <row r="6" spans="1:82">
      <c r="A6" s="3">
        <v>1</v>
      </c>
      <c r="B6" s="3" t="str">
        <f>StdJahr[[#This Row],[StdJahr]]&amp;". OS"</f>
        <v>1. OS</v>
      </c>
      <c r="D6" t="s">
        <v>30</v>
      </c>
      <c r="E6" t="str">
        <f>StdGeschlecht[[#This Row],[StdGeschlecht]]&amp;"_"&amp;LEFT(StdGeschlecht[[#This Row],[StdGeschlecht]],1)&amp;StdGeschlecht[[#Headers],[1]]</f>
        <v>Knaben_K1</v>
      </c>
      <c r="F6" t="str">
        <f>StdGeschlecht[[#This Row],[StdGeschlecht]]&amp;"_"&amp;LEFT(StdGeschlecht[[#This Row],[StdGeschlecht]],1)&amp;StdGeschlecht[[#Headers],[2]]</f>
        <v>Knaben_K2</v>
      </c>
      <c r="L6" s="3" cm="1">
        <f t="array" ref="L6">ROW()-ROW(StdDisziplinen[#Headers])</f>
        <v>1</v>
      </c>
      <c r="M6" s="3" t="s">
        <v>295</v>
      </c>
      <c r="N6" s="3" t="s">
        <v>99</v>
      </c>
      <c r="O6" s="3" t="s">
        <v>50</v>
      </c>
      <c r="P6" s="3" t="s">
        <v>63</v>
      </c>
      <c r="Q6" s="3" t="s">
        <v>20</v>
      </c>
      <c r="R6" t="s">
        <v>23</v>
      </c>
      <c r="S6" s="41" t="s">
        <v>80</v>
      </c>
      <c r="T6" t="str">
        <f>LEFT(S6,4)</f>
        <v>Sech</v>
      </c>
      <c r="U6" s="13">
        <f>LEN(StdDisziplinen[[#This Row],[StdTabÜberschrift]])+$U$3</f>
        <v>14</v>
      </c>
      <c r="V6" t="str">
        <f>StdDisziplinen[[#This Row],[StdTabÜberschrift]]&amp;$V$2</f>
        <v>SechzigmLaufResultat</v>
      </c>
      <c r="W6" t="str">
        <f>StdDisziplinen[[#This Row],[StdTabResultat]]&amp;$W$3</f>
        <v>SechzigmLaufResultat[@[Eingabe]]</v>
      </c>
      <c r="X6" t="str">
        <f>StdDisziplinen[[#This Row],[StdTabResultat]]&amp;$X$3</f>
        <v>SechzigmLaufResultat[@[Resultat]]</v>
      </c>
      <c r="Y6" t="str">
        <f>StdDisziplinen[[#This Row],[StdTabÜberschrift]]&amp;$Y$2</f>
        <v>SechzigmLaufGerundet</v>
      </c>
      <c r="Z6" t="str">
        <f>StdDisziplinen[[#This Row],[StdTabGerundet]]&amp;$Z$3</f>
        <v>SechzigmLaufGerundet[@[Rundung]]</v>
      </c>
      <c r="AA6" t="str">
        <f>StdDisziplinen[[#This Row],[StdTabÜberschrift]]&amp;$AA$3&amp;$AA$2</f>
        <v>SechzigmLauf_X[Resultat]</v>
      </c>
      <c r="AB6" s="3" t="str">
        <f>StdDisziplinen[[#This Row],[StdTabÜberschrift]]&amp;$AB$2&amp;$AB$3</f>
        <v>SechzigmLaufSkalawert[@[Skala-Wert]]</v>
      </c>
      <c r="AC6" t="str">
        <f>StdDisziplinen[[#This Row],[StdTabÜberschrift]]&amp;$AC$3&amp;"["&amp;StdDisziplinen[[#This Row],[Ergebnis]]&amp;"]"</f>
        <v>SechzigmLauf_X[Note]</v>
      </c>
      <c r="AD6" t="str">
        <f>StdDisziplinen[[#This Row],[StdTabÜberschrift]]&amp;StdDisziplinen[[#This Row],[Ergebnis]]&amp;"[@["&amp;StdDisziplinen[[#This Row],[Ergebnis]]&amp;"]]"</f>
        <v>SechzigmLaufNote[@[Note]]</v>
      </c>
      <c r="AE6" t="str">
        <f>StdDisziplinen[[#This Row],[StdTabResultat]]&amp;$AE$2</f>
        <v>SechzigmLaufResultat[Resultat]</v>
      </c>
      <c r="AF6" t="s">
        <v>122</v>
      </c>
      <c r="AG6" t="s">
        <v>32</v>
      </c>
      <c r="AH6" t="s">
        <v>32</v>
      </c>
      <c r="AI6" t="str">
        <f ca="1">IFERROR(INDEX(INDIRECT($AI$2),MATCH(StdDisziplinen[[#This Row],[Bewertung]],INDIRECT($AI$1),0)),"")</f>
        <v>Zeit</v>
      </c>
      <c r="AJ6" t="s">
        <v>7</v>
      </c>
      <c r="AM6" t="str">
        <f>IF(OR(StdDisziplinen[[#This Row],[Maximalwert_OS1]]&lt;&gt;"",StdDisziplinen[[#This Row],[Maximalwert_OS2]]&lt;&gt;""),$AM$2,"")</f>
        <v/>
      </c>
      <c r="AN6">
        <v>-1</v>
      </c>
      <c r="AO6" s="73">
        <v>0.01</v>
      </c>
      <c r="AP6" s="70"/>
      <c r="AR6" t="str">
        <f>$AR$2&amp;StdDisziplinen[[#This Row],[StdTabMax]]</f>
        <v>_Stufe_Sech</v>
      </c>
      <c r="AS6" t="str">
        <f>IF(StdDisziplinen[[#This Row],[Maximalwert_OS1]]="","",REPLACE($AS$2,6,2,StdDisziplinen[[#This Row],[Maximalwert_OS1]])&amp;StdDisziplinen[[#This Row],[GemStufe]])</f>
        <v/>
      </c>
      <c r="AT6" t="str">
        <f>IF(StdDisziplinen[[#This Row],[Maximalwert_OS2]]="","",REPLACE($AT$2,6,2,StdDisziplinen[[#This Row],[Maximalwert_OS2]])&amp;StdDisziplinen[[#This Row],[GemStufe]])</f>
        <v/>
      </c>
      <c r="AU6" s="13">
        <f>MATCH(StdDisziplinen[[#This Row],[ID]],Resultatmappe!$A$3:$ACN$3,0)</f>
        <v>7</v>
      </c>
      <c r="AV6" s="13">
        <v>2</v>
      </c>
      <c r="AW6" s="13">
        <v>2</v>
      </c>
      <c r="AX6" s="13">
        <v>2</v>
      </c>
      <c r="AY6" s="13">
        <v>1</v>
      </c>
      <c r="AZ6" s="13" t="str">
        <f ca="1">IF(StdDisziplinen[[#This Row],[Res_Code]]=2,"0"&amp;$AZ$3&amp;"00",IF(StdDisziplinen[[#This Row],[Res_Code]]=1,"0"&amp;$AZ$3&amp;"0","0"))</f>
        <v>0,00</v>
      </c>
      <c r="BA6" s="13" t="str">
        <f ca="1">IF(StdDisziplinen[[#This Row],[Res_Code]]=2,"0"&amp;$AZ$3&amp;"00",IF(StdDisziplinen[[#This Row],[Res_Code]]=1,"0"&amp;$AZ$3&amp;"0","0"))</f>
        <v>0,00</v>
      </c>
      <c r="BB6" s="13"/>
      <c r="BC6" s="3" t="str">
        <f>IFERROR(REPLACE(StdDisziplinen[[#This Row],[StdTabResRes]],LEN(StdDisziplinen[[#This Row],[StdTabResRes]])-9,8,StdDisziplinen[[#Headers],[BedRes]]),"")</f>
        <v>SechzigmLaufResultat[@[BedRes]]</v>
      </c>
      <c r="BD6" s="3" t="str">
        <f>StdDisziplinen[[#This Row],[StdTabResultat]]&amp;"["&amp;$BD$2&amp;"]"</f>
        <v>SechzigmLaufResultat[Eingabe]</v>
      </c>
      <c r="BE6" s="13">
        <f ca="1">COUNTA(INDIRECT(StdDisziplinen[[#This Row],[StdTabEingabe]]))</f>
        <v>0</v>
      </c>
      <c r="BF6" s="3" t="str">
        <f>StdDisziplinen[[#This Row],[StdTabResultat]]&amp;"["&amp;$BF$2&amp;"]"</f>
        <v>SechzigmLaufResultat[#Kopfzeilen]</v>
      </c>
      <c r="BG6" s="3" t="str">
        <f>StdDisziplinen[[#This Row],[StdTabResultat]]&amp;"["&amp;$W$2&amp;"]"</f>
        <v>SechzigmLaufResultat[Eingabe]</v>
      </c>
      <c r="BH6" s="3" cm="1">
        <f t="array" aca="1" ref="BH6" ca="1">ROW(INDIRECT(StdDisziplinen[[#This Row],[Bereich_Ein_Z]]))+$BH$2</f>
        <v>28</v>
      </c>
      <c r="BI6" s="3">
        <f ca="1">StdDisziplinen[[#This Row],[Bereich_Ein_ZStart]]+$BI$2</f>
        <v>57</v>
      </c>
      <c r="BJ6" s="3" t="str" cm="1">
        <f t="array" aca="1" ref="BJ6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$G$28:$G$57</v>
      </c>
      <c r="BK6" s="3" t="str" cm="1">
        <f t="array" aca="1" ref="BK6" ca="1">IFERROR(ADDRESS(ROW(INDIRECT(StdDisziplinen[[#This Row],[StufeMax]])),COLUMN(INDIRECT(StdDisziplinen[[#This Row],[StufeMax]])),1,1,),"")</f>
        <v>$G$25</v>
      </c>
      <c r="BM6" s="3" t="s">
        <v>295</v>
      </c>
      <c r="BN6" t="s">
        <v>57</v>
      </c>
      <c r="BO6" t="str">
        <f>StdBS[[#This Row],[StdNummer]]&amp;"   "&amp;StdBS[[#This Row],[StdBS]]</f>
        <v>BS.1   Laufen, Springen, Werfen</v>
      </c>
      <c r="BQ6">
        <v>4</v>
      </c>
      <c r="BR6">
        <f>$L$36</f>
        <v>31</v>
      </c>
      <c r="BS6" s="46">
        <v>0.1</v>
      </c>
      <c r="BU6" t="str">
        <f>"Sprint"&amp;$CA$5</f>
        <v>Sprintdisziplinen</v>
      </c>
      <c r="BV6" s="64">
        <v>1</v>
      </c>
      <c r="BX6" t="s">
        <v>7</v>
      </c>
      <c r="BZ6" t="str">
        <f>"("&amp;LOWER($Y$2)&amp;")"</f>
        <v>(gerundet)</v>
      </c>
      <c r="CA6" t="str">
        <f>MID($BZ$6,2,LEN($BZ$6)-2)&amp;" auf"</f>
        <v>gerundet auf</v>
      </c>
      <c r="CB6" t="str">
        <f>" ab"&amp;$CA$6&amp;" "</f>
        <v xml:space="preserve"> abgerundet auf </v>
      </c>
      <c r="CC6" t="str">
        <f>RIGHT($CA$6,4)&amp;$CA$6&amp;" "</f>
        <v xml:space="preserve"> aufgerundet auf </v>
      </c>
    </row>
    <row r="7" spans="1:82">
      <c r="A7" s="3">
        <v>2</v>
      </c>
      <c r="B7" s="3" t="str">
        <f>StdJahr[[#This Row],[StdJahr]]&amp;". OS"</f>
        <v>2. OS</v>
      </c>
      <c r="D7" t="s">
        <v>31</v>
      </c>
      <c r="E7" t="str">
        <f>StdGeschlecht[[#This Row],[StdGeschlecht]]&amp;"_"&amp;LEFT(StdGeschlecht[[#This Row],[StdGeschlecht]],1)&amp;StdGeschlecht[[#Headers],[1]]</f>
        <v>Mädchen_M1</v>
      </c>
      <c r="F7" t="str">
        <f>StdGeschlecht[[#This Row],[StdGeschlecht]]&amp;"_"&amp;LEFT(StdGeschlecht[[#This Row],[StdGeschlecht]],1)&amp;StdGeschlecht[[#Headers],[2]]</f>
        <v>Mädchen_M2</v>
      </c>
      <c r="L7" s="3" cm="1">
        <f t="array" ref="L7">ROW()-ROW(StdDisziplinen[#Headers])</f>
        <v>2</v>
      </c>
      <c r="M7" s="3" t="s">
        <v>295</v>
      </c>
      <c r="N7" s="3" t="s">
        <v>99</v>
      </c>
      <c r="O7" s="3" t="s">
        <v>50</v>
      </c>
      <c r="P7" s="3" t="s">
        <v>63</v>
      </c>
      <c r="Q7" s="3" t="s">
        <v>20</v>
      </c>
      <c r="R7" t="s">
        <v>24</v>
      </c>
      <c r="S7" s="41" t="s">
        <v>81</v>
      </c>
      <c r="T7" t="str">
        <f>LEFT(S7,4)</f>
        <v>Acht</v>
      </c>
      <c r="U7" s="13">
        <f>LEN(StdDisziplinen[[#This Row],[StdTabÜberschrift]])+$U$3</f>
        <v>14</v>
      </c>
      <c r="V7" t="str">
        <f>StdDisziplinen[[#This Row],[StdTabÜberschrift]]&amp;$V$2</f>
        <v>AchtzigmLaufResultat</v>
      </c>
      <c r="W7" t="str">
        <f>StdDisziplinen[[#This Row],[StdTabResultat]]&amp;$W$3</f>
        <v>AchtzigmLaufResultat[@[Eingabe]]</v>
      </c>
      <c r="X7" t="str">
        <f>StdDisziplinen[[#This Row],[StdTabResultat]]&amp;$X$3</f>
        <v>AchtzigmLaufResultat[@[Resultat]]</v>
      </c>
      <c r="Y7" t="str">
        <f>StdDisziplinen[[#This Row],[StdTabÜberschrift]]&amp;$Y$2</f>
        <v>AchtzigmLaufGerundet</v>
      </c>
      <c r="Z7" t="str">
        <f>StdDisziplinen[[#This Row],[StdTabGerundet]]&amp;$Z$3</f>
        <v>AchtzigmLaufGerundet[@[Rundung]]</v>
      </c>
      <c r="AA7" t="str">
        <f>StdDisziplinen[[#This Row],[StdTabÜberschrift]]&amp;$AA$3&amp;$AA$2</f>
        <v>AchtzigmLauf_X[Resultat]</v>
      </c>
      <c r="AB7" s="3" t="str">
        <f>StdDisziplinen[[#This Row],[StdTabÜberschrift]]&amp;$AB$2&amp;$AB$3</f>
        <v>AchtzigmLaufSkalawert[@[Skala-Wert]]</v>
      </c>
      <c r="AC7" t="str">
        <f>StdDisziplinen[[#This Row],[StdTabÜberschrift]]&amp;$AC$3&amp;"["&amp;StdDisziplinen[[#This Row],[Ergebnis]]&amp;"]"</f>
        <v>AchtzigmLauf_X[Note]</v>
      </c>
      <c r="AD7" t="str">
        <f>StdDisziplinen[[#This Row],[StdTabÜberschrift]]&amp;StdDisziplinen[[#This Row],[Ergebnis]]&amp;"[@["&amp;StdDisziplinen[[#This Row],[Ergebnis]]&amp;"]]"</f>
        <v>AchtzigmLaufNote[@[Note]]</v>
      </c>
      <c r="AE7" t="str">
        <f>StdDisziplinen[[#This Row],[StdTabResultat]]&amp;$AE$2</f>
        <v>AchtzigmLaufResultat[Resultat]</v>
      </c>
      <c r="AF7" t="s">
        <v>122</v>
      </c>
      <c r="AG7" t="s">
        <v>32</v>
      </c>
      <c r="AH7" t="s">
        <v>32</v>
      </c>
      <c r="AI7" t="str">
        <f>IFERROR(INDEX(StdBewertungen[Anzeigetext],MATCH(StdDisziplinen[[#This Row],[Bewertung]],StdBewertungen[StdBewertung],0)),"")</f>
        <v>Zeit</v>
      </c>
      <c r="AJ7" t="s">
        <v>7</v>
      </c>
      <c r="AM7" t="str">
        <f>IF(OR(StdDisziplinen[[#This Row],[Maximalwert_OS1]]&lt;&gt;"",StdDisziplinen[[#This Row],[Maximalwert_OS2]]&lt;&gt;""),$AM$2,"")</f>
        <v/>
      </c>
      <c r="AN7">
        <v>-1</v>
      </c>
      <c r="AO7">
        <v>0.01</v>
      </c>
      <c r="AP7" s="13"/>
      <c r="AR7" t="str">
        <f>$AR$2&amp;StdDisziplinen[[#This Row],[StdTabMax]]</f>
        <v>_Stufe_Acht</v>
      </c>
      <c r="AS7" t="str">
        <f>IF(StdDisziplinen[[#This Row],[Maximalwert_OS1]]="","",REPLACE($AS$2,6,2,StdDisziplinen[[#This Row],[Maximalwert_OS1]])&amp;StdDisziplinen[[#This Row],[GemStufe]])</f>
        <v/>
      </c>
      <c r="AT7" t="str">
        <f>IF(StdDisziplinen[[#This Row],[Maximalwert_OS2]]="","",REPLACE($AT$2,6,2,StdDisziplinen[[#This Row],[Maximalwert_OS2]])&amp;StdDisziplinen[[#This Row],[GemStufe]])</f>
        <v/>
      </c>
      <c r="AU7" s="13">
        <f ca="1">MATCH(StdDisziplinen[[#This Row],[ID]],Resultatmappe!$A$3:$ACN$3,0)</f>
        <v>19</v>
      </c>
      <c r="AV7" s="13">
        <v>2</v>
      </c>
      <c r="AW7" s="13">
        <v>2</v>
      </c>
      <c r="AX7" s="13">
        <v>2</v>
      </c>
      <c r="AY7" s="13">
        <v>1</v>
      </c>
      <c r="AZ7" s="13" t="str">
        <f ca="1">IF(StdDisziplinen[[#This Row],[Res_Code]]=2,"0"&amp;$AZ$3&amp;"00",IF(StdDisziplinen[[#This Row],[Res_Code]]=1,"0"&amp;$AZ$3&amp;"0","0"))</f>
        <v>0,00</v>
      </c>
      <c r="BA7" s="13" t="str">
        <f ca="1">IF(StdDisziplinen[[#This Row],[Res_Code]]=2,"0"&amp;$AZ$3&amp;"00",IF(StdDisziplinen[[#This Row],[Res_Code]]=1,"0"&amp;$AZ$3&amp;"0","0"))</f>
        <v>0,00</v>
      </c>
      <c r="BB7" s="13"/>
      <c r="BC7" s="3" t="str">
        <f>IFERROR(REPLACE(StdDisziplinen[[#This Row],[StdTabResRes]],LEN(StdDisziplinen[[#This Row],[StdTabResRes]])-9,8,StdDisziplinen[[#Headers],[BedRes]]),"")</f>
        <v>AchtzigmLaufResultat[@[BedRes]]</v>
      </c>
      <c r="BD7" s="3" t="str">
        <f>StdDisziplinen[[#This Row],[StdTabResultat]]&amp;"["&amp;$BD$2&amp;"]"</f>
        <v>AchtzigmLaufResultat[Eingabe]</v>
      </c>
      <c r="BE7" s="13">
        <f ca="1">COUNTA(INDIRECT(StdDisziplinen[[#This Row],[StdTabEingabe]]))</f>
        <v>0</v>
      </c>
      <c r="BF7" s="3" t="str">
        <f>StdDisziplinen[[#This Row],[StdTabResultat]]&amp;"["&amp;$BF$2&amp;"]"</f>
        <v>AchtzigmLaufResultat[#Kopfzeilen]</v>
      </c>
      <c r="BG7" s="3" t="str">
        <f>StdDisziplinen[[#This Row],[StdTabResultat]]&amp;"["&amp;$W$2&amp;"]"</f>
        <v>AchtzigmLaufResultat[Eingabe]</v>
      </c>
      <c r="BH7" s="3" cm="1">
        <f t="array" aca="1" ref="BH7" ca="1">ROW(INDIRECT(StdDisziplinen[[#This Row],[Bereich_Ein_Z]]))+$BH$2</f>
        <v>28</v>
      </c>
      <c r="BI7" s="3">
        <f ca="1">StdDisziplinen[[#This Row],[Bereich_Ein_ZStart]]+$BI$2</f>
        <v>57</v>
      </c>
      <c r="BJ7" s="3" t="str" cm="1">
        <f t="array" aca="1" ref="BJ7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$S$28:$S$57</v>
      </c>
      <c r="BK7" s="3" t="str" cm="1">
        <f t="array" aca="1" ref="BK7" ca="1">IFERROR(ADDRESS(ROW(INDIRECT(StdDisziplinen[[#This Row],[StufeMax]])),COLUMN(INDIRECT(StdDisziplinen[[#This Row],[StufeMax]])),1,1,),"")</f>
        <v>$S$25</v>
      </c>
      <c r="BM7" s="3" t="s">
        <v>296</v>
      </c>
      <c r="BN7" t="s">
        <v>59</v>
      </c>
      <c r="BO7" t="str">
        <f>StdBS[[#This Row],[StdNummer]]&amp;"   "&amp;StdBS[[#This Row],[StdBS]]</f>
        <v>BS.2   Bewegen an Geräten</v>
      </c>
      <c r="BP7">
        <v>6</v>
      </c>
      <c r="BQ7">
        <v>2</v>
      </c>
      <c r="BR7">
        <f>$L$37</f>
        <v>32</v>
      </c>
      <c r="BS7" s="46">
        <v>0.1</v>
      </c>
      <c r="BU7" t="str">
        <f>$BQ$17&amp;$CA$5</f>
        <v>Ausdauerdisziplinen</v>
      </c>
      <c r="BV7" s="64">
        <v>1</v>
      </c>
      <c r="BX7" t="s">
        <v>25</v>
      </c>
      <c r="BZ7" t="s">
        <v>346</v>
      </c>
    </row>
    <row r="8" spans="1:82">
      <c r="L8" s="3" cm="1">
        <f t="array" ref="L8">ROW()-ROW(StdDisziplinen[#Headers])</f>
        <v>3</v>
      </c>
      <c r="M8" s="3" t="s">
        <v>295</v>
      </c>
      <c r="N8" s="3" t="s">
        <v>99</v>
      </c>
      <c r="O8" s="3" t="s">
        <v>51</v>
      </c>
      <c r="P8" s="3" t="s">
        <v>63</v>
      </c>
      <c r="Q8" s="3" t="s">
        <v>17</v>
      </c>
      <c r="R8" t="s">
        <v>43</v>
      </c>
      <c r="S8" s="41" t="s">
        <v>82</v>
      </c>
      <c r="T8" s="41" t="str">
        <f>LEFT(S8,4)&amp;"H"</f>
        <v>ZwölH</v>
      </c>
      <c r="U8" s="13">
        <f>LEN(StdDisziplinen[[#This Row],[StdTabÜberschrift]])+$U$3</f>
        <v>19</v>
      </c>
      <c r="V8" t="str">
        <f>StdDisziplinen[[#This Row],[StdTabÜberschrift]]&amp;$V$2</f>
        <v>ZwölfMinLaufHalleResultat</v>
      </c>
      <c r="W8" t="str">
        <f>StdDisziplinen[[#This Row],[StdTabResultat]]&amp;$W$3</f>
        <v>ZwölfMinLaufHalleResultat[@[Eingabe]]</v>
      </c>
      <c r="X8" t="str">
        <f>StdDisziplinen[[#This Row],[StdTabResultat]]&amp;$X$3</f>
        <v>ZwölfMinLaufHalleResultat[@[Resultat]]</v>
      </c>
      <c r="Y8" t="str">
        <f>StdDisziplinen[[#This Row],[StdTabÜberschrift]]&amp;$Y$2</f>
        <v>ZwölfMinLaufHalleGerundet</v>
      </c>
      <c r="Z8" t="str">
        <f>StdDisziplinen[[#This Row],[StdTabGerundet]]&amp;$Z$3</f>
        <v>ZwölfMinLaufHalleGerundet[@[Rundung]]</v>
      </c>
      <c r="AA8" t="str">
        <f>StdDisziplinen[[#This Row],[StdTabÜberschrift]]&amp;$AA$3&amp;$AA$2</f>
        <v>ZwölfMinLaufHalle_X[Resultat]</v>
      </c>
      <c r="AB8" s="3" t="str">
        <f>StdDisziplinen[[#This Row],[StdTabÜberschrift]]&amp;$AB$2&amp;$AB$3</f>
        <v>ZwölfMinLaufHalleSkalawert[@[Skala-Wert]]</v>
      </c>
      <c r="AC8" t="str">
        <f>StdDisziplinen[[#This Row],[StdTabÜberschrift]]&amp;$AC$3&amp;"["&amp;StdDisziplinen[[#This Row],[Ergebnis]]&amp;"]"</f>
        <v>ZwölfMinLaufHalle_X[Note]</v>
      </c>
      <c r="AD8" t="str">
        <f>StdDisziplinen[[#This Row],[StdTabÜberschrift]]&amp;StdDisziplinen[[#This Row],[Ergebnis]]&amp;"[@["&amp;StdDisziplinen[[#This Row],[Ergebnis]]&amp;"]]"</f>
        <v>ZwölfMinLaufHalleNote[@[Note]]</v>
      </c>
      <c r="AE8" t="str">
        <f>StdDisziplinen[[#This Row],[StdTabResultat]]&amp;$AE$2</f>
        <v>ZwölfMinLaufHalleResultat[Resultat]</v>
      </c>
      <c r="AF8" t="s">
        <v>123</v>
      </c>
      <c r="AG8" t="s">
        <v>46</v>
      </c>
      <c r="AH8" s="41" t="s">
        <v>240</v>
      </c>
      <c r="AI8" t="str">
        <f>IFERROR(INDEX(StdBewertungen[Anzeigetext],MATCH(StdDisziplinen[[#This Row],[Bewertung]],StdBewertungen[StdBewertung],0)),"")</f>
        <v>Anzahl Runden</v>
      </c>
      <c r="AJ8" t="s">
        <v>7</v>
      </c>
      <c r="AM8" t="str">
        <f>IF(OR(StdDisziplinen[[#This Row],[Maximalwert_OS1]]&lt;&gt;"",StdDisziplinen[[#This Row],[Maximalwert_OS2]]&lt;&gt;""),$AM$2,"")</f>
        <v/>
      </c>
      <c r="AN8">
        <v>1</v>
      </c>
      <c r="AO8">
        <v>0.5</v>
      </c>
      <c r="AP8" s="13"/>
      <c r="AR8" t="str">
        <f>$AR$2&amp;StdDisziplinen[[#This Row],[StdTabMax]]</f>
        <v>_Stufe_ZwölH</v>
      </c>
      <c r="AS8" t="str">
        <f>IF(StdDisziplinen[[#This Row],[Maximalwert_OS1]]="","",REPLACE($AS$2,6,2,StdDisziplinen[[#This Row],[Maximalwert_OS1]])&amp;StdDisziplinen[[#This Row],[GemStufe]])</f>
        <v/>
      </c>
      <c r="AT8" t="str">
        <f>IF(StdDisziplinen[[#This Row],[Maximalwert_OS2]]="","",REPLACE($AT$2,6,2,StdDisziplinen[[#This Row],[Maximalwert_OS2]])&amp;StdDisziplinen[[#This Row],[GemStufe]])</f>
        <v/>
      </c>
      <c r="AU8" s="13">
        <f ca="1">MATCH(StdDisziplinen[[#This Row],[ID]],Resultatmappe!$A$3:$ACN$3,0)</f>
        <v>31</v>
      </c>
      <c r="AV8" s="13">
        <v>1</v>
      </c>
      <c r="AW8" s="13">
        <v>1</v>
      </c>
      <c r="AX8" s="13">
        <v>1</v>
      </c>
      <c r="AY8" s="13">
        <v>1</v>
      </c>
      <c r="AZ8" s="13" t="str">
        <f ca="1">IF(StdDisziplinen[[#This Row],[Res_Code]]=2,"0"&amp;$AZ$3&amp;"00",IF(StdDisziplinen[[#This Row],[Res_Code]]=1,"0"&amp;$AZ$3&amp;"0","0"))</f>
        <v>0,0</v>
      </c>
      <c r="BA8" s="13" t="str">
        <f ca="1">IF(StdDisziplinen[[#This Row],[Res_Code]]=2,"0"&amp;$AZ$3&amp;"00",IF(StdDisziplinen[[#This Row],[Res_Code]]=1,"0"&amp;$AZ$3&amp;"0","0"))</f>
        <v>0,0</v>
      </c>
      <c r="BB8" s="13"/>
      <c r="BC8" s="3" t="str">
        <f>IFERROR(REPLACE(StdDisziplinen[[#This Row],[StdTabResRes]],LEN(StdDisziplinen[[#This Row],[StdTabResRes]])-9,8,StdDisziplinen[[#Headers],[BedRes]]),"")</f>
        <v>ZwölfMinLaufHalleResultat[@[BedRes]]</v>
      </c>
      <c r="BD8" s="3" t="str">
        <f>StdDisziplinen[[#This Row],[StdTabResultat]]&amp;"["&amp;$BD$2&amp;"]"</f>
        <v>ZwölfMinLaufHalleResultat[Eingabe]</v>
      </c>
      <c r="BE8" s="13">
        <f ca="1">COUNTA(INDIRECT(StdDisziplinen[[#This Row],[StdTabEingabe]]))</f>
        <v>0</v>
      </c>
      <c r="BF8" s="3" t="str">
        <f>StdDisziplinen[[#This Row],[StdTabResultat]]&amp;"["&amp;$BF$2&amp;"]"</f>
        <v>ZwölfMinLaufHalleResultat[#Kopfzeilen]</v>
      </c>
      <c r="BG8" s="3" t="str">
        <f>StdDisziplinen[[#This Row],[StdTabResultat]]&amp;"["&amp;$W$2&amp;"]"</f>
        <v>ZwölfMinLaufHalleResultat[Eingabe]</v>
      </c>
      <c r="BH8" s="3" cm="1">
        <f t="array" aca="1" ref="BH8" ca="1">ROW(INDIRECT(StdDisziplinen[[#This Row],[Bereich_Ein_Z]]))+$BH$2</f>
        <v>28</v>
      </c>
      <c r="BI8" s="3">
        <f ca="1">StdDisziplinen[[#This Row],[Bereich_Ein_ZStart]]+$BI$2</f>
        <v>57</v>
      </c>
      <c r="BJ8" s="3" t="str" cm="1">
        <f t="array" aca="1" ref="BJ8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$AE$28:$AE$57</v>
      </c>
      <c r="BK8" s="3" t="str" cm="1">
        <f t="array" aca="1" ref="BK8" ca="1">IFERROR(ADDRESS(ROW(INDIRECT(StdDisziplinen[[#This Row],[StufeMax]])),COLUMN(INDIRECT(StdDisziplinen[[#This Row],[StufeMax]])),1,1,),"")</f>
        <v>$AE$25</v>
      </c>
      <c r="BM8" s="3" t="s">
        <v>297</v>
      </c>
      <c r="BN8" t="s">
        <v>60</v>
      </c>
      <c r="BO8" t="str">
        <f>StdBS[[#This Row],[StdNummer]]&amp;"   "&amp;StdBS[[#This Row],[StdBS]]</f>
        <v>BS.3   Darstellen und Tanzen</v>
      </c>
      <c r="BP8">
        <v>3</v>
      </c>
      <c r="BQ8">
        <v>1</v>
      </c>
      <c r="BR8">
        <f>$L$38</f>
        <v>33</v>
      </c>
      <c r="BU8" t="str">
        <f>"Sprung"&amp;$CA$5</f>
        <v>Sprungdisziplinen</v>
      </c>
      <c r="BV8" s="64">
        <v>1</v>
      </c>
      <c r="BZ8" t="s">
        <v>340</v>
      </c>
    </row>
    <row r="9" spans="1:82">
      <c r="L9" s="3" cm="1">
        <f t="array" ref="L9">ROW()-ROW(StdDisziplinen[#Headers])</f>
        <v>4</v>
      </c>
      <c r="M9" s="3" t="s">
        <v>295</v>
      </c>
      <c r="N9" s="3" t="s">
        <v>99</v>
      </c>
      <c r="O9" s="3" t="s">
        <v>51</v>
      </c>
      <c r="P9" s="3" t="s">
        <v>63</v>
      </c>
      <c r="Q9" s="3" t="s">
        <v>17</v>
      </c>
      <c r="R9" t="s">
        <v>44</v>
      </c>
      <c r="S9" s="41" t="s">
        <v>83</v>
      </c>
      <c r="T9" s="41" t="str">
        <f>LEFT(S9,4)&amp;"F"</f>
        <v>ZwölF</v>
      </c>
      <c r="U9" s="13">
        <f>LEN(StdDisziplinen[[#This Row],[StdTabÜberschrift]])+$U$3</f>
        <v>22</v>
      </c>
      <c r="V9" t="str">
        <f>StdDisziplinen[[#This Row],[StdTabÜberschrift]]&amp;$V$2</f>
        <v>ZwölfMinLaufimFreienResultat</v>
      </c>
      <c r="W9" t="str">
        <f>StdDisziplinen[[#This Row],[StdTabResultat]]&amp;$W$3</f>
        <v>ZwölfMinLaufimFreienResultat[@[Eingabe]]</v>
      </c>
      <c r="X9" t="str">
        <f>StdDisziplinen[[#This Row],[StdTabResultat]]&amp;$X$3</f>
        <v>ZwölfMinLaufimFreienResultat[@[Resultat]]</v>
      </c>
      <c r="Y9" t="str">
        <f>StdDisziplinen[[#This Row],[StdTabÜberschrift]]&amp;$Y$2</f>
        <v>ZwölfMinLaufimFreienGerundet</v>
      </c>
      <c r="Z9" t="str">
        <f>StdDisziplinen[[#This Row],[StdTabGerundet]]&amp;$Z$3</f>
        <v>ZwölfMinLaufimFreienGerundet[@[Rundung]]</v>
      </c>
      <c r="AA9" t="str">
        <f>StdDisziplinen[[#This Row],[StdTabÜberschrift]]&amp;$AA$3&amp;$AA$2</f>
        <v>ZwölfMinLaufimFreien_X[Resultat]</v>
      </c>
      <c r="AB9" s="3" t="str">
        <f>StdDisziplinen[[#This Row],[StdTabÜberschrift]]&amp;$AB$2&amp;$AB$3</f>
        <v>ZwölfMinLaufimFreienSkalawert[@[Skala-Wert]]</v>
      </c>
      <c r="AC9" t="str">
        <f>StdDisziplinen[[#This Row],[StdTabÜberschrift]]&amp;$AC$3&amp;"["&amp;StdDisziplinen[[#This Row],[Ergebnis]]&amp;"]"</f>
        <v>ZwölfMinLaufimFreien_X[Note]</v>
      </c>
      <c r="AD9" t="str">
        <f>StdDisziplinen[[#This Row],[StdTabÜberschrift]]&amp;StdDisziplinen[[#This Row],[Ergebnis]]&amp;"[@["&amp;StdDisziplinen[[#This Row],[Ergebnis]]&amp;"]]"</f>
        <v>ZwölfMinLaufimFreienNote[@[Note]]</v>
      </c>
      <c r="AE9" t="str">
        <f>StdDisziplinen[[#This Row],[StdTabResultat]]&amp;$AE$2</f>
        <v>ZwölfMinLaufimFreienResultat[Resultat]</v>
      </c>
      <c r="AF9" t="s">
        <v>124</v>
      </c>
      <c r="AG9" t="s">
        <v>35</v>
      </c>
      <c r="AH9" t="str">
        <f>StdDisziplinen[[#This Row],[Bewertung]]</f>
        <v>Meter</v>
      </c>
      <c r="AI9" t="str">
        <f>IFERROR(INDEX(StdBewertungen[Anzeigetext],MATCH(StdDisziplinen[[#This Row],[Bewertung]],StdBewertungen[StdBewertung],0)),"")</f>
        <v>Distanz</v>
      </c>
      <c r="AJ9" t="s">
        <v>7</v>
      </c>
      <c r="AM9" t="str">
        <f>IF(OR(StdDisziplinen[[#This Row],[Maximalwert_OS1]]&lt;&gt;"",StdDisziplinen[[#This Row],[Maximalwert_OS2]]&lt;&gt;""),$AM$2,"")</f>
        <v/>
      </c>
      <c r="AN9">
        <v>1</v>
      </c>
      <c r="AO9">
        <v>1</v>
      </c>
      <c r="AP9" s="13"/>
      <c r="AR9" t="str">
        <f>$AR$2&amp;StdDisziplinen[[#This Row],[StdTabMax]]</f>
        <v>_Stufe_ZwölF</v>
      </c>
      <c r="AS9" t="str">
        <f>IF(StdDisziplinen[[#This Row],[Maximalwert_OS1]]="","",REPLACE($AS$2,6,2,StdDisziplinen[[#This Row],[Maximalwert_OS1]])&amp;StdDisziplinen[[#This Row],[GemStufe]])</f>
        <v/>
      </c>
      <c r="AT9" t="str">
        <f>IF(StdDisziplinen[[#This Row],[Maximalwert_OS2]]="","",REPLACE($AT$2,6,2,StdDisziplinen[[#This Row],[Maximalwert_OS2]])&amp;StdDisziplinen[[#This Row],[GemStufe]])</f>
        <v/>
      </c>
      <c r="AU9" s="13">
        <f ca="1">MATCH(StdDisziplinen[[#This Row],[ID]],Resultatmappe!$A$3:$ACN$3,0)</f>
        <v>43</v>
      </c>
      <c r="AV9" s="13">
        <v>0</v>
      </c>
      <c r="AW9" s="13">
        <v>0</v>
      </c>
      <c r="AX9" s="13">
        <v>0</v>
      </c>
      <c r="AY9" s="13">
        <v>1</v>
      </c>
      <c r="AZ9" s="13" t="str">
        <f>IF(StdDisziplinen[[#This Row],[Res_Code]]=2,"0"&amp;$AZ$3&amp;"00",IF(StdDisziplinen[[#This Row],[Res_Code]]=1,"0"&amp;$AZ$3&amp;"0","0"))</f>
        <v>0</v>
      </c>
      <c r="BA9" s="13" t="str">
        <f>IF(StdDisziplinen[[#This Row],[Res_Code]]=2,"0"&amp;$AZ$3&amp;"00",IF(StdDisziplinen[[#This Row],[Res_Code]]=1,"0"&amp;$AZ$3&amp;"0","0"))</f>
        <v>0</v>
      </c>
      <c r="BB9" s="13"/>
      <c r="BC9" s="3" t="str">
        <f>IFERROR(REPLACE(StdDisziplinen[[#This Row],[StdTabResRes]],LEN(StdDisziplinen[[#This Row],[StdTabResRes]])-9,8,StdDisziplinen[[#Headers],[BedRes]]),"")</f>
        <v>ZwölfMinLaufimFreienResultat[@[BedRes]]</v>
      </c>
      <c r="BD9" s="3" t="str">
        <f>StdDisziplinen[[#This Row],[StdTabResultat]]&amp;"["&amp;$BD$2&amp;"]"</f>
        <v>ZwölfMinLaufimFreienResultat[Eingabe]</v>
      </c>
      <c r="BE9" s="13">
        <f ca="1">COUNTA(INDIRECT(StdDisziplinen[[#This Row],[StdTabEingabe]]))</f>
        <v>0</v>
      </c>
      <c r="BF9" s="3" t="str">
        <f>StdDisziplinen[[#This Row],[StdTabResultat]]&amp;"["&amp;$BF$2&amp;"]"</f>
        <v>ZwölfMinLaufimFreienResultat[#Kopfzeilen]</v>
      </c>
      <c r="BG9" s="3" t="str">
        <f>StdDisziplinen[[#This Row],[StdTabResultat]]&amp;"["&amp;$W$2&amp;"]"</f>
        <v>ZwölfMinLaufimFreienResultat[Eingabe]</v>
      </c>
      <c r="BH9" s="3" cm="1">
        <f t="array" aca="1" ref="BH9" ca="1">ROW(INDIRECT(StdDisziplinen[[#This Row],[Bereich_Ein_Z]]))+$BH$2</f>
        <v>28</v>
      </c>
      <c r="BI9" s="3">
        <f ca="1">StdDisziplinen[[#This Row],[Bereich_Ein_ZStart]]+$BI$2</f>
        <v>57</v>
      </c>
      <c r="BJ9" s="3" t="str" cm="1">
        <f t="array" aca="1" ref="BJ9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$AQ$28:$AQ$57</v>
      </c>
      <c r="BK9" s="3" t="str" cm="1">
        <f t="array" aca="1" ref="BK9" ca="1">IFERROR(ADDRESS(ROW(INDIRECT(StdDisziplinen[[#This Row],[StufeMax]])),COLUMN(INDIRECT(StdDisziplinen[[#This Row],[StufeMax]])),1,1,),"")</f>
        <v>$AQ$25</v>
      </c>
      <c r="BM9" s="3" t="s">
        <v>298</v>
      </c>
      <c r="BN9" t="s">
        <v>61</v>
      </c>
      <c r="BO9" t="str">
        <f>StdBS[[#This Row],[StdNummer]]&amp;"   "&amp;StdBS[[#This Row],[StdBS]]</f>
        <v>BS.4   Spielen</v>
      </c>
      <c r="BP9">
        <v>5</v>
      </c>
      <c r="BQ9">
        <v>3</v>
      </c>
      <c r="BR9">
        <f>$L$39</f>
        <v>34</v>
      </c>
      <c r="BS9" s="46">
        <v>0.1</v>
      </c>
      <c r="BU9" t="str">
        <f>"Wurf"&amp;$CA$5</f>
        <v>Wurfdisziplinen</v>
      </c>
      <c r="BV9" s="64">
        <v>1</v>
      </c>
      <c r="BZ9" t="s">
        <v>322</v>
      </c>
      <c r="CA9" t="str">
        <f>"Erstellung Text"&amp;LOWER($BZ$9)</f>
        <v>Erstellung Textanzeige</v>
      </c>
    </row>
    <row r="10" spans="1:82">
      <c r="L10" s="3" cm="1">
        <f t="array" ref="L10">ROW()-ROW(StdDisziplinen[#Headers])</f>
        <v>5</v>
      </c>
      <c r="M10" s="34" t="s">
        <v>295</v>
      </c>
      <c r="N10" s="34"/>
      <c r="O10" s="34" t="s">
        <v>3</v>
      </c>
      <c r="P10" s="34"/>
      <c r="Q10" s="34"/>
      <c r="R10" s="33" t="s">
        <v>4</v>
      </c>
      <c r="S10" s="33" t="str">
        <f>StdDisziplinen[[#This Row],[StdDisziplin]]</f>
        <v>Hochsprung</v>
      </c>
      <c r="T10" t="str">
        <f t="shared" ref="T10:T34" si="0">LEFT(S10,4)</f>
        <v>Hoch</v>
      </c>
      <c r="U10" s="13">
        <f>LEN(StdDisziplinen[[#This Row],[StdTabÜberschrift]])+$U$3</f>
        <v>12</v>
      </c>
      <c r="V10" t="str">
        <f>StdDisziplinen[[#This Row],[StdTabÜberschrift]]&amp;$V$2</f>
        <v>HochsprungResultat</v>
      </c>
      <c r="W10" t="str">
        <f>StdDisziplinen[[#This Row],[StdTabResultat]]&amp;$W$3</f>
        <v>HochsprungResultat[@[Eingabe]]</v>
      </c>
      <c r="X10" t="str">
        <f>StdDisziplinen[[#This Row],[StdTabResultat]]&amp;$X$3</f>
        <v>HochsprungResultat[@[Resultat]]</v>
      </c>
      <c r="Y10" t="str">
        <f>StdDisziplinen[[#This Row],[StdTabÜberschrift]]&amp;$Y$2</f>
        <v>HochsprungGerundet</v>
      </c>
      <c r="Z10" t="str">
        <f>StdDisziplinen[[#This Row],[StdTabGerundet]]&amp;$Z$3</f>
        <v>HochsprungGerundet[@[Rundung]]</v>
      </c>
      <c r="AA10" t="str">
        <f>StdDisziplinen[[#This Row],[StdTabÜberschrift]]&amp;$AA$3&amp;$AA$2</f>
        <v>Hochsprung_X[Resultat]</v>
      </c>
      <c r="AB10" s="3" t="str">
        <f>StdDisziplinen[[#This Row],[StdTabÜberschrift]]&amp;$AB$2&amp;$AB$3</f>
        <v>HochsprungSkalawert[@[Skala-Wert]]</v>
      </c>
      <c r="AC10" s="33" t="str">
        <f>StdDisziplinen[[#This Row],[StdTabÜberschrift]]&amp;$AC$3&amp;"["&amp;StdDisziplinen[[#This Row],[Ergebnis]]&amp;"]"</f>
        <v>Hochsprung_X[Note]</v>
      </c>
      <c r="AD10" s="33" t="str">
        <f>StdDisziplinen[[#This Row],[StdTabÜberschrift]]&amp;StdDisziplinen[[#This Row],[Ergebnis]]&amp;"[@["&amp;StdDisziplinen[[#This Row],[Ergebnis]]&amp;"]]"</f>
        <v>HochsprungNote[@[Note]]</v>
      </c>
      <c r="AE10" s="33" t="str">
        <f>StdDisziplinen[[#This Row],[StdTabResultat]]&amp;$AE$2</f>
        <v>HochsprungResultat[Resultat]</v>
      </c>
      <c r="AF10" s="33" t="s">
        <v>125</v>
      </c>
      <c r="AG10" s="33" t="s">
        <v>45</v>
      </c>
      <c r="AH10" s="42" t="s">
        <v>69</v>
      </c>
      <c r="AI10" s="33" t="str">
        <f>IFERROR(INDEX(StdBewertungen[Anzeigetext],MATCH(StdDisziplinen[[#This Row],[Bewertung]],StdBewertungen[StdBewertung],0)),"")</f>
        <v>Distanz</v>
      </c>
      <c r="AJ10" s="33" t="s">
        <v>7</v>
      </c>
      <c r="AK10" s="33"/>
      <c r="AL10" s="33"/>
      <c r="AM10" s="33" t="str">
        <f>IF(OR(StdDisziplinen[[#This Row],[Maximalwert_OS1]]&lt;&gt;"",StdDisziplinen[[#This Row],[Maximalwert_OS2]]&lt;&gt;""),$AM$2,"")</f>
        <v/>
      </c>
      <c r="AN10" s="32">
        <v>1</v>
      </c>
      <c r="AO10">
        <v>1</v>
      </c>
      <c r="AP10" s="13"/>
      <c r="AR10" t="str">
        <f>$AR$2&amp;StdDisziplinen[[#This Row],[StdTabMax]]</f>
        <v>_Stufe_Hoch</v>
      </c>
      <c r="AS10" t="str">
        <f>IF(StdDisziplinen[[#This Row],[Maximalwert_OS1]]="","",REPLACE($AS$2,6,2,StdDisziplinen[[#This Row],[Maximalwert_OS1]])&amp;StdDisziplinen[[#This Row],[GemStufe]])</f>
        <v/>
      </c>
      <c r="AT10" t="str">
        <f>IF(StdDisziplinen[[#This Row],[Maximalwert_OS2]]="","",REPLACE($AT$2,6,2,StdDisziplinen[[#This Row],[Maximalwert_OS2]])&amp;StdDisziplinen[[#This Row],[GemStufe]])</f>
        <v/>
      </c>
      <c r="AU10" s="13">
        <f ca="1">MATCH(StdDisziplinen[[#This Row],[ID]],Resultatmappe!$A$3:$ACN$3,0)</f>
        <v>55</v>
      </c>
      <c r="AV10" s="13">
        <v>0</v>
      </c>
      <c r="AW10" s="13">
        <v>0</v>
      </c>
      <c r="AX10" s="13">
        <v>0</v>
      </c>
      <c r="AY10" s="13">
        <v>1</v>
      </c>
      <c r="AZ10" s="13" t="str">
        <f>IF(StdDisziplinen[[#This Row],[Res_Code]]=2,"0"&amp;$AZ$3&amp;"00",IF(StdDisziplinen[[#This Row],[Res_Code]]=1,"0"&amp;$AZ$3&amp;"0","0"))</f>
        <v>0</v>
      </c>
      <c r="BA10" s="13" t="str">
        <f>IF(StdDisziplinen[[#This Row],[Res_Code]]=2,"0"&amp;$AZ$3&amp;"00",IF(StdDisziplinen[[#This Row],[Res_Code]]=1,"0"&amp;$AZ$3&amp;"0","0"))</f>
        <v>0</v>
      </c>
      <c r="BB10" s="13"/>
      <c r="BC10" s="3" t="str">
        <f>IFERROR(REPLACE(StdDisziplinen[[#This Row],[StdTabResRes]],LEN(StdDisziplinen[[#This Row],[StdTabResRes]])-9,8,StdDisziplinen[[#Headers],[BedRes]]),"")</f>
        <v>HochsprungResultat[@[BedRes]]</v>
      </c>
      <c r="BD10" s="3" t="str">
        <f>StdDisziplinen[[#This Row],[StdTabResultat]]&amp;"["&amp;$BD$2&amp;"]"</f>
        <v>HochsprungResultat[Eingabe]</v>
      </c>
      <c r="BE10" s="13">
        <f ca="1">COUNTA(INDIRECT(StdDisziplinen[[#This Row],[StdTabEingabe]]))</f>
        <v>0</v>
      </c>
      <c r="BF10" s="3" t="str">
        <f>StdDisziplinen[[#This Row],[StdTabResultat]]&amp;"["&amp;$BF$2&amp;"]"</f>
        <v>HochsprungResultat[#Kopfzeilen]</v>
      </c>
      <c r="BG10" s="3" t="str">
        <f>StdDisziplinen[[#This Row],[StdTabResultat]]&amp;"["&amp;$W$2&amp;"]"</f>
        <v>HochsprungResultat[Eingabe]</v>
      </c>
      <c r="BH10" s="3" cm="1">
        <f t="array" aca="1" ref="BH10" ca="1">ROW(INDIRECT(StdDisziplinen[[#This Row],[Bereich_Ein_Z]]))+$BH$2</f>
        <v>28</v>
      </c>
      <c r="BI10" s="3">
        <f ca="1">StdDisziplinen[[#This Row],[Bereich_Ein_ZStart]]+$BI$2</f>
        <v>57</v>
      </c>
      <c r="BJ10" s="3" t="str" cm="1">
        <f t="array" aca="1" ref="BJ10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$BC$28:$BC$57</v>
      </c>
      <c r="BK10" s="3" t="str" cm="1">
        <f t="array" aca="1" ref="BK10" ca="1">IFERROR(ADDRESS(ROW(INDIRECT(StdDisziplinen[[#This Row],[StufeMax]])),COLUMN(INDIRECT(StdDisziplinen[[#This Row],[StufeMax]])),1,1,),"")</f>
        <v>$BC$25</v>
      </c>
      <c r="BM10" s="3" t="s">
        <v>299</v>
      </c>
      <c r="BN10" t="s">
        <v>92</v>
      </c>
      <c r="BO10" t="str">
        <f>StdBS[[#This Row],[StdNummer]]&amp;"   "&amp;StdBS[[#This Row],[StdBS]]</f>
        <v>BS.5   Gleiten, Rollen, Fahren</v>
      </c>
      <c r="BU10" s="17" t="str">
        <f>$BZ$20&amp;"eturnen"</f>
        <v>Geräteturnen</v>
      </c>
      <c r="BV10" s="64">
        <v>3</v>
      </c>
      <c r="BZ10" t="s">
        <v>333</v>
      </c>
      <c r="CA10" t="s">
        <v>424</v>
      </c>
      <c r="CB10" t="str">
        <f>$CA$10&amp;LOWER($BZ$10)</f>
        <v>Diplomausgabe</v>
      </c>
    </row>
    <row r="11" spans="1:82">
      <c r="L11" s="3" cm="1">
        <f t="array" ref="L11">ROW()-ROW(StdDisziplinen[#Headers])</f>
        <v>6</v>
      </c>
      <c r="M11" s="3" t="s">
        <v>295</v>
      </c>
      <c r="O11" s="3" t="s">
        <v>3</v>
      </c>
      <c r="R11" t="s">
        <v>5</v>
      </c>
      <c r="S11" t="str">
        <f>StdDisziplinen[[#This Row],[StdDisziplin]]</f>
        <v>Weitsprung</v>
      </c>
      <c r="T11" t="str">
        <f t="shared" si="0"/>
        <v>Weit</v>
      </c>
      <c r="U11" s="13">
        <f>LEN(StdDisziplinen[[#This Row],[StdTabÜberschrift]])+$U$3</f>
        <v>12</v>
      </c>
      <c r="V11" t="str">
        <f>StdDisziplinen[[#This Row],[StdTabÜberschrift]]&amp;$V$2</f>
        <v>WeitsprungResultat</v>
      </c>
      <c r="W11" t="str">
        <f>StdDisziplinen[[#This Row],[StdTabResultat]]&amp;$W$3</f>
        <v>WeitsprungResultat[@[Eingabe]]</v>
      </c>
      <c r="X11" t="str">
        <f>StdDisziplinen[[#This Row],[StdTabResultat]]&amp;$X$3</f>
        <v>WeitsprungResultat[@[Resultat]]</v>
      </c>
      <c r="Y11" t="str">
        <f>StdDisziplinen[[#This Row],[StdTabÜberschrift]]&amp;$Y$2</f>
        <v>WeitsprungGerundet</v>
      </c>
      <c r="Z11" t="str">
        <f>StdDisziplinen[[#This Row],[StdTabGerundet]]&amp;$Z$3</f>
        <v>WeitsprungGerundet[@[Rundung]]</v>
      </c>
      <c r="AA11" t="str">
        <f>StdDisziplinen[[#This Row],[StdTabÜberschrift]]&amp;$AA$3&amp;$AA$2</f>
        <v>Weitsprung_X[Resultat]</v>
      </c>
      <c r="AB11" s="3" t="str">
        <f>StdDisziplinen[[#This Row],[StdTabÜberschrift]]&amp;$AB$2&amp;$AB$3</f>
        <v>WeitsprungSkalawert[@[Skala-Wert]]</v>
      </c>
      <c r="AC11" t="str">
        <f>StdDisziplinen[[#This Row],[StdTabÜberschrift]]&amp;$AC$3&amp;"["&amp;StdDisziplinen[[#This Row],[Ergebnis]]&amp;"]"</f>
        <v>Weitsprung_X[Note]</v>
      </c>
      <c r="AD11" t="str">
        <f>StdDisziplinen[[#This Row],[StdTabÜberschrift]]&amp;StdDisziplinen[[#This Row],[Ergebnis]]&amp;"[@["&amp;StdDisziplinen[[#This Row],[Ergebnis]]&amp;"]]"</f>
        <v>WeitsprungNote[@[Note]]</v>
      </c>
      <c r="AE11" t="str">
        <f>StdDisziplinen[[#This Row],[StdTabResultat]]&amp;$AE$2</f>
        <v>WeitsprungResultat[Resultat]</v>
      </c>
      <c r="AF11" t="s">
        <v>125</v>
      </c>
      <c r="AG11" t="s">
        <v>45</v>
      </c>
      <c r="AH11" s="10" t="s">
        <v>69</v>
      </c>
      <c r="AI11" t="str">
        <f>IFERROR(INDEX(StdBewertungen[Anzeigetext],MATCH(StdDisziplinen[[#This Row],[Bewertung]],StdBewertungen[StdBewertung],0)),"")</f>
        <v>Distanz</v>
      </c>
      <c r="AJ11" t="s">
        <v>7</v>
      </c>
      <c r="AM11" t="str">
        <f>IF(OR(StdDisziplinen[[#This Row],[Maximalwert_OS1]]&lt;&gt;"",StdDisziplinen[[#This Row],[Maximalwert_OS2]]&lt;&gt;""),$AM$2,"")</f>
        <v/>
      </c>
      <c r="AN11">
        <v>1</v>
      </c>
      <c r="AO11">
        <v>1</v>
      </c>
      <c r="AP11" s="13"/>
      <c r="AR11" t="str">
        <f>$AR$2&amp;StdDisziplinen[[#This Row],[StdTabMax]]</f>
        <v>_Stufe_Weit</v>
      </c>
      <c r="AS11" t="str">
        <f>IF(StdDisziplinen[[#This Row],[Maximalwert_OS1]]="","",REPLACE($AS$2,6,2,StdDisziplinen[[#This Row],[Maximalwert_OS1]])&amp;StdDisziplinen[[#This Row],[GemStufe]])</f>
        <v/>
      </c>
      <c r="AT11" t="str">
        <f>IF(StdDisziplinen[[#This Row],[Maximalwert_OS2]]="","",REPLACE($AT$2,6,2,StdDisziplinen[[#This Row],[Maximalwert_OS2]])&amp;StdDisziplinen[[#This Row],[GemStufe]])</f>
        <v/>
      </c>
      <c r="AU11" s="13">
        <f ca="1">MATCH(StdDisziplinen[[#This Row],[ID]],Resultatmappe!$A$3:$ACN$3,0)</f>
        <v>67</v>
      </c>
      <c r="AV11" s="13">
        <v>0</v>
      </c>
      <c r="AW11" s="13">
        <v>0</v>
      </c>
      <c r="AX11" s="13">
        <v>0</v>
      </c>
      <c r="AY11" s="13">
        <v>1</v>
      </c>
      <c r="AZ11" s="13" t="str">
        <f>IF(StdDisziplinen[[#This Row],[Res_Code]]=2,"0"&amp;$AZ$3&amp;"00",IF(StdDisziplinen[[#This Row],[Res_Code]]=1,"0"&amp;$AZ$3&amp;"0","0"))</f>
        <v>0</v>
      </c>
      <c r="BA11" s="13" t="str">
        <f>IF(StdDisziplinen[[#This Row],[Res_Code]]=2,"0"&amp;$AZ$3&amp;"00",IF(StdDisziplinen[[#This Row],[Res_Code]]=1,"0"&amp;$AZ$3&amp;"0","0"))</f>
        <v>0</v>
      </c>
      <c r="BB11" s="13"/>
      <c r="BC11" s="3" t="str">
        <f>IFERROR(REPLACE(StdDisziplinen[[#This Row],[StdTabResRes]],LEN(StdDisziplinen[[#This Row],[StdTabResRes]])-9,8,StdDisziplinen[[#Headers],[BedRes]]),"")</f>
        <v>WeitsprungResultat[@[BedRes]]</v>
      </c>
      <c r="BD11" s="3" t="str">
        <f>StdDisziplinen[[#This Row],[StdTabResultat]]&amp;"["&amp;$BD$2&amp;"]"</f>
        <v>WeitsprungResultat[Eingabe]</v>
      </c>
      <c r="BE11" s="13">
        <f ca="1">COUNTA(INDIRECT(StdDisziplinen[[#This Row],[StdTabEingabe]]))</f>
        <v>0</v>
      </c>
      <c r="BF11" s="3" t="str">
        <f>StdDisziplinen[[#This Row],[StdTabResultat]]&amp;"["&amp;$BF$2&amp;"]"</f>
        <v>WeitsprungResultat[#Kopfzeilen]</v>
      </c>
      <c r="BG11" s="3" t="str">
        <f>StdDisziplinen[[#This Row],[StdTabResultat]]&amp;"["&amp;$W$2&amp;"]"</f>
        <v>WeitsprungResultat[Eingabe]</v>
      </c>
      <c r="BH11" s="3" cm="1">
        <f t="array" aca="1" ref="BH11" ca="1">ROW(INDIRECT(StdDisziplinen[[#This Row],[Bereich_Ein_Z]]))+$BH$2</f>
        <v>28</v>
      </c>
      <c r="BI11" s="3">
        <f ca="1">StdDisziplinen[[#This Row],[Bereich_Ein_ZStart]]+$BI$2</f>
        <v>57</v>
      </c>
      <c r="BJ11" s="3" t="str" cm="1">
        <f t="array" aca="1" ref="BJ11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$BO$28:$BO$57</v>
      </c>
      <c r="BK11" s="3" t="str" cm="1">
        <f t="array" aca="1" ref="BK11" ca="1">IFERROR(ADDRESS(ROW(INDIRECT(StdDisziplinen[[#This Row],[StufeMax]])),COLUMN(INDIRECT(StdDisziplinen[[#This Row],[StufeMax]])),1,1,),"")</f>
        <v>$BO$25</v>
      </c>
      <c r="BM11" s="3" t="s">
        <v>300</v>
      </c>
      <c r="BN11" t="s">
        <v>62</v>
      </c>
      <c r="BO11" t="str">
        <f>StdBS[[#This Row],[StdNummer]]&amp;"   "&amp;StdBS[[#This Row],[StdBS]]</f>
        <v>BS.6   Bewegen im Wasser</v>
      </c>
      <c r="BZ11" t="s">
        <v>338</v>
      </c>
      <c r="CA11" t="str">
        <f>$BZ$11&amp;" ok"</f>
        <v>Anz. ok</v>
      </c>
    </row>
    <row r="12" spans="1:82">
      <c r="L12" s="3" cm="1">
        <f t="array" ref="L12">ROW()-ROW(StdDisziplinen[#Headers])</f>
        <v>7</v>
      </c>
      <c r="M12" s="3" t="s">
        <v>295</v>
      </c>
      <c r="O12" s="3" t="s">
        <v>49</v>
      </c>
      <c r="R12" t="s">
        <v>0</v>
      </c>
      <c r="S12" t="str">
        <f>StdDisziplinen[[#This Row],[StdDisziplin]]</f>
        <v>Ballwurf</v>
      </c>
      <c r="T12" t="str">
        <f t="shared" si="0"/>
        <v>Ball</v>
      </c>
      <c r="U12" s="13">
        <f>LEN(StdDisziplinen[[#This Row],[StdTabÜberschrift]])+$U$3</f>
        <v>10</v>
      </c>
      <c r="V12" t="str">
        <f>StdDisziplinen[[#This Row],[StdTabÜberschrift]]&amp;$V$2</f>
        <v>BallwurfResultat</v>
      </c>
      <c r="W12" t="str">
        <f>StdDisziplinen[[#This Row],[StdTabResultat]]&amp;$W$3</f>
        <v>BallwurfResultat[@[Eingabe]]</v>
      </c>
      <c r="X12" t="str">
        <f>StdDisziplinen[[#This Row],[StdTabResultat]]&amp;$X$3</f>
        <v>BallwurfResultat[@[Resultat]]</v>
      </c>
      <c r="Y12" t="str">
        <f>StdDisziplinen[[#This Row],[StdTabÜberschrift]]&amp;$Y$2</f>
        <v>BallwurfGerundet</v>
      </c>
      <c r="Z12" t="str">
        <f>StdDisziplinen[[#This Row],[StdTabGerundet]]&amp;$Z$3</f>
        <v>BallwurfGerundet[@[Rundung]]</v>
      </c>
      <c r="AA12" t="str">
        <f>StdDisziplinen[[#This Row],[StdTabÜberschrift]]&amp;$AA$3&amp;$AA$2</f>
        <v>Ballwurf_X[Resultat]</v>
      </c>
      <c r="AB12" s="3" t="str">
        <f>StdDisziplinen[[#This Row],[StdTabÜberschrift]]&amp;$AB$2&amp;$AB$3</f>
        <v>BallwurfSkalawert[@[Skala-Wert]]</v>
      </c>
      <c r="AC12" t="str">
        <f>StdDisziplinen[[#This Row],[StdTabÜberschrift]]&amp;$AC$3&amp;"["&amp;StdDisziplinen[[#This Row],[Ergebnis]]&amp;"]"</f>
        <v>Ballwurf_X[Note]</v>
      </c>
      <c r="AD12" t="str">
        <f>StdDisziplinen[[#This Row],[StdTabÜberschrift]]&amp;StdDisziplinen[[#This Row],[Ergebnis]]&amp;"[@["&amp;StdDisziplinen[[#This Row],[Ergebnis]]&amp;"]]"</f>
        <v>BallwurfNote[@[Note]]</v>
      </c>
      <c r="AE12" t="str">
        <f>StdDisziplinen[[#This Row],[StdTabResultat]]&amp;$AE$2</f>
        <v>BallwurfResultat[Resultat]</v>
      </c>
      <c r="AF12" t="s">
        <v>126</v>
      </c>
      <c r="AG12" t="s">
        <v>45</v>
      </c>
      <c r="AH12" s="10" t="s">
        <v>35</v>
      </c>
      <c r="AI12" t="str">
        <f>IFERROR(INDEX(StdBewertungen[Anzeigetext],MATCH(StdDisziplinen[[#This Row],[Bewertung]],StdBewertungen[StdBewertung],0)),"")</f>
        <v>Distanz</v>
      </c>
      <c r="AJ12" t="s">
        <v>7</v>
      </c>
      <c r="AM12" t="str">
        <f>IF(OR(StdDisziplinen[[#This Row],[Maximalwert_OS1]]&lt;&gt;"",StdDisziplinen[[#This Row],[Maximalwert_OS2]]&lt;&gt;""),$AM$2,"")</f>
        <v/>
      </c>
      <c r="AN12">
        <v>1</v>
      </c>
      <c r="AO12">
        <v>0.01</v>
      </c>
      <c r="AP12" s="13"/>
      <c r="AR12" t="str">
        <f>$AR$2&amp;StdDisziplinen[[#This Row],[StdTabMax]]</f>
        <v>_Stufe_Ball</v>
      </c>
      <c r="AS12" t="str">
        <f>IF(StdDisziplinen[[#This Row],[Maximalwert_OS1]]="","",REPLACE($AS$2,6,2,StdDisziplinen[[#This Row],[Maximalwert_OS1]])&amp;StdDisziplinen[[#This Row],[GemStufe]])</f>
        <v/>
      </c>
      <c r="AT12" t="str">
        <f>IF(StdDisziplinen[[#This Row],[Maximalwert_OS2]]="","",REPLACE($AT$2,6,2,StdDisziplinen[[#This Row],[Maximalwert_OS2]])&amp;StdDisziplinen[[#This Row],[GemStufe]])</f>
        <v/>
      </c>
      <c r="AU12" s="13">
        <f ca="1">MATCH(StdDisziplinen[[#This Row],[ID]],Resultatmappe!$A$3:$ACN$3,0)</f>
        <v>79</v>
      </c>
      <c r="AV12" s="13">
        <v>2</v>
      </c>
      <c r="AW12" s="13">
        <v>2</v>
      </c>
      <c r="AX12" s="13">
        <v>2</v>
      </c>
      <c r="AY12" s="13">
        <v>1</v>
      </c>
      <c r="AZ12" s="13" t="str">
        <f ca="1">IF(StdDisziplinen[[#This Row],[Res_Code]]=2,"0"&amp;$AZ$3&amp;"00",IF(StdDisziplinen[[#This Row],[Res_Code]]=1,"0"&amp;$AZ$3&amp;"0","0"))</f>
        <v>0,00</v>
      </c>
      <c r="BA12" s="13" t="str">
        <f ca="1">IF(StdDisziplinen[[#This Row],[Res_Code]]=2,"0"&amp;$AZ$3&amp;"00",IF(StdDisziplinen[[#This Row],[Res_Code]]=1,"0"&amp;$AZ$3&amp;"0","0"))</f>
        <v>0,00</v>
      </c>
      <c r="BB12" s="13"/>
      <c r="BC12" s="3" t="str">
        <f>IFERROR(REPLACE(StdDisziplinen[[#This Row],[StdTabResRes]],LEN(StdDisziplinen[[#This Row],[StdTabResRes]])-9,8,StdDisziplinen[[#Headers],[BedRes]]),"")</f>
        <v>BallwurfResultat[@[BedRes]]</v>
      </c>
      <c r="BD12" s="3" t="str">
        <f>StdDisziplinen[[#This Row],[StdTabResultat]]&amp;"["&amp;$BD$2&amp;"]"</f>
        <v>BallwurfResultat[Eingabe]</v>
      </c>
      <c r="BE12" s="13">
        <f ca="1">COUNTA(INDIRECT(StdDisziplinen[[#This Row],[StdTabEingabe]]))</f>
        <v>0</v>
      </c>
      <c r="BF12" s="3" t="str">
        <f>StdDisziplinen[[#This Row],[StdTabResultat]]&amp;"["&amp;$BF$2&amp;"]"</f>
        <v>BallwurfResultat[#Kopfzeilen]</v>
      </c>
      <c r="BG12" s="3" t="str">
        <f>StdDisziplinen[[#This Row],[StdTabResultat]]&amp;"["&amp;$W$2&amp;"]"</f>
        <v>BallwurfResultat[Eingabe]</v>
      </c>
      <c r="BH12" s="3" cm="1">
        <f t="array" aca="1" ref="BH12" ca="1">ROW(INDIRECT(StdDisziplinen[[#This Row],[Bereich_Ein_Z]]))+$BH$2</f>
        <v>28</v>
      </c>
      <c r="BI12" s="3">
        <f ca="1">StdDisziplinen[[#This Row],[Bereich_Ein_ZStart]]+$BI$2</f>
        <v>57</v>
      </c>
      <c r="BJ12" s="3" t="str" cm="1">
        <f t="array" aca="1" ref="BJ12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$CA$28:$CA$57</v>
      </c>
      <c r="BK12" s="3" t="str" cm="1">
        <f t="array" aca="1" ref="BK12" ca="1">IFERROR(ADDRESS(ROW(INDIRECT(StdDisziplinen[[#This Row],[StufeMax]])),COLUMN(INDIRECT(StdDisziplinen[[#This Row],[StufeMax]])),1,1,),"")</f>
        <v>$CA$25</v>
      </c>
      <c r="BM12" s="3"/>
      <c r="BZ12" t="s">
        <v>292</v>
      </c>
      <c r="CA12" t="str">
        <f>" "&amp;$BZ$12&amp;"en"</f>
        <v xml:space="preserve"> Spielsportarten</v>
      </c>
    </row>
    <row r="13" spans="1:82">
      <c r="L13" s="3" cm="1">
        <f t="array" ref="L13">ROW()-ROW(StdDisziplinen[#Headers])</f>
        <v>8</v>
      </c>
      <c r="M13" s="3" t="s">
        <v>295</v>
      </c>
      <c r="O13" s="3" t="s">
        <v>49</v>
      </c>
      <c r="R13" t="s">
        <v>1</v>
      </c>
      <c r="S13" t="str">
        <f>StdDisziplinen[[#This Row],[StdDisziplin]]</f>
        <v>Kugelstossen</v>
      </c>
      <c r="T13" t="str">
        <f t="shared" si="0"/>
        <v>Kuge</v>
      </c>
      <c r="U13" s="13">
        <f>LEN(StdDisziplinen[[#This Row],[StdTabÜberschrift]])+$U$3</f>
        <v>14</v>
      </c>
      <c r="V13" t="str">
        <f>StdDisziplinen[[#This Row],[StdTabÜberschrift]]&amp;$V$2</f>
        <v>KugelstossenResultat</v>
      </c>
      <c r="W13" t="str">
        <f>StdDisziplinen[[#This Row],[StdTabResultat]]&amp;$W$3</f>
        <v>KugelstossenResultat[@[Eingabe]]</v>
      </c>
      <c r="X13" t="str">
        <f>StdDisziplinen[[#This Row],[StdTabResultat]]&amp;$X$3</f>
        <v>KugelstossenResultat[@[Resultat]]</v>
      </c>
      <c r="Y13" t="str">
        <f>StdDisziplinen[[#This Row],[StdTabÜberschrift]]&amp;$Y$2</f>
        <v>KugelstossenGerundet</v>
      </c>
      <c r="Z13" t="str">
        <f>StdDisziplinen[[#This Row],[StdTabGerundet]]&amp;$Z$3</f>
        <v>KugelstossenGerundet[@[Rundung]]</v>
      </c>
      <c r="AA13" t="str">
        <f>StdDisziplinen[[#This Row],[StdTabÜberschrift]]&amp;$AA$3&amp;$AA$2</f>
        <v>Kugelstossen_X[Resultat]</v>
      </c>
      <c r="AB13" s="3" t="str">
        <f>StdDisziplinen[[#This Row],[StdTabÜberschrift]]&amp;$AB$2&amp;$AB$3</f>
        <v>KugelstossenSkalawert[@[Skala-Wert]]</v>
      </c>
      <c r="AC13" t="str">
        <f>StdDisziplinen[[#This Row],[StdTabÜberschrift]]&amp;$AC$3&amp;"["&amp;StdDisziplinen[[#This Row],[Ergebnis]]&amp;"]"</f>
        <v>Kugelstossen_X[Note]</v>
      </c>
      <c r="AD13" t="str">
        <f>StdDisziplinen[[#This Row],[StdTabÜberschrift]]&amp;StdDisziplinen[[#This Row],[Ergebnis]]&amp;"[@["&amp;StdDisziplinen[[#This Row],[Ergebnis]]&amp;"]]"</f>
        <v>KugelstossenNote[@[Note]]</v>
      </c>
      <c r="AE13" t="str">
        <f>StdDisziplinen[[#This Row],[StdTabResultat]]&amp;$AE$2</f>
        <v>KugelstossenResultat[Resultat]</v>
      </c>
      <c r="AF13" t="s">
        <v>126</v>
      </c>
      <c r="AG13" t="s">
        <v>45</v>
      </c>
      <c r="AH13" s="10" t="s">
        <v>35</v>
      </c>
      <c r="AI13" t="str">
        <f>IFERROR(INDEX(StdBewertungen[Anzeigetext],MATCH(StdDisziplinen[[#This Row],[Bewertung]],StdBewertungen[StdBewertung],0)),"")</f>
        <v>Distanz</v>
      </c>
      <c r="AJ13" t="s">
        <v>7</v>
      </c>
      <c r="AM13" t="str">
        <f>IF(OR(StdDisziplinen[[#This Row],[Maximalwert_OS1]]&lt;&gt;"",StdDisziplinen[[#This Row],[Maximalwert_OS2]]&lt;&gt;""),$AM$2,"")</f>
        <v/>
      </c>
      <c r="AN13">
        <v>1</v>
      </c>
      <c r="AO13">
        <v>0.01</v>
      </c>
      <c r="AP13" s="13"/>
      <c r="AR13" t="str">
        <f>$AR$2&amp;StdDisziplinen[[#This Row],[StdTabMax]]</f>
        <v>_Stufe_Kuge</v>
      </c>
      <c r="AS13" t="str">
        <f>IF(StdDisziplinen[[#This Row],[Maximalwert_OS1]]="","",REPLACE($AS$2,6,2,StdDisziplinen[[#This Row],[Maximalwert_OS1]])&amp;StdDisziplinen[[#This Row],[GemStufe]])</f>
        <v/>
      </c>
      <c r="AT13" t="str">
        <f>IF(StdDisziplinen[[#This Row],[Maximalwert_OS2]]="","",REPLACE($AT$2,6,2,StdDisziplinen[[#This Row],[Maximalwert_OS2]])&amp;StdDisziplinen[[#This Row],[GemStufe]])</f>
        <v/>
      </c>
      <c r="AU13" s="13">
        <f ca="1">MATCH(StdDisziplinen[[#This Row],[ID]],Resultatmappe!$A$3:$ACN$3,0)</f>
        <v>91</v>
      </c>
      <c r="AV13" s="13">
        <v>2</v>
      </c>
      <c r="AW13" s="13">
        <v>2</v>
      </c>
      <c r="AX13" s="13">
        <v>2</v>
      </c>
      <c r="AY13" s="13">
        <v>1</v>
      </c>
      <c r="AZ13" s="13" t="str">
        <f ca="1">IF(StdDisziplinen[[#This Row],[Res_Code]]=2,"0"&amp;$AZ$3&amp;"00",IF(StdDisziplinen[[#This Row],[Res_Code]]=1,"0"&amp;$AZ$3&amp;"0","0"))</f>
        <v>0,00</v>
      </c>
      <c r="BA13" s="13" t="str">
        <f ca="1">IF(StdDisziplinen[[#This Row],[Res_Code]]=2,"0"&amp;$AZ$3&amp;"00",IF(StdDisziplinen[[#This Row],[Res_Code]]=1,"0"&amp;$AZ$3&amp;"0","0"))</f>
        <v>0,00</v>
      </c>
      <c r="BB13" s="13"/>
      <c r="BC13" s="3" t="str">
        <f>IFERROR(REPLACE(StdDisziplinen[[#This Row],[StdTabResRes]],LEN(StdDisziplinen[[#This Row],[StdTabResRes]])-9,8,StdDisziplinen[[#Headers],[BedRes]]),"")</f>
        <v>KugelstossenResultat[@[BedRes]]</v>
      </c>
      <c r="BD13" s="3" t="str">
        <f>StdDisziplinen[[#This Row],[StdTabResultat]]&amp;"["&amp;$BD$2&amp;"]"</f>
        <v>KugelstossenResultat[Eingabe]</v>
      </c>
      <c r="BE13" s="13">
        <f ca="1">COUNTA(INDIRECT(StdDisziplinen[[#This Row],[StdTabEingabe]]))</f>
        <v>0</v>
      </c>
      <c r="BF13" s="3" t="str">
        <f>StdDisziplinen[[#This Row],[StdTabResultat]]&amp;"["&amp;$BF$2&amp;"]"</f>
        <v>KugelstossenResultat[#Kopfzeilen]</v>
      </c>
      <c r="BG13" s="3" t="str">
        <f>StdDisziplinen[[#This Row],[StdTabResultat]]&amp;"["&amp;$W$2&amp;"]"</f>
        <v>KugelstossenResultat[Eingabe]</v>
      </c>
      <c r="BH13" s="3" cm="1">
        <f t="array" aca="1" ref="BH13" ca="1">ROW(INDIRECT(StdDisziplinen[[#This Row],[Bereich_Ein_Z]]))+$BH$2</f>
        <v>28</v>
      </c>
      <c r="BI13" s="3">
        <f ca="1">StdDisziplinen[[#This Row],[Bereich_Ein_ZStart]]+$BI$2</f>
        <v>57</v>
      </c>
      <c r="BJ13" s="3" t="str" cm="1">
        <f t="array" aca="1" ref="BJ13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$CM$28:$CM$57</v>
      </c>
      <c r="BK13" s="3" t="str" cm="1">
        <f t="array" aca="1" ref="BK13" ca="1">IFERROR(ADDRESS(ROW(INDIRECT(StdDisziplinen[[#This Row],[StufeMax]])),COLUMN(INDIRECT(StdDisziplinen[[#This Row],[StufeMax]])),1,1,),"")</f>
        <v>$CM$25</v>
      </c>
      <c r="BV13" t="str">
        <f>$BX$15</f>
        <v>StdAnzeigetext[StdAnzeigetext]</v>
      </c>
      <c r="BZ13" t="s">
        <v>73</v>
      </c>
      <c r="CA13" t="str">
        <f>"Zwischen"&amp;LOWER($BZ$13)</f>
        <v>Zwischenergebnis</v>
      </c>
      <c r="CB13" t="str">
        <f>$BZ$13&amp;"sen "</f>
        <v xml:space="preserve">Ergebnissen </v>
      </c>
      <c r="CC13" t="str">
        <f>LEFT($CD$14,4)&amp;$CB$13&amp;CHAR(10)&amp;$BM$6&amp;", "&amp;$BM$7&amp;", "&amp;CHAR(10)&amp;$BM$8&amp;", "&amp;$BM$9</f>
        <v>aus Ergebnissen 
BS.1, BS.2, 
BS.3, BS.4</v>
      </c>
      <c r="CD13" t="str">
        <f>LEFT($CD$14,4)&amp;LOWER($CB$23)</f>
        <v>aus max.</v>
      </c>
    </row>
    <row r="14" spans="1:82">
      <c r="H14" s="3"/>
      <c r="L14" s="3" cm="1">
        <f t="array" ref="L14">ROW()-ROW(StdDisziplinen[#Headers])</f>
        <v>9</v>
      </c>
      <c r="M14" s="3" t="s">
        <v>295</v>
      </c>
      <c r="O14" s="3" t="s">
        <v>49</v>
      </c>
      <c r="R14" t="s">
        <v>2</v>
      </c>
      <c r="S14" t="str">
        <f>StdDisziplinen[[#This Row],[StdDisziplin]]</f>
        <v>Speerwurf</v>
      </c>
      <c r="T14" t="str">
        <f t="shared" si="0"/>
        <v>Spee</v>
      </c>
      <c r="U14" s="13">
        <f>LEN(StdDisziplinen[[#This Row],[StdTabÜberschrift]])+$U$3</f>
        <v>11</v>
      </c>
      <c r="V14" t="str">
        <f>StdDisziplinen[[#This Row],[StdTabÜberschrift]]&amp;$V$2</f>
        <v>SpeerwurfResultat</v>
      </c>
      <c r="W14" t="str">
        <f>StdDisziplinen[[#This Row],[StdTabResultat]]&amp;$W$3</f>
        <v>SpeerwurfResultat[@[Eingabe]]</v>
      </c>
      <c r="X14" t="str">
        <f>StdDisziplinen[[#This Row],[StdTabResultat]]&amp;$X$3</f>
        <v>SpeerwurfResultat[@[Resultat]]</v>
      </c>
      <c r="Y14" t="str">
        <f>StdDisziplinen[[#This Row],[StdTabÜberschrift]]&amp;$Y$2</f>
        <v>SpeerwurfGerundet</v>
      </c>
      <c r="Z14" t="str">
        <f>StdDisziplinen[[#This Row],[StdTabGerundet]]&amp;$Z$3</f>
        <v>SpeerwurfGerundet[@[Rundung]]</v>
      </c>
      <c r="AA14" t="str">
        <f>StdDisziplinen[[#This Row],[StdTabÜberschrift]]&amp;$AA$3&amp;$AA$2</f>
        <v>Speerwurf_X[Resultat]</v>
      </c>
      <c r="AB14" s="3" t="str">
        <f>StdDisziplinen[[#This Row],[StdTabÜberschrift]]&amp;$AB$2&amp;$AB$3</f>
        <v>SpeerwurfSkalawert[@[Skala-Wert]]</v>
      </c>
      <c r="AC14" t="str">
        <f>StdDisziplinen[[#This Row],[StdTabÜberschrift]]&amp;$AC$3&amp;"["&amp;StdDisziplinen[[#This Row],[Ergebnis]]&amp;"]"</f>
        <v>Speerwurf_X[Note]</v>
      </c>
      <c r="AD14" t="str">
        <f>StdDisziplinen[[#This Row],[StdTabÜberschrift]]&amp;StdDisziplinen[[#This Row],[Ergebnis]]&amp;"[@["&amp;StdDisziplinen[[#This Row],[Ergebnis]]&amp;"]]"</f>
        <v>SpeerwurfNote[@[Note]]</v>
      </c>
      <c r="AE14" t="str">
        <f>StdDisziplinen[[#This Row],[StdTabResultat]]&amp;$AE$2</f>
        <v>SpeerwurfResultat[Resultat]</v>
      </c>
      <c r="AF14" t="s">
        <v>126</v>
      </c>
      <c r="AG14" t="s">
        <v>45</v>
      </c>
      <c r="AH14" s="10" t="s">
        <v>35</v>
      </c>
      <c r="AI14" t="str">
        <f>IFERROR(INDEX(StdBewertungen[Anzeigetext],MATCH(StdDisziplinen[[#This Row],[Bewertung]],StdBewertungen[StdBewertung],0)),"")</f>
        <v>Distanz</v>
      </c>
      <c r="AJ14" t="s">
        <v>7</v>
      </c>
      <c r="AM14" t="str">
        <f>IF(OR(StdDisziplinen[[#This Row],[Maximalwert_OS1]]&lt;&gt;"",StdDisziplinen[[#This Row],[Maximalwert_OS2]]&lt;&gt;""),$AM$2,"")</f>
        <v/>
      </c>
      <c r="AN14">
        <v>1</v>
      </c>
      <c r="AO14">
        <v>0.01</v>
      </c>
      <c r="AP14" s="13"/>
      <c r="AR14" t="str">
        <f>$AR$2&amp;StdDisziplinen[[#This Row],[StdTabMax]]</f>
        <v>_Stufe_Spee</v>
      </c>
      <c r="AS14" t="str">
        <f>IF(StdDisziplinen[[#This Row],[Maximalwert_OS1]]="","",REPLACE($AS$2,6,2,StdDisziplinen[[#This Row],[Maximalwert_OS1]])&amp;StdDisziplinen[[#This Row],[GemStufe]])</f>
        <v/>
      </c>
      <c r="AT14" t="str">
        <f>IF(StdDisziplinen[[#This Row],[Maximalwert_OS2]]="","",REPLACE($AT$2,6,2,StdDisziplinen[[#This Row],[Maximalwert_OS2]])&amp;StdDisziplinen[[#This Row],[GemStufe]])</f>
        <v/>
      </c>
      <c r="AU14" s="13">
        <f ca="1">MATCH(StdDisziplinen[[#This Row],[ID]],Resultatmappe!$A$3:$ACN$3,0)</f>
        <v>103</v>
      </c>
      <c r="AV14" s="13">
        <v>2</v>
      </c>
      <c r="AW14" s="13">
        <v>2</v>
      </c>
      <c r="AX14" s="13">
        <v>2</v>
      </c>
      <c r="AY14" s="13">
        <v>1</v>
      </c>
      <c r="AZ14" s="13" t="str">
        <f ca="1">IF(StdDisziplinen[[#This Row],[Res_Code]]=2,"0"&amp;$AZ$3&amp;"00",IF(StdDisziplinen[[#This Row],[Res_Code]]=1,"0"&amp;$AZ$3&amp;"0","0"))</f>
        <v>0,00</v>
      </c>
      <c r="BA14" s="13" t="str">
        <f ca="1">IF(StdDisziplinen[[#This Row],[Res_Code]]=2,"0"&amp;$AZ$3&amp;"00",IF(StdDisziplinen[[#This Row],[Res_Code]]=1,"0"&amp;$AZ$3&amp;"0","0"))</f>
        <v>0,00</v>
      </c>
      <c r="BB14" s="13"/>
      <c r="BC14" s="3" t="str">
        <f>IFERROR(REPLACE(StdDisziplinen[[#This Row],[StdTabResRes]],LEN(StdDisziplinen[[#This Row],[StdTabResRes]])-9,8,StdDisziplinen[[#Headers],[BedRes]]),"")</f>
        <v>SpeerwurfResultat[@[BedRes]]</v>
      </c>
      <c r="BD14" s="3" t="str">
        <f>StdDisziplinen[[#This Row],[StdTabResultat]]&amp;"["&amp;$BD$2&amp;"]"</f>
        <v>SpeerwurfResultat[Eingabe]</v>
      </c>
      <c r="BE14" s="13">
        <f ca="1">COUNTA(INDIRECT(StdDisziplinen[[#This Row],[StdTabEingabe]]))</f>
        <v>0</v>
      </c>
      <c r="BF14" s="3" t="str">
        <f>StdDisziplinen[[#This Row],[StdTabResultat]]&amp;"["&amp;$BF$2&amp;"]"</f>
        <v>SpeerwurfResultat[#Kopfzeilen]</v>
      </c>
      <c r="BG14" s="3" t="str">
        <f>StdDisziplinen[[#This Row],[StdTabResultat]]&amp;"["&amp;$W$2&amp;"]"</f>
        <v>SpeerwurfResultat[Eingabe]</v>
      </c>
      <c r="BH14" s="3" cm="1">
        <f t="array" aca="1" ref="BH14" ca="1">ROW(INDIRECT(StdDisziplinen[[#This Row],[Bereich_Ein_Z]]))+$BH$2</f>
        <v>28</v>
      </c>
      <c r="BI14" s="3">
        <f ca="1">StdDisziplinen[[#This Row],[Bereich_Ein_ZStart]]+$BI$2</f>
        <v>57</v>
      </c>
      <c r="BJ14" s="3" t="str" cm="1">
        <f t="array" aca="1" ref="BJ14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$CY$28:$CY$57</v>
      </c>
      <c r="BK14" s="3" t="str" cm="1">
        <f t="array" aca="1" ref="BK14" ca="1">IFERROR(ADDRESS(ROW(INDIRECT(StdDisziplinen[[#This Row],[StufeMax]])),COLUMN(INDIRECT(StdDisziplinen[[#This Row],[StufeMax]])),1,1,),"")</f>
        <v>$CY$25</v>
      </c>
      <c r="BM14" t="s">
        <v>421</v>
      </c>
      <c r="BQ14" t="s">
        <v>52</v>
      </c>
      <c r="BS14" t="s">
        <v>133</v>
      </c>
      <c r="BU14" t="s">
        <v>420</v>
      </c>
      <c r="BX14" t="s">
        <v>40</v>
      </c>
      <c r="BZ14" t="s">
        <v>368</v>
      </c>
      <c r="CA14" t="str">
        <f>"(b"&amp;$BZ$14&amp;" "&amp;$BX$6&amp;")"</f>
        <v>(beste Note)</v>
      </c>
      <c r="CB14" t="str">
        <f>"B"&amp;$BZ$14&amp;" "&amp;$BX$6</f>
        <v>Beste Note</v>
      </c>
      <c r="CC14" t="str">
        <f>" b"&amp;$BZ$14&amp;" "&amp;$BX$6&amp;"n"</f>
        <v xml:space="preserve"> beste Noten</v>
      </c>
      <c r="CD14" t="s">
        <v>369</v>
      </c>
    </row>
    <row r="15" spans="1:82">
      <c r="F15" t="str">
        <f>$I$17</f>
        <v>Kantone[Kantone]</v>
      </c>
      <c r="G15" t="str">
        <f>$J$17</f>
        <v>Kantone[Position]</v>
      </c>
      <c r="H15" s="3"/>
      <c r="L15" s="3" cm="1">
        <f t="array" ref="L15">ROW()-ROW(StdDisziplinen[#Headers])</f>
        <v>10</v>
      </c>
      <c r="M15" s="3" t="s">
        <v>296</v>
      </c>
      <c r="O15"/>
      <c r="R15" t="s">
        <v>110</v>
      </c>
      <c r="S15" t="str">
        <f>StdDisziplinen[[#This Row],[StdDisziplin]]</f>
        <v>Reck</v>
      </c>
      <c r="T15" t="str">
        <f t="shared" si="0"/>
        <v>Reck</v>
      </c>
      <c r="U15" s="13">
        <f>LEN(StdDisziplinen[[#This Row],[StdTabÜberschrift]])+$U$3</f>
        <v>6</v>
      </c>
      <c r="V15" t="str">
        <f>StdDisziplinen[[#This Row],[StdTabÜberschrift]]&amp;$V$2</f>
        <v>ReckResultat</v>
      </c>
      <c r="W15" t="str">
        <f>StdDisziplinen[[#This Row],[StdTabResultat]]&amp;$W$3</f>
        <v>ReckResultat[@[Eingabe]]</v>
      </c>
      <c r="X15" t="str">
        <f>StdDisziplinen[[#This Row],[StdTabResultat]]&amp;$X$3</f>
        <v>ReckResultat[@[Resultat]]</v>
      </c>
      <c r="Y15" t="str">
        <f>StdDisziplinen[[#This Row],[StdTabÜberschrift]]&amp;$Y$2</f>
        <v>ReckGerundet</v>
      </c>
      <c r="Z15" t="str">
        <f>StdDisziplinen[[#This Row],[StdTabGerundet]]&amp;$Z$3</f>
        <v>ReckGerundet[@[Rundung]]</v>
      </c>
      <c r="AA15" t="str">
        <f>StdDisziplinen[[#This Row],[StdTabÜberschrift]]&amp;$AA$3&amp;$AA$2</f>
        <v>Reck_X[Resultat]</v>
      </c>
      <c r="AB15" s="3" t="str">
        <f>StdDisziplinen[[#This Row],[StdTabÜberschrift]]&amp;$AB$2&amp;$AB$3</f>
        <v>ReckSkalawert[@[Skala-Wert]]</v>
      </c>
      <c r="AC15" t="str">
        <f>StdDisziplinen[[#This Row],[StdTabÜberschrift]]&amp;$AC$3&amp;"["&amp;StdDisziplinen[[#This Row],[Ergebnis]]&amp;"]"</f>
        <v>Reck_X[Note]</v>
      </c>
      <c r="AD15" s="11" t="str">
        <f>StdDisziplinen[[#This Row],[StdTabÜberschrift]]&amp;StdDisziplinen[[#This Row],[Ergebnis]]&amp;"[@["&amp;StdDisziplinen[[#This Row],[Ergebnis]]&amp;"]]"</f>
        <v>ReckNote[@[Note]]</v>
      </c>
      <c r="AE15" t="str">
        <f>StdDisziplinen[[#This Row],[StdTabResultat]]&amp;$AE$2</f>
        <v>ReckResultat[Resultat]</v>
      </c>
      <c r="AF15" t="s">
        <v>131</v>
      </c>
      <c r="AG15" t="s">
        <v>8</v>
      </c>
      <c r="AH15" s="41" t="str">
        <f>StdDisziplinen[[#This Row],[Resultatanzeige]]</f>
        <v>Punkte</v>
      </c>
      <c r="AI15" t="str">
        <f>IFERROR(INDEX(StdBewertungen[Anzeigetext],MATCH(StdDisziplinen[[#This Row],[Bewertung]],StdBewertungen[StdBewertung],0)),"")</f>
        <v>Punkte</v>
      </c>
      <c r="AJ15" t="s">
        <v>7</v>
      </c>
      <c r="AK15" s="10">
        <v>20</v>
      </c>
      <c r="AL15" s="10">
        <v>20</v>
      </c>
      <c r="AM15" t="str">
        <f>IF(OR(StdDisziplinen[[#This Row],[Maximalwert_OS1]]&lt;&gt;"",StdDisziplinen[[#This Row],[Maximalwert_OS2]]&lt;&gt;""),$AM$2,"")</f>
        <v xml:space="preserve">Maximalwert: </v>
      </c>
      <c r="AN15">
        <v>1</v>
      </c>
      <c r="AO15">
        <v>1</v>
      </c>
      <c r="AP15" s="13"/>
      <c r="AR15" t="str">
        <f>$AR$2&amp;StdDisziplinen[[#This Row],[StdTabMax]]</f>
        <v>_Stufe_Reck</v>
      </c>
      <c r="AS15" t="str">
        <f>IF(StdDisziplinen[[#This Row],[Maximalwert_OS1]]="","",REPLACE($AS$2,6,2,StdDisziplinen[[#This Row],[Maximalwert_OS1]])&amp;StdDisziplinen[[#This Row],[GemStufe]])</f>
        <v>max. 20 Punkte</v>
      </c>
      <c r="AT15" t="str">
        <f>IF(StdDisziplinen[[#This Row],[Maximalwert_OS2]]="","",REPLACE($AT$2,6,2,StdDisziplinen[[#This Row],[Maximalwert_OS2]])&amp;StdDisziplinen[[#This Row],[GemStufe]])</f>
        <v>max. 20 Punkte</v>
      </c>
      <c r="AU15" s="13">
        <f ca="1">MATCH(StdDisziplinen[[#This Row],[ID]],Resultatmappe!$A$3:$ACN$3,0)</f>
        <v>224</v>
      </c>
      <c r="AV15" s="13">
        <v>0</v>
      </c>
      <c r="AW15" s="13">
        <v>0</v>
      </c>
      <c r="AX15" s="13">
        <v>0</v>
      </c>
      <c r="AY15" s="13" t="s">
        <v>385</v>
      </c>
      <c r="AZ15" s="13" t="str">
        <f>IF(StdDisziplinen[[#This Row],[Res_Code]]=2,"0"&amp;$AZ$3&amp;"00",IF(StdDisziplinen[[#This Row],[Res_Code]]=1,"0"&amp;$AZ$3&amp;"0","0"))</f>
        <v>0</v>
      </c>
      <c r="BA15" s="13" t="str">
        <f>IF(StdDisziplinen[[#This Row],[Res_Code]]=2,"0"&amp;$AZ$3&amp;"00",IF(StdDisziplinen[[#This Row],[Res_Code]]=1,"0"&amp;$AZ$3&amp;"0","0"))</f>
        <v>0</v>
      </c>
      <c r="BB15" s="13"/>
      <c r="BC15" s="3" t="str">
        <f>IFERROR(REPLACE(StdDisziplinen[[#This Row],[StdTabResRes]],LEN(StdDisziplinen[[#This Row],[StdTabResRes]])-9,8,StdDisziplinen[[#Headers],[BedRes]]),"")</f>
        <v>ReckResultat[@[BedRes]]</v>
      </c>
      <c r="BD15" s="3" t="str">
        <f>StdDisziplinen[[#This Row],[StdTabResultat]]&amp;"["&amp;$BD$2&amp;"]"</f>
        <v>ReckResultat[Eingabe]</v>
      </c>
      <c r="BE15" s="13">
        <f ca="1">COUNTA(INDIRECT(StdDisziplinen[[#This Row],[StdTabEingabe]]))</f>
        <v>0</v>
      </c>
      <c r="BF15" s="3" t="str">
        <f>StdDisziplinen[[#This Row],[StdTabResultat]]&amp;"["&amp;$BF$2&amp;"]"</f>
        <v>ReckResultat[#Kopfzeilen]</v>
      </c>
      <c r="BG15" s="3" t="str">
        <f>StdDisziplinen[[#This Row],[StdTabResultat]]&amp;"["&amp;$W$2&amp;"]"</f>
        <v>ReckResultat[Eingabe]</v>
      </c>
      <c r="BH15" s="3" cm="1">
        <f t="array" aca="1" ref="BH15" ca="1">ROW(INDIRECT(StdDisziplinen[[#This Row],[Bereich_Ein_Z]]))+$BH$2</f>
        <v>28</v>
      </c>
      <c r="BI15" s="3">
        <f ca="1">StdDisziplinen[[#This Row],[Bereich_Ein_ZStart]]+$BI$2</f>
        <v>57</v>
      </c>
      <c r="BJ15" s="3" t="str" cm="1">
        <f t="array" aca="1" ref="BJ15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$HP$28:$HP$57</v>
      </c>
      <c r="BK15" s="3" t="str" cm="1">
        <f t="array" aca="1" ref="BK15" ca="1">IFERROR(ADDRESS(ROW(INDIRECT(StdDisziplinen[[#This Row],[StufeMax]])),COLUMN(INDIRECT(StdDisziplinen[[#This Row],[StufeMax]])),1,1,),"")</f>
        <v>$HP$25</v>
      </c>
      <c r="BM15" t="str" cm="1">
        <f t="array" ref="BM15:BO15">$BM$14&amp;"["&amp;StdFit[#Headers]&amp;"]"</f>
        <v>StdFit[StdFit0]</v>
      </c>
      <c r="BN15" t="str">
        <v>StdFit[StdFit1]</v>
      </c>
      <c r="BO15" t="str">
        <v>StdFit[StdFit2]</v>
      </c>
      <c r="BQ15" t="str">
        <f>$BQ$14&amp;"["&amp;StdFähigkeit[[#Headers],[StdFähigkeit]]&amp;"]"</f>
        <v>StdFähigkeit[StdFähigkeit]</v>
      </c>
      <c r="BS15" t="str">
        <f>$BS$14&amp;"["&amp;StdVergleichstyp[[#Headers],[StdVergleichstyp]]&amp;"]"</f>
        <v>StdVergleichstyp[StdVergleichstyp]</v>
      </c>
      <c r="BU15" t="str" cm="1">
        <f t="array" ref="BU15:BV15">BU14&amp;"["&amp;StdBewertungen[#Headers]&amp;"]"</f>
        <v>StdBewertungen[StdBewertung]</v>
      </c>
      <c r="BV15" t="str">
        <v>StdBewertungen[Anzeigetext]</v>
      </c>
      <c r="BX15" t="str">
        <f>$BX$14&amp;"["&amp;StdAnzeigetext[[#Headers],[StdAnzeigetext]]&amp;"]"</f>
        <v>StdAnzeigetext[StdAnzeigetext]</v>
      </c>
      <c r="BZ15" t="str">
        <f>"Erreichtes "&amp;$V$2</f>
        <v>Erreichtes Resultat</v>
      </c>
      <c r="CA15" t="str">
        <f>$V$2&amp;LOWER($BZ$26)</f>
        <v>Resultatspalte</v>
      </c>
      <c r="CB15" t="str">
        <f>" b"&amp;$BZ$14&amp;"n "&amp;$V$2&amp;"e"</f>
        <v xml:space="preserve"> besten Resultate</v>
      </c>
    </row>
    <row r="16" spans="1:82">
      <c r="D16" t="s">
        <v>294</v>
      </c>
      <c r="I16" t="s">
        <v>212</v>
      </c>
      <c r="L16" s="3" cm="1">
        <f t="array" ref="L16">ROW()-ROW(StdDisziplinen[#Headers])</f>
        <v>11</v>
      </c>
      <c r="M16" s="3" t="s">
        <v>296</v>
      </c>
      <c r="O16"/>
      <c r="R16" t="s">
        <v>111</v>
      </c>
      <c r="S16" t="str">
        <f>StdDisziplinen[[#This Row],[StdDisziplin]]</f>
        <v>Boden</v>
      </c>
      <c r="T16" t="str">
        <f t="shared" si="0"/>
        <v>Bode</v>
      </c>
      <c r="U16" s="13">
        <f>LEN(StdDisziplinen[[#This Row],[StdTabÜberschrift]])+$U$3</f>
        <v>7</v>
      </c>
      <c r="V16" t="str">
        <f>StdDisziplinen[[#This Row],[StdTabÜberschrift]]&amp;$V$2</f>
        <v>BodenResultat</v>
      </c>
      <c r="W16" t="str">
        <f>StdDisziplinen[[#This Row],[StdTabResultat]]&amp;$W$3</f>
        <v>BodenResultat[@[Eingabe]]</v>
      </c>
      <c r="X16" t="str">
        <f>StdDisziplinen[[#This Row],[StdTabResultat]]&amp;$X$3</f>
        <v>BodenResultat[@[Resultat]]</v>
      </c>
      <c r="Y16" t="str">
        <f>StdDisziplinen[[#This Row],[StdTabÜberschrift]]&amp;$Y$2</f>
        <v>BodenGerundet</v>
      </c>
      <c r="Z16" t="str">
        <f>StdDisziplinen[[#This Row],[StdTabGerundet]]&amp;$Z$3</f>
        <v>BodenGerundet[@[Rundung]]</v>
      </c>
      <c r="AA16" t="str">
        <f>StdDisziplinen[[#This Row],[StdTabÜberschrift]]&amp;$AA$3&amp;$AA$2</f>
        <v>Boden_X[Resultat]</v>
      </c>
      <c r="AB16" s="3" t="str">
        <f>StdDisziplinen[[#This Row],[StdTabÜberschrift]]&amp;$AB$2&amp;$AB$3</f>
        <v>BodenSkalawert[@[Skala-Wert]]</v>
      </c>
      <c r="AC16" t="str">
        <f>StdDisziplinen[[#This Row],[StdTabÜberschrift]]&amp;$AC$3&amp;"["&amp;StdDisziplinen[[#This Row],[Ergebnis]]&amp;"]"</f>
        <v>Boden_X[Note]</v>
      </c>
      <c r="AD16" s="11" t="str">
        <f>StdDisziplinen[[#This Row],[StdTabÜberschrift]]&amp;StdDisziplinen[[#This Row],[Ergebnis]]&amp;"[@["&amp;StdDisziplinen[[#This Row],[Ergebnis]]&amp;"]]"</f>
        <v>BodenNote[@[Note]]</v>
      </c>
      <c r="AE16" t="str">
        <f>StdDisziplinen[[#This Row],[StdTabResultat]]&amp;$AE$2</f>
        <v>BodenResultat[Resultat]</v>
      </c>
      <c r="AF16" t="s">
        <v>131</v>
      </c>
      <c r="AG16" t="s">
        <v>8</v>
      </c>
      <c r="AH16" s="41" t="str">
        <f>StdDisziplinen[[#This Row],[Resultatanzeige]]</f>
        <v>Punkte</v>
      </c>
      <c r="AI16" t="str">
        <f>IFERROR(INDEX(StdBewertungen[Anzeigetext],MATCH(StdDisziplinen[[#This Row],[Bewertung]],StdBewertungen[StdBewertung],0)),"")</f>
        <v>Punkte</v>
      </c>
      <c r="AJ16" t="s">
        <v>7</v>
      </c>
      <c r="AK16" s="10">
        <v>20</v>
      </c>
      <c r="AL16" s="10">
        <v>20</v>
      </c>
      <c r="AM16" t="str">
        <f>IF(OR(StdDisziplinen[[#This Row],[Maximalwert_OS1]]&lt;&gt;"",StdDisziplinen[[#This Row],[Maximalwert_OS2]]&lt;&gt;""),$AM$2,"")</f>
        <v xml:space="preserve">Maximalwert: </v>
      </c>
      <c r="AN16">
        <v>1</v>
      </c>
      <c r="AO16">
        <v>1</v>
      </c>
      <c r="AP16" s="13"/>
      <c r="AR16" t="str">
        <f>$AR$2&amp;StdDisziplinen[[#This Row],[StdTabMax]]</f>
        <v>_Stufe_Bode</v>
      </c>
      <c r="AS16" t="str">
        <f>IF(StdDisziplinen[[#This Row],[Maximalwert_OS1]]="","",REPLACE($AS$2,6,2,StdDisziplinen[[#This Row],[Maximalwert_OS1]])&amp;StdDisziplinen[[#This Row],[GemStufe]])</f>
        <v>max. 20 Punkte</v>
      </c>
      <c r="AT16" t="str">
        <f>IF(StdDisziplinen[[#This Row],[Maximalwert_OS2]]="","",REPLACE($AT$2,6,2,StdDisziplinen[[#This Row],[Maximalwert_OS2]])&amp;StdDisziplinen[[#This Row],[GemStufe]])</f>
        <v>max. 20 Punkte</v>
      </c>
      <c r="AU16" s="13">
        <f ca="1">MATCH(StdDisziplinen[[#This Row],[ID]],Resultatmappe!$A$3:$ACN$3,0)</f>
        <v>233</v>
      </c>
      <c r="AV16" s="13">
        <v>0</v>
      </c>
      <c r="AW16" s="13">
        <v>0</v>
      </c>
      <c r="AX16" s="13">
        <v>0</v>
      </c>
      <c r="AY16" s="13" t="s">
        <v>385</v>
      </c>
      <c r="AZ16" s="13" t="str">
        <f>IF(StdDisziplinen[[#This Row],[Res_Code]]=2,"0"&amp;$AZ$3&amp;"00",IF(StdDisziplinen[[#This Row],[Res_Code]]=1,"0"&amp;$AZ$3&amp;"0","0"))</f>
        <v>0</v>
      </c>
      <c r="BA16" s="13" t="str">
        <f>IF(StdDisziplinen[[#This Row],[Res_Code]]=2,"0"&amp;$AZ$3&amp;"00",IF(StdDisziplinen[[#This Row],[Res_Code]]=1,"0"&amp;$AZ$3&amp;"0","0"))</f>
        <v>0</v>
      </c>
      <c r="BB16" s="13"/>
      <c r="BC16" s="3" t="str">
        <f>IFERROR(REPLACE(StdDisziplinen[[#This Row],[StdTabResRes]],LEN(StdDisziplinen[[#This Row],[StdTabResRes]])-9,8,StdDisziplinen[[#Headers],[BedRes]]),"")</f>
        <v>BodenResultat[@[BedRes]]</v>
      </c>
      <c r="BD16" s="3" t="str">
        <f>StdDisziplinen[[#This Row],[StdTabResultat]]&amp;"["&amp;$BD$2&amp;"]"</f>
        <v>BodenResultat[Eingabe]</v>
      </c>
      <c r="BE16" s="13">
        <f ca="1">COUNTA(INDIRECT(StdDisziplinen[[#This Row],[StdTabEingabe]]))</f>
        <v>0</v>
      </c>
      <c r="BF16" s="3" t="str">
        <f>StdDisziplinen[[#This Row],[StdTabResultat]]&amp;"["&amp;$BF$2&amp;"]"</f>
        <v>BodenResultat[#Kopfzeilen]</v>
      </c>
      <c r="BG16" s="3" t="str">
        <f>StdDisziplinen[[#This Row],[StdTabResultat]]&amp;"["&amp;$W$2&amp;"]"</f>
        <v>BodenResultat[Eingabe]</v>
      </c>
      <c r="BH16" s="3" cm="1">
        <f t="array" aca="1" ref="BH16" ca="1">ROW(INDIRECT(StdDisziplinen[[#This Row],[Bereich_Ein_Z]]))+$BH$2</f>
        <v>28</v>
      </c>
      <c r="BI16" s="3">
        <f ca="1">StdDisziplinen[[#This Row],[Bereich_Ein_ZStart]]+$BI$2</f>
        <v>57</v>
      </c>
      <c r="BJ16" s="3" t="str" cm="1">
        <f t="array" aca="1" ref="BJ16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$HY$28:$HY$57</v>
      </c>
      <c r="BK16" s="3" t="str" cm="1">
        <f t="array" aca="1" ref="BK16" ca="1">IFERROR(ADDRESS(ROW(INDIRECT(StdDisziplinen[[#This Row],[StufeMax]])),COLUMN(INDIRECT(StdDisziplinen[[#This Row],[StufeMax]])),1,1,),"")</f>
        <v>$HY$25</v>
      </c>
      <c r="BM16" t="s">
        <v>65</v>
      </c>
      <c r="BN16" t="s">
        <v>66</v>
      </c>
      <c r="BO16" t="s">
        <v>98</v>
      </c>
      <c r="BQ16" t="s">
        <v>52</v>
      </c>
      <c r="BS16" t="s">
        <v>133</v>
      </c>
      <c r="BU16" t="s">
        <v>37</v>
      </c>
      <c r="BV16" t="s">
        <v>41</v>
      </c>
      <c r="BX16" t="s">
        <v>40</v>
      </c>
      <c r="BZ16" t="s">
        <v>402</v>
      </c>
      <c r="CA16" t="str">
        <f>$CA$10&amp;$BZ$16</f>
        <v>Diplomsteuerung</v>
      </c>
      <c r="CB16" t="str">
        <f>"Ampel-"&amp;$BZ$16</f>
        <v>Ampel-steuerung</v>
      </c>
      <c r="CC16" t="str">
        <f>$BZ$22&amp;"-"&amp;$BZ$16</f>
        <v>Durchschnitt-steuerung</v>
      </c>
    </row>
    <row r="17" spans="1:81">
      <c r="A17" t="s">
        <v>353</v>
      </c>
      <c r="D17" t="str" cm="1">
        <f t="array" ref="D17:G17">D16&amp;"["&amp;Schulgemeinden[#Headers]&amp;"]"</f>
        <v>Schulgemeinden[Zähler]</v>
      </c>
      <c r="E17" t="str">
        <v>Schulgemeinden[Schulgemeinde]</v>
      </c>
      <c r="F17" t="str">
        <v>Schulgemeinden[Kanton]</v>
      </c>
      <c r="G17" t="str">
        <v>Schulgemeinden[Position]</v>
      </c>
      <c r="I17" t="str" cm="1">
        <f t="array" ref="I17:J17">$I$16&amp;"["&amp;Kantone[#Headers]&amp;"]"</f>
        <v>Kantone[Kantone]</v>
      </c>
      <c r="J17" t="str">
        <v>Kantone[Position]</v>
      </c>
      <c r="L17" s="3" cm="1">
        <f t="array" ref="L17">ROW()-ROW(StdDisziplinen[#Headers])</f>
        <v>12</v>
      </c>
      <c r="M17" s="3" t="s">
        <v>296</v>
      </c>
      <c r="O17"/>
      <c r="R17" t="s">
        <v>112</v>
      </c>
      <c r="S17" t="str">
        <f>StdDisziplinen[[#This Row],[StdDisziplin]]</f>
        <v>Stufenbarren</v>
      </c>
      <c r="T17" t="str">
        <f t="shared" si="0"/>
        <v>Stuf</v>
      </c>
      <c r="U17" s="13">
        <f>LEN(StdDisziplinen[[#This Row],[StdTabÜberschrift]])+$U$3</f>
        <v>14</v>
      </c>
      <c r="V17" t="str">
        <f>StdDisziplinen[[#This Row],[StdTabÜberschrift]]&amp;$V$2</f>
        <v>StufenbarrenResultat</v>
      </c>
      <c r="W17" t="str">
        <f>StdDisziplinen[[#This Row],[StdTabResultat]]&amp;$W$3</f>
        <v>StufenbarrenResultat[@[Eingabe]]</v>
      </c>
      <c r="X17" t="str">
        <f>StdDisziplinen[[#This Row],[StdTabResultat]]&amp;$X$3</f>
        <v>StufenbarrenResultat[@[Resultat]]</v>
      </c>
      <c r="Y17" t="str">
        <f>StdDisziplinen[[#This Row],[StdTabÜberschrift]]&amp;$Y$2</f>
        <v>StufenbarrenGerundet</v>
      </c>
      <c r="Z17" t="str">
        <f>StdDisziplinen[[#This Row],[StdTabGerundet]]&amp;$Z$3</f>
        <v>StufenbarrenGerundet[@[Rundung]]</v>
      </c>
      <c r="AA17" t="str">
        <f>StdDisziplinen[[#This Row],[StdTabÜberschrift]]&amp;$AA$3&amp;$AA$2</f>
        <v>Stufenbarren_X[Resultat]</v>
      </c>
      <c r="AB17" s="3" t="str">
        <f>StdDisziplinen[[#This Row],[StdTabÜberschrift]]&amp;$AB$2&amp;$AB$3</f>
        <v>StufenbarrenSkalawert[@[Skala-Wert]]</v>
      </c>
      <c r="AC17" t="str">
        <f>StdDisziplinen[[#This Row],[StdTabÜberschrift]]&amp;$AC$3&amp;"["&amp;StdDisziplinen[[#This Row],[Ergebnis]]&amp;"]"</f>
        <v>Stufenbarren_X[Note]</v>
      </c>
      <c r="AD17" s="11" t="str">
        <f>StdDisziplinen[[#This Row],[StdTabÜberschrift]]&amp;StdDisziplinen[[#This Row],[Ergebnis]]&amp;"[@["&amp;StdDisziplinen[[#This Row],[Ergebnis]]&amp;"]]"</f>
        <v>StufenbarrenNote[@[Note]]</v>
      </c>
      <c r="AE17" t="str">
        <f>StdDisziplinen[[#This Row],[StdTabResultat]]&amp;$AE$2</f>
        <v>StufenbarrenResultat[Resultat]</v>
      </c>
      <c r="AF17" t="s">
        <v>131</v>
      </c>
      <c r="AG17" t="s">
        <v>8</v>
      </c>
      <c r="AH17" s="41" t="str">
        <f>StdDisziplinen[[#This Row],[Resultatanzeige]]</f>
        <v>Punkte</v>
      </c>
      <c r="AI17" t="str">
        <f>IFERROR(INDEX(StdBewertungen[Anzeigetext],MATCH(StdDisziplinen[[#This Row],[Bewertung]],StdBewertungen[StdBewertung],0)),"")</f>
        <v>Punkte</v>
      </c>
      <c r="AJ17" t="s">
        <v>7</v>
      </c>
      <c r="AK17" s="10">
        <v>20</v>
      </c>
      <c r="AL17" s="10">
        <v>20</v>
      </c>
      <c r="AM17" t="str">
        <f>IF(OR(StdDisziplinen[[#This Row],[Maximalwert_OS1]]&lt;&gt;"",StdDisziplinen[[#This Row],[Maximalwert_OS2]]&lt;&gt;""),$AM$2,"")</f>
        <v xml:space="preserve">Maximalwert: </v>
      </c>
      <c r="AN17">
        <v>1</v>
      </c>
      <c r="AO17">
        <v>1</v>
      </c>
      <c r="AP17" s="13"/>
      <c r="AR17" t="str">
        <f>$AR$2&amp;StdDisziplinen[[#This Row],[StdTabMax]]</f>
        <v>_Stufe_Stuf</v>
      </c>
      <c r="AS17" t="str">
        <f>IF(StdDisziplinen[[#This Row],[Maximalwert_OS1]]="","",REPLACE($AS$2,6,2,StdDisziplinen[[#This Row],[Maximalwert_OS1]])&amp;StdDisziplinen[[#This Row],[GemStufe]])</f>
        <v>max. 20 Punkte</v>
      </c>
      <c r="AT17" t="str">
        <f>IF(StdDisziplinen[[#This Row],[Maximalwert_OS2]]="","",REPLACE($AT$2,6,2,StdDisziplinen[[#This Row],[Maximalwert_OS2]])&amp;StdDisziplinen[[#This Row],[GemStufe]])</f>
        <v>max. 20 Punkte</v>
      </c>
      <c r="AU17" s="13">
        <f ca="1">MATCH(StdDisziplinen[[#This Row],[ID]],Resultatmappe!$A$3:$ACN$3,0)</f>
        <v>242</v>
      </c>
      <c r="AV17" s="13">
        <v>0</v>
      </c>
      <c r="AW17" s="13">
        <v>0</v>
      </c>
      <c r="AX17" s="13">
        <v>0</v>
      </c>
      <c r="AY17" s="13" t="s">
        <v>385</v>
      </c>
      <c r="AZ17" s="13" t="str">
        <f>IF(StdDisziplinen[[#This Row],[Res_Code]]=2,"0"&amp;$AZ$3&amp;"00",IF(StdDisziplinen[[#This Row],[Res_Code]]=1,"0"&amp;$AZ$3&amp;"0","0"))</f>
        <v>0</v>
      </c>
      <c r="BA17" s="13" t="str">
        <f>IF(StdDisziplinen[[#This Row],[Res_Code]]=2,"0"&amp;$AZ$3&amp;"00",IF(StdDisziplinen[[#This Row],[Res_Code]]=1,"0"&amp;$AZ$3&amp;"0","0"))</f>
        <v>0</v>
      </c>
      <c r="BB17" s="13"/>
      <c r="BC17" s="3" t="str">
        <f>IFERROR(REPLACE(StdDisziplinen[[#This Row],[StdTabResRes]],LEN(StdDisziplinen[[#This Row],[StdTabResRes]])-9,8,StdDisziplinen[[#Headers],[BedRes]]),"")</f>
        <v>StufenbarrenResultat[@[BedRes]]</v>
      </c>
      <c r="BD17" s="3" t="str">
        <f>StdDisziplinen[[#This Row],[StdTabResultat]]&amp;"["&amp;$BD$2&amp;"]"</f>
        <v>StufenbarrenResultat[Eingabe]</v>
      </c>
      <c r="BE17" s="13">
        <f ca="1">COUNTA(INDIRECT(StdDisziplinen[[#This Row],[StdTabEingabe]]))</f>
        <v>0</v>
      </c>
      <c r="BF17" s="3" t="str">
        <f>StdDisziplinen[[#This Row],[StdTabResultat]]&amp;"["&amp;$BF$2&amp;"]"</f>
        <v>StufenbarrenResultat[#Kopfzeilen]</v>
      </c>
      <c r="BG17" s="3" t="str">
        <f>StdDisziplinen[[#This Row],[StdTabResultat]]&amp;"["&amp;$W$2&amp;"]"</f>
        <v>StufenbarrenResultat[Eingabe]</v>
      </c>
      <c r="BH17" s="3" cm="1">
        <f t="array" aca="1" ref="BH17" ca="1">ROW(INDIRECT(StdDisziplinen[[#This Row],[Bereich_Ein_Z]]))+$BH$2</f>
        <v>28</v>
      </c>
      <c r="BI17" s="3">
        <f ca="1">StdDisziplinen[[#This Row],[Bereich_Ein_ZStart]]+$BI$2</f>
        <v>57</v>
      </c>
      <c r="BJ17" s="3" t="str" cm="1">
        <f t="array" aca="1" ref="BJ17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$IH$28:$IH$57</v>
      </c>
      <c r="BK17" s="3" t="str" cm="1">
        <f t="array" aca="1" ref="BK17" ca="1">IFERROR(ADDRESS(ROW(INDIRECT(StdDisziplinen[[#This Row],[StufeMax]])),COLUMN(INDIRECT(StdDisziplinen[[#This Row],[StufeMax]])),1,1,),"")</f>
        <v>$IH$25</v>
      </c>
      <c r="BM17" t="s">
        <v>99</v>
      </c>
      <c r="BN17" t="s">
        <v>63</v>
      </c>
      <c r="BO17" t="s">
        <v>97</v>
      </c>
      <c r="BQ17" t="s">
        <v>17</v>
      </c>
      <c r="BS17">
        <v>1</v>
      </c>
      <c r="BU17" s="10" t="s">
        <v>46</v>
      </c>
      <c r="BV17" t="s">
        <v>91</v>
      </c>
      <c r="BX17" t="str">
        <f>StdBewertungen[[#This Row],[StdBewertung]]&amp;" "&amp;$BZ$29</f>
        <v>Anzahl Runden</v>
      </c>
      <c r="BZ17" t="s">
        <v>334</v>
      </c>
      <c r="CA17" t="str">
        <f>$BZ$17&amp;"s "&amp;$BZ$20&amp;$BZ$4</f>
        <v>Erstes Gerät nicht durchgeführt</v>
      </c>
      <c r="CB17" t="str">
        <f>$BZ17&amp;" "&amp;$BZ$12&amp;$BZ$4</f>
        <v>Erste Spielsportart nicht durchgeführt</v>
      </c>
    </row>
    <row r="18" spans="1:81">
      <c r="A18" t="s">
        <v>282</v>
      </c>
      <c r="B18" t="s">
        <v>283</v>
      </c>
      <c r="D18" t="s">
        <v>283</v>
      </c>
      <c r="E18" t="s">
        <v>211</v>
      </c>
      <c r="F18" t="s">
        <v>210</v>
      </c>
      <c r="G18" t="s">
        <v>293</v>
      </c>
      <c r="I18" t="s">
        <v>212</v>
      </c>
      <c r="J18" t="s">
        <v>293</v>
      </c>
      <c r="L18" s="3" cm="1">
        <f t="array" ref="L18">ROW()-ROW(StdDisziplinen[#Headers])</f>
        <v>13</v>
      </c>
      <c r="M18" s="3" t="s">
        <v>296</v>
      </c>
      <c r="O18"/>
      <c r="R18" t="s">
        <v>113</v>
      </c>
      <c r="S18" t="str">
        <f>StdDisziplinen[[#This Row],[StdDisziplin]]</f>
        <v>Parallelbarren</v>
      </c>
      <c r="T18" t="str">
        <f t="shared" si="0"/>
        <v>Para</v>
      </c>
      <c r="U18" s="13">
        <f>LEN(StdDisziplinen[[#This Row],[StdTabÜberschrift]])+$U$3</f>
        <v>16</v>
      </c>
      <c r="V18" t="str">
        <f>StdDisziplinen[[#This Row],[StdTabÜberschrift]]&amp;$V$2</f>
        <v>ParallelbarrenResultat</v>
      </c>
      <c r="W18" t="str">
        <f>StdDisziplinen[[#This Row],[StdTabResultat]]&amp;$W$3</f>
        <v>ParallelbarrenResultat[@[Eingabe]]</v>
      </c>
      <c r="X18" t="str">
        <f>StdDisziplinen[[#This Row],[StdTabResultat]]&amp;$X$3</f>
        <v>ParallelbarrenResultat[@[Resultat]]</v>
      </c>
      <c r="Y18" t="str">
        <f>StdDisziplinen[[#This Row],[StdTabÜberschrift]]&amp;$Y$2</f>
        <v>ParallelbarrenGerundet</v>
      </c>
      <c r="Z18" t="str">
        <f>StdDisziplinen[[#This Row],[StdTabGerundet]]&amp;$Z$3</f>
        <v>ParallelbarrenGerundet[@[Rundung]]</v>
      </c>
      <c r="AA18" t="str">
        <f>StdDisziplinen[[#This Row],[StdTabÜberschrift]]&amp;$AA$3&amp;$AA$2</f>
        <v>Parallelbarren_X[Resultat]</v>
      </c>
      <c r="AB18" s="3" t="str">
        <f>StdDisziplinen[[#This Row],[StdTabÜberschrift]]&amp;$AB$2&amp;$AB$3</f>
        <v>ParallelbarrenSkalawert[@[Skala-Wert]]</v>
      </c>
      <c r="AC18" t="str">
        <f>StdDisziplinen[[#This Row],[StdTabÜberschrift]]&amp;$AC$3&amp;"["&amp;StdDisziplinen[[#This Row],[Ergebnis]]&amp;"]"</f>
        <v>Parallelbarren_X[Note]</v>
      </c>
      <c r="AD18" s="11" t="str">
        <f>StdDisziplinen[[#This Row],[StdTabÜberschrift]]&amp;StdDisziplinen[[#This Row],[Ergebnis]]&amp;"[@["&amp;StdDisziplinen[[#This Row],[Ergebnis]]&amp;"]]"</f>
        <v>ParallelbarrenNote[@[Note]]</v>
      </c>
      <c r="AE18" t="str">
        <f>StdDisziplinen[[#This Row],[StdTabResultat]]&amp;$AE$2</f>
        <v>ParallelbarrenResultat[Resultat]</v>
      </c>
      <c r="AF18" t="s">
        <v>131</v>
      </c>
      <c r="AG18" t="s">
        <v>8</v>
      </c>
      <c r="AH18" s="41" t="str">
        <f>StdDisziplinen[[#This Row],[Resultatanzeige]]</f>
        <v>Punkte</v>
      </c>
      <c r="AI18" t="str">
        <f>IFERROR(INDEX(StdBewertungen[Anzeigetext],MATCH(StdDisziplinen[[#This Row],[Bewertung]],StdBewertungen[StdBewertung],0)),"")</f>
        <v>Punkte</v>
      </c>
      <c r="AJ18" t="s">
        <v>7</v>
      </c>
      <c r="AK18" s="10">
        <v>20</v>
      </c>
      <c r="AL18" s="10">
        <v>20</v>
      </c>
      <c r="AM18" t="str">
        <f>IF(OR(StdDisziplinen[[#This Row],[Maximalwert_OS1]]&lt;&gt;"",StdDisziplinen[[#This Row],[Maximalwert_OS2]]&lt;&gt;""),$AM$2,"")</f>
        <v xml:space="preserve">Maximalwert: </v>
      </c>
      <c r="AN18">
        <v>1</v>
      </c>
      <c r="AO18">
        <v>1</v>
      </c>
      <c r="AP18" s="13"/>
      <c r="AR18" t="str">
        <f>$AR$2&amp;StdDisziplinen[[#This Row],[StdTabMax]]</f>
        <v>_Stufe_Para</v>
      </c>
      <c r="AS18" t="str">
        <f>IF(StdDisziplinen[[#This Row],[Maximalwert_OS1]]="","",REPLACE($AS$2,6,2,StdDisziplinen[[#This Row],[Maximalwert_OS1]])&amp;StdDisziplinen[[#This Row],[GemStufe]])</f>
        <v>max. 20 Punkte</v>
      </c>
      <c r="AT18" t="str">
        <f>IF(StdDisziplinen[[#This Row],[Maximalwert_OS2]]="","",REPLACE($AT$2,6,2,StdDisziplinen[[#This Row],[Maximalwert_OS2]])&amp;StdDisziplinen[[#This Row],[GemStufe]])</f>
        <v>max. 20 Punkte</v>
      </c>
      <c r="AU18" s="13">
        <f ca="1">MATCH(StdDisziplinen[[#This Row],[ID]],Resultatmappe!$A$3:$ACN$3,0)</f>
        <v>251</v>
      </c>
      <c r="AV18" s="13">
        <v>0</v>
      </c>
      <c r="AW18" s="13">
        <v>0</v>
      </c>
      <c r="AX18" s="13">
        <v>0</v>
      </c>
      <c r="AY18" s="13" t="s">
        <v>385</v>
      </c>
      <c r="AZ18" s="13" t="str">
        <f>IF(StdDisziplinen[[#This Row],[Res_Code]]=2,"0"&amp;$AZ$3&amp;"00",IF(StdDisziplinen[[#This Row],[Res_Code]]=1,"0"&amp;$AZ$3&amp;"0","0"))</f>
        <v>0</v>
      </c>
      <c r="BA18" s="13" t="str">
        <f>IF(StdDisziplinen[[#This Row],[Res_Code]]=2,"0"&amp;$AZ$3&amp;"00",IF(StdDisziplinen[[#This Row],[Res_Code]]=1,"0"&amp;$AZ$3&amp;"0","0"))</f>
        <v>0</v>
      </c>
      <c r="BB18" s="13"/>
      <c r="BC18" s="3" t="str">
        <f>IFERROR(REPLACE(StdDisziplinen[[#This Row],[StdTabResRes]],LEN(StdDisziplinen[[#This Row],[StdTabResRes]])-9,8,StdDisziplinen[[#Headers],[BedRes]]),"")</f>
        <v>ParallelbarrenResultat[@[BedRes]]</v>
      </c>
      <c r="BD18" s="3" t="str">
        <f>StdDisziplinen[[#This Row],[StdTabResultat]]&amp;"["&amp;$BD$2&amp;"]"</f>
        <v>ParallelbarrenResultat[Eingabe]</v>
      </c>
      <c r="BE18" s="13">
        <f ca="1">COUNTA(INDIRECT(StdDisziplinen[[#This Row],[StdTabEingabe]]))</f>
        <v>0</v>
      </c>
      <c r="BF18" s="3" t="str">
        <f>StdDisziplinen[[#This Row],[StdTabResultat]]&amp;"["&amp;$BF$2&amp;"]"</f>
        <v>ParallelbarrenResultat[#Kopfzeilen]</v>
      </c>
      <c r="BG18" s="3" t="str">
        <f>StdDisziplinen[[#This Row],[StdTabResultat]]&amp;"["&amp;$W$2&amp;"]"</f>
        <v>ParallelbarrenResultat[Eingabe]</v>
      </c>
      <c r="BH18" s="3" cm="1">
        <f t="array" aca="1" ref="BH18" ca="1">ROW(INDIRECT(StdDisziplinen[[#This Row],[Bereich_Ein_Z]]))+$BH$2</f>
        <v>28</v>
      </c>
      <c r="BI18" s="3">
        <f ca="1">StdDisziplinen[[#This Row],[Bereich_Ein_ZStart]]+$BI$2</f>
        <v>57</v>
      </c>
      <c r="BJ18" s="3" t="str" cm="1">
        <f t="array" aca="1" ref="BJ18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$IQ$28:$IQ$57</v>
      </c>
      <c r="BK18" s="3" t="str" cm="1">
        <f t="array" aca="1" ref="BK18" ca="1">IFERROR(ADDRESS(ROW(INDIRECT(StdDisziplinen[[#This Row],[StufeMax]])),COLUMN(INDIRECT(StdDisziplinen[[#This Row],[StufeMax]])),1,1,),"")</f>
        <v>$IQ$25</v>
      </c>
      <c r="BQ18" t="s">
        <v>18</v>
      </c>
      <c r="BS18">
        <v>0</v>
      </c>
      <c r="BU18" s="10" t="s">
        <v>32</v>
      </c>
      <c r="BV18" t="s">
        <v>11</v>
      </c>
      <c r="BX18" t="s">
        <v>11</v>
      </c>
      <c r="BZ18" t="s">
        <v>335</v>
      </c>
      <c r="CA18" t="str">
        <f>$BZ$18&amp;"s "&amp;$BZ$20&amp;$BZ$4</f>
        <v>Zweites Gerät nicht durchgeführt</v>
      </c>
      <c r="CB18" t="str">
        <f>$BZ18&amp;" "&amp;$BZ$12&amp;$BZ$4</f>
        <v>Zweite Spielsportart nicht durchgeführt</v>
      </c>
    </row>
    <row r="19" spans="1:81">
      <c r="A19" t="str">
        <f ca="1">Schuljahre[[#Headers],[Schuljahr]]&amp;" "&amp;YEAR(TODAY())+(Schuljahre[[#This Row],[Zähler]])&amp;"/"&amp;YEAR(TODAY())+Schuljahre[[#This Row],[Zähler]]+1</f>
        <v>Schuljahr 2025/2026</v>
      </c>
      <c r="B19">
        <v>-1</v>
      </c>
      <c r="D19" s="3" cm="1">
        <f t="array" ref="D19">ROW()-ROW(Schulgemeinden[#Headers])</f>
        <v>1</v>
      </c>
      <c r="E19" t="s">
        <v>256</v>
      </c>
      <c r="F19" t="s">
        <v>213</v>
      </c>
      <c r="G19" s="13">
        <f ca="1">INDEX(INDIRECT($G$15),MATCH(Schulgemeinden[[#This Row],[Kanton]],INDIRECT($F$15),0))</f>
        <v>1</v>
      </c>
      <c r="I19" t="s">
        <v>213</v>
      </c>
      <c r="J19">
        <f>ROW(Diplom_Kantone!A1)</f>
        <v>1</v>
      </c>
      <c r="L19" s="3" cm="1">
        <f t="array" ref="L19">ROW()-ROW(StdDisziplinen[#Headers])</f>
        <v>14</v>
      </c>
      <c r="M19" s="3" t="s">
        <v>296</v>
      </c>
      <c r="O19"/>
      <c r="R19" t="s">
        <v>114</v>
      </c>
      <c r="S19" t="str">
        <f>StdDisziplinen[[#This Row],[StdDisziplin]]</f>
        <v>Schaukelringe</v>
      </c>
      <c r="T19" t="str">
        <f t="shared" si="0"/>
        <v>Scha</v>
      </c>
      <c r="U19" s="13">
        <f>LEN(StdDisziplinen[[#This Row],[StdTabÜberschrift]])+$U$3</f>
        <v>15</v>
      </c>
      <c r="V19" t="str">
        <f>StdDisziplinen[[#This Row],[StdTabÜberschrift]]&amp;$V$2</f>
        <v>SchaukelringeResultat</v>
      </c>
      <c r="W19" t="str">
        <f>StdDisziplinen[[#This Row],[StdTabResultat]]&amp;$W$3</f>
        <v>SchaukelringeResultat[@[Eingabe]]</v>
      </c>
      <c r="X19" t="str">
        <f>StdDisziplinen[[#This Row],[StdTabResultat]]&amp;$X$3</f>
        <v>SchaukelringeResultat[@[Resultat]]</v>
      </c>
      <c r="Y19" t="str">
        <f>StdDisziplinen[[#This Row],[StdTabÜberschrift]]&amp;$Y$2</f>
        <v>SchaukelringeGerundet</v>
      </c>
      <c r="Z19" t="str">
        <f>StdDisziplinen[[#This Row],[StdTabGerundet]]&amp;$Z$3</f>
        <v>SchaukelringeGerundet[@[Rundung]]</v>
      </c>
      <c r="AA19" t="str">
        <f>StdDisziplinen[[#This Row],[StdTabÜberschrift]]&amp;$AA$3&amp;$AA$2</f>
        <v>Schaukelringe_X[Resultat]</v>
      </c>
      <c r="AB19" s="3" t="str">
        <f>StdDisziplinen[[#This Row],[StdTabÜberschrift]]&amp;$AB$2&amp;$AB$3</f>
        <v>SchaukelringeSkalawert[@[Skala-Wert]]</v>
      </c>
      <c r="AC19" t="str">
        <f>StdDisziplinen[[#This Row],[StdTabÜberschrift]]&amp;$AC$3&amp;"["&amp;StdDisziplinen[[#This Row],[Ergebnis]]&amp;"]"</f>
        <v>Schaukelringe_X[Note]</v>
      </c>
      <c r="AD19" s="11" t="str">
        <f>StdDisziplinen[[#This Row],[StdTabÜberschrift]]&amp;StdDisziplinen[[#This Row],[Ergebnis]]&amp;"[@["&amp;StdDisziplinen[[#This Row],[Ergebnis]]&amp;"]]"</f>
        <v>SchaukelringeNote[@[Note]]</v>
      </c>
      <c r="AE19" t="str">
        <f>StdDisziplinen[[#This Row],[StdTabResultat]]&amp;$AE$2</f>
        <v>SchaukelringeResultat[Resultat]</v>
      </c>
      <c r="AF19" t="s">
        <v>131</v>
      </c>
      <c r="AG19" t="s">
        <v>8</v>
      </c>
      <c r="AH19" s="41" t="str">
        <f>StdDisziplinen[[#This Row],[Resultatanzeige]]</f>
        <v>Punkte</v>
      </c>
      <c r="AI19" t="str">
        <f>IFERROR(INDEX(StdBewertungen[Anzeigetext],MATCH(StdDisziplinen[[#This Row],[Bewertung]],StdBewertungen[StdBewertung],0)),"")</f>
        <v>Punkte</v>
      </c>
      <c r="AJ19" t="s">
        <v>7</v>
      </c>
      <c r="AK19" s="10">
        <v>20</v>
      </c>
      <c r="AL19" s="10">
        <v>20</v>
      </c>
      <c r="AM19" t="str">
        <f>IF(OR(StdDisziplinen[[#This Row],[Maximalwert_OS1]]&lt;&gt;"",StdDisziplinen[[#This Row],[Maximalwert_OS2]]&lt;&gt;""),$AM$2,"")</f>
        <v xml:space="preserve">Maximalwert: </v>
      </c>
      <c r="AN19">
        <v>1</v>
      </c>
      <c r="AO19">
        <v>1</v>
      </c>
      <c r="AP19" s="13"/>
      <c r="AR19" t="str">
        <f>$AR$2&amp;StdDisziplinen[[#This Row],[StdTabMax]]</f>
        <v>_Stufe_Scha</v>
      </c>
      <c r="AS19" t="str">
        <f>IF(StdDisziplinen[[#This Row],[Maximalwert_OS1]]="","",REPLACE($AS$2,6,2,StdDisziplinen[[#This Row],[Maximalwert_OS1]])&amp;StdDisziplinen[[#This Row],[GemStufe]])</f>
        <v>max. 20 Punkte</v>
      </c>
      <c r="AT19" t="str">
        <f>IF(StdDisziplinen[[#This Row],[Maximalwert_OS2]]="","",REPLACE($AT$2,6,2,StdDisziplinen[[#This Row],[Maximalwert_OS2]])&amp;StdDisziplinen[[#This Row],[GemStufe]])</f>
        <v>max. 20 Punkte</v>
      </c>
      <c r="AU19" s="13">
        <f ca="1">MATCH(StdDisziplinen[[#This Row],[ID]],Resultatmappe!$A$3:$ACN$3,0)</f>
        <v>260</v>
      </c>
      <c r="AV19" s="13">
        <v>0</v>
      </c>
      <c r="AW19" s="13">
        <v>0</v>
      </c>
      <c r="AX19" s="13">
        <v>0</v>
      </c>
      <c r="AY19" s="13" t="s">
        <v>385</v>
      </c>
      <c r="AZ19" s="13" t="str">
        <f>IF(StdDisziplinen[[#This Row],[Res_Code]]=2,"0"&amp;$AZ$3&amp;"00",IF(StdDisziplinen[[#This Row],[Res_Code]]=1,"0"&amp;$AZ$3&amp;"0","0"))</f>
        <v>0</v>
      </c>
      <c r="BA19" s="13" t="str">
        <f>IF(StdDisziplinen[[#This Row],[Res_Code]]=2,"0"&amp;$AZ$3&amp;"00",IF(StdDisziplinen[[#This Row],[Res_Code]]=1,"0"&amp;$AZ$3&amp;"0","0"))</f>
        <v>0</v>
      </c>
      <c r="BB19" s="13"/>
      <c r="BC19" s="3" t="str">
        <f>IFERROR(REPLACE(StdDisziplinen[[#This Row],[StdTabResRes]],LEN(StdDisziplinen[[#This Row],[StdTabResRes]])-9,8,StdDisziplinen[[#Headers],[BedRes]]),"")</f>
        <v>SchaukelringeResultat[@[BedRes]]</v>
      </c>
      <c r="BD19" s="3" t="str">
        <f>StdDisziplinen[[#This Row],[StdTabResultat]]&amp;"["&amp;$BD$2&amp;"]"</f>
        <v>SchaukelringeResultat[Eingabe]</v>
      </c>
      <c r="BE19" s="13">
        <f ca="1">COUNTA(INDIRECT(StdDisziplinen[[#This Row],[StdTabEingabe]]))</f>
        <v>0</v>
      </c>
      <c r="BF19" s="3" t="str">
        <f>StdDisziplinen[[#This Row],[StdTabResultat]]&amp;"["&amp;$BF$2&amp;"]"</f>
        <v>SchaukelringeResultat[#Kopfzeilen]</v>
      </c>
      <c r="BG19" s="3" t="str">
        <f>StdDisziplinen[[#This Row],[StdTabResultat]]&amp;"["&amp;$W$2&amp;"]"</f>
        <v>SchaukelringeResultat[Eingabe]</v>
      </c>
      <c r="BH19" s="3" cm="1">
        <f t="array" aca="1" ref="BH19" ca="1">ROW(INDIRECT(StdDisziplinen[[#This Row],[Bereich_Ein_Z]]))+$BH$2</f>
        <v>28</v>
      </c>
      <c r="BI19" s="3">
        <f ca="1">StdDisziplinen[[#This Row],[Bereich_Ein_ZStart]]+$BI$2</f>
        <v>57</v>
      </c>
      <c r="BJ19" s="3" t="str" cm="1">
        <f t="array" aca="1" ref="BJ19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$IZ$28:$IZ$57</v>
      </c>
      <c r="BK19" s="3" t="str" cm="1">
        <f t="array" aca="1" ref="BK19" ca="1">IFERROR(ADDRESS(ROW(INDIRECT(StdDisziplinen[[#This Row],[StufeMax]])),COLUMN(INDIRECT(StdDisziplinen[[#This Row],[StufeMax]])),1,1,),"")</f>
        <v>$IZ$25</v>
      </c>
      <c r="BQ19" t="s">
        <v>19</v>
      </c>
      <c r="BS19">
        <v>-1</v>
      </c>
      <c r="BU19" t="str">
        <f>$BU$18&amp;", "&amp;$BZ$30&amp;LOWER($BU$18)</f>
        <v>Sekunden, Zehntelsekunden</v>
      </c>
      <c r="BV19" t="s">
        <v>11</v>
      </c>
      <c r="BX19" t="s">
        <v>42</v>
      </c>
      <c r="BZ19" t="s">
        <v>336</v>
      </c>
      <c r="CA19" t="str">
        <f>$BZ$19&amp;"s "&amp;$BZ$20&amp;$BZ$4</f>
        <v>Drittes Gerät nicht durchgeführt</v>
      </c>
      <c r="CB19" t="str">
        <f>$BZ19&amp;" "&amp;$BZ$12&amp;$BZ$4</f>
        <v>Dritte Spielsportart nicht durchgeführt</v>
      </c>
    </row>
    <row r="20" spans="1:81">
      <c r="A20" t="str">
        <f ca="1">Schuljahre[[#Headers],[Schuljahr]]&amp;" "&amp;YEAR(TODAY())+(Schuljahre[[#This Row],[Zähler]])&amp;"/"&amp;YEAR(TODAY())+Schuljahre[[#This Row],[Zähler]]+1</f>
        <v>Schuljahr 2026/2027</v>
      </c>
      <c r="B20">
        <v>0</v>
      </c>
      <c r="D20" s="3" cm="1">
        <f t="array" ref="D20">ROW()-ROW(Schulgemeinden[#Headers])</f>
        <v>2</v>
      </c>
      <c r="E20" t="s">
        <v>257</v>
      </c>
      <c r="F20" t="s">
        <v>213</v>
      </c>
      <c r="G20" s="13">
        <f ca="1">INDEX(INDIRECT($G$15),MATCH(Schulgemeinden[[#This Row],[Kanton]],INDIRECT($F$15),0))</f>
        <v>1</v>
      </c>
      <c r="I20" t="s">
        <v>214</v>
      </c>
      <c r="J20">
        <f>ROW(Diplom_Kantone!A2)</f>
        <v>2</v>
      </c>
      <c r="L20" s="3" cm="1">
        <f t="array" ref="L20">ROW()-ROW(StdDisziplinen[#Headers])</f>
        <v>15</v>
      </c>
      <c r="M20" s="3" t="s">
        <v>296</v>
      </c>
      <c r="O20"/>
      <c r="R20" t="s">
        <v>115</v>
      </c>
      <c r="S20" t="str">
        <f>StdDisziplinen[[#This Row],[StdDisziplin]]</f>
        <v>Sprung</v>
      </c>
      <c r="T20" t="str">
        <f t="shared" si="0"/>
        <v>Spru</v>
      </c>
      <c r="U20" s="13">
        <f>LEN(StdDisziplinen[[#This Row],[StdTabÜberschrift]])+$U$3</f>
        <v>8</v>
      </c>
      <c r="V20" t="str">
        <f>StdDisziplinen[[#This Row],[StdTabÜberschrift]]&amp;$V$2</f>
        <v>SprungResultat</v>
      </c>
      <c r="W20" t="str">
        <f>StdDisziplinen[[#This Row],[StdTabResultat]]&amp;$W$3</f>
        <v>SprungResultat[@[Eingabe]]</v>
      </c>
      <c r="X20" t="str">
        <f>StdDisziplinen[[#This Row],[StdTabResultat]]&amp;$X$3</f>
        <v>SprungResultat[@[Resultat]]</v>
      </c>
      <c r="Y20" t="str">
        <f>StdDisziplinen[[#This Row],[StdTabÜberschrift]]&amp;$Y$2</f>
        <v>SprungGerundet</v>
      </c>
      <c r="Z20" t="str">
        <f>StdDisziplinen[[#This Row],[StdTabGerundet]]&amp;$Z$3</f>
        <v>SprungGerundet[@[Rundung]]</v>
      </c>
      <c r="AA20" t="str">
        <f>StdDisziplinen[[#This Row],[StdTabÜberschrift]]&amp;$AA$3&amp;$AA$2</f>
        <v>Sprung_X[Resultat]</v>
      </c>
      <c r="AB20" s="3" t="str">
        <f>StdDisziplinen[[#This Row],[StdTabÜberschrift]]&amp;$AB$2&amp;$AB$3</f>
        <v>SprungSkalawert[@[Skala-Wert]]</v>
      </c>
      <c r="AC20" t="str">
        <f>StdDisziplinen[[#This Row],[StdTabÜberschrift]]&amp;$AC$3&amp;"["&amp;StdDisziplinen[[#This Row],[Ergebnis]]&amp;"]"</f>
        <v>Sprung_X[Note]</v>
      </c>
      <c r="AD20" s="11" t="str">
        <f>StdDisziplinen[[#This Row],[StdTabÜberschrift]]&amp;StdDisziplinen[[#This Row],[Ergebnis]]&amp;"[@["&amp;StdDisziplinen[[#This Row],[Ergebnis]]&amp;"]]"</f>
        <v>SprungNote[@[Note]]</v>
      </c>
      <c r="AE20" t="str">
        <f>StdDisziplinen[[#This Row],[StdTabResultat]]&amp;$AE$2</f>
        <v>SprungResultat[Resultat]</v>
      </c>
      <c r="AF20" t="s">
        <v>131</v>
      </c>
      <c r="AG20" t="s">
        <v>8</v>
      </c>
      <c r="AH20" s="41" t="str">
        <f>StdDisziplinen[[#This Row],[Resultatanzeige]]</f>
        <v>Punkte</v>
      </c>
      <c r="AI20" t="str">
        <f>IFERROR(INDEX(StdBewertungen[Anzeigetext],MATCH(StdDisziplinen[[#This Row],[Bewertung]],StdBewertungen[StdBewertung],0)),"")</f>
        <v>Punkte</v>
      </c>
      <c r="AJ20" t="s">
        <v>7</v>
      </c>
      <c r="AK20" s="10">
        <v>20</v>
      </c>
      <c r="AL20" s="10">
        <v>20</v>
      </c>
      <c r="AM20" t="str">
        <f>IF(OR(StdDisziplinen[[#This Row],[Maximalwert_OS1]]&lt;&gt;"",StdDisziplinen[[#This Row],[Maximalwert_OS2]]&lt;&gt;""),$AM$2,"")</f>
        <v xml:space="preserve">Maximalwert: </v>
      </c>
      <c r="AN20">
        <v>1</v>
      </c>
      <c r="AO20">
        <v>1</v>
      </c>
      <c r="AP20" s="13"/>
      <c r="AR20" t="str">
        <f>$AR$2&amp;StdDisziplinen[[#This Row],[StdTabMax]]</f>
        <v>_Stufe_Spru</v>
      </c>
      <c r="AS20" t="str">
        <f>IF(StdDisziplinen[[#This Row],[Maximalwert_OS1]]="","",REPLACE($AS$2,6,2,StdDisziplinen[[#This Row],[Maximalwert_OS1]])&amp;StdDisziplinen[[#This Row],[GemStufe]])</f>
        <v>max. 20 Punkte</v>
      </c>
      <c r="AT20" t="str">
        <f>IF(StdDisziplinen[[#This Row],[Maximalwert_OS2]]="","",REPLACE($AT$2,6,2,StdDisziplinen[[#This Row],[Maximalwert_OS2]])&amp;StdDisziplinen[[#This Row],[GemStufe]])</f>
        <v>max. 20 Punkte</v>
      </c>
      <c r="AU20" s="13">
        <f ca="1">MATCH(StdDisziplinen[[#This Row],[ID]],Resultatmappe!$A$3:$ACN$3,0)</f>
        <v>269</v>
      </c>
      <c r="AV20" s="13">
        <v>0</v>
      </c>
      <c r="AW20" s="13">
        <v>0</v>
      </c>
      <c r="AX20" s="13">
        <v>0</v>
      </c>
      <c r="AY20" s="13" t="s">
        <v>385</v>
      </c>
      <c r="AZ20" s="13" t="str">
        <f>IF(StdDisziplinen[[#This Row],[Res_Code]]=2,"0"&amp;$AZ$3&amp;"00",IF(StdDisziplinen[[#This Row],[Res_Code]]=1,"0"&amp;$AZ$3&amp;"0","0"))</f>
        <v>0</v>
      </c>
      <c r="BA20" s="13" t="str">
        <f>IF(StdDisziplinen[[#This Row],[Res_Code]]=2,"0"&amp;$AZ$3&amp;"00",IF(StdDisziplinen[[#This Row],[Res_Code]]=1,"0"&amp;$AZ$3&amp;"0","0"))</f>
        <v>0</v>
      </c>
      <c r="BB20" s="13"/>
      <c r="BC20" s="3" t="str">
        <f>IFERROR(REPLACE(StdDisziplinen[[#This Row],[StdTabResRes]],LEN(StdDisziplinen[[#This Row],[StdTabResRes]])-9,8,StdDisziplinen[[#Headers],[BedRes]]),"")</f>
        <v>SprungResultat[@[BedRes]]</v>
      </c>
      <c r="BD20" s="3" t="str">
        <f>StdDisziplinen[[#This Row],[StdTabResultat]]&amp;"["&amp;$BD$2&amp;"]"</f>
        <v>SprungResultat[Eingabe]</v>
      </c>
      <c r="BE20" s="13">
        <f ca="1">COUNTA(INDIRECT(StdDisziplinen[[#This Row],[StdTabEingabe]]))</f>
        <v>0</v>
      </c>
      <c r="BF20" s="3" t="str">
        <f>StdDisziplinen[[#This Row],[StdTabResultat]]&amp;"["&amp;$BF$2&amp;"]"</f>
        <v>SprungResultat[#Kopfzeilen]</v>
      </c>
      <c r="BG20" s="3" t="str">
        <f>StdDisziplinen[[#This Row],[StdTabResultat]]&amp;"["&amp;$W$2&amp;"]"</f>
        <v>SprungResultat[Eingabe]</v>
      </c>
      <c r="BH20" s="3" cm="1">
        <f t="array" aca="1" ref="BH20" ca="1">ROW(INDIRECT(StdDisziplinen[[#This Row],[Bereich_Ein_Z]]))+$BH$2</f>
        <v>28</v>
      </c>
      <c r="BI20" s="3">
        <f ca="1">StdDisziplinen[[#This Row],[Bereich_Ein_ZStart]]+$BI$2</f>
        <v>57</v>
      </c>
      <c r="BJ20" s="3" t="str" cm="1">
        <f t="array" aca="1" ref="BJ20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$JI$28:$JI$57</v>
      </c>
      <c r="BK20" s="3" t="str" cm="1">
        <f t="array" aca="1" ref="BK20" ca="1">IFERROR(ADDRESS(ROW(INDIRECT(StdDisziplinen[[#This Row],[StufeMax]])),COLUMN(INDIRECT(StdDisziplinen[[#This Row],[StufeMax]])),1,1,),"")</f>
        <v>$JI$25</v>
      </c>
      <c r="BQ20" t="s">
        <v>20</v>
      </c>
      <c r="BU20" t="str">
        <f>$BZ$31&amp;LOWER($BU$18)</f>
        <v>Hundertstelsekunden</v>
      </c>
      <c r="BV20" t="s">
        <v>11</v>
      </c>
      <c r="BX20" t="s">
        <v>33</v>
      </c>
      <c r="BZ20" t="s">
        <v>337</v>
      </c>
      <c r="CA20" t="str">
        <f>" "&amp;$BZ$20&amp;"en"</f>
        <v xml:space="preserve"> Geräten</v>
      </c>
      <c r="CB20" t="str">
        <f>$BX$6&amp;" "&amp;$O$41&amp;CHAR(10)&amp;" und "&amp;$BX$6&amp;" "&amp;$R$21</f>
        <v>Note Geräteturnen
 und Note Parkour</v>
      </c>
    </row>
    <row r="21" spans="1:81">
      <c r="A21" t="str">
        <f ca="1">Schuljahre[[#Headers],[Schuljahr]]&amp;" "&amp;YEAR(TODAY())+(Schuljahre[[#This Row],[Zähler]])&amp;"/"&amp;YEAR(TODAY())+Schuljahre[[#This Row],[Zähler]]+1</f>
        <v>Schuljahr 2027/2028</v>
      </c>
      <c r="B21">
        <v>1</v>
      </c>
      <c r="D21" s="3" cm="1">
        <f t="array" ref="D21">ROW()-ROW(Schulgemeinden[#Headers])</f>
        <v>3</v>
      </c>
      <c r="E21" t="s">
        <v>258</v>
      </c>
      <c r="F21" t="s">
        <v>213</v>
      </c>
      <c r="G21" s="13">
        <f ca="1">INDEX(INDIRECT($G$15),MATCH(Schulgemeinden[[#This Row],[Kanton]],INDIRECT($F$15),0))</f>
        <v>1</v>
      </c>
      <c r="I21" t="s">
        <v>215</v>
      </c>
      <c r="J21">
        <f>ROW(Diplom_Kantone!A3)</f>
        <v>3</v>
      </c>
      <c r="L21" s="3" cm="1">
        <f t="array" ref="L21">ROW()-ROW(StdDisziplinen[#Headers])</f>
        <v>16</v>
      </c>
      <c r="M21" s="3" t="s">
        <v>296</v>
      </c>
      <c r="R21" t="s">
        <v>109</v>
      </c>
      <c r="S21" t="str">
        <f>StdDisziplinen[[#This Row],[StdDisziplin]]</f>
        <v>Parkour</v>
      </c>
      <c r="T21" t="str">
        <f t="shared" si="0"/>
        <v>Park</v>
      </c>
      <c r="U21" s="13">
        <f>LEN(StdDisziplinen[[#This Row],[StdTabÜberschrift]])+$U$3</f>
        <v>9</v>
      </c>
      <c r="V21" t="str">
        <f>StdDisziplinen[[#This Row],[StdTabÜberschrift]]&amp;$V$2</f>
        <v>ParkourResultat</v>
      </c>
      <c r="W21" t="str">
        <f>StdDisziplinen[[#This Row],[StdTabResultat]]&amp;$W$3</f>
        <v>ParkourResultat[@[Eingabe]]</v>
      </c>
      <c r="X21" t="str">
        <f>StdDisziplinen[[#This Row],[StdTabResultat]]&amp;$X$3</f>
        <v>ParkourResultat[@[Resultat]]</v>
      </c>
      <c r="Y21" t="str">
        <f>StdDisziplinen[[#This Row],[StdTabÜberschrift]]&amp;$Y$2</f>
        <v>ParkourGerundet</v>
      </c>
      <c r="Z21" t="str">
        <f>StdDisziplinen[[#This Row],[StdTabGerundet]]&amp;$Z$3</f>
        <v>ParkourGerundet[@[Rundung]]</v>
      </c>
      <c r="AA21" t="str">
        <f>StdDisziplinen[[#This Row],[StdTabÜberschrift]]&amp;$AA$3&amp;$AA$2</f>
        <v>Parkour_X[Resultat]</v>
      </c>
      <c r="AB21" s="3" t="str">
        <f>StdDisziplinen[[#This Row],[StdTabÜberschrift]]&amp;$AB$2&amp;$AB$3</f>
        <v>ParkourSkalawert[@[Skala-Wert]]</v>
      </c>
      <c r="AC21" t="str">
        <f>StdDisziplinen[[#This Row],[StdTabÜberschrift]]&amp;$AC$3&amp;"["&amp;StdDisziplinen[[#This Row],[Ergebnis]]&amp;"]"</f>
        <v>Parkour_X[Note]</v>
      </c>
      <c r="AD21" t="str">
        <f>StdDisziplinen[[#This Row],[StdTabÜberschrift]]&amp;StdDisziplinen[[#This Row],[Ergebnis]]&amp;"[@["&amp;StdDisziplinen[[#This Row],[Ergebnis]]&amp;"]]"</f>
        <v>ParkourNote[@[Note]]</v>
      </c>
      <c r="AE21" t="str">
        <f>StdDisziplinen[[#This Row],[StdTabResultat]]&amp;$AE$2</f>
        <v>ParkourResultat[Resultat]</v>
      </c>
      <c r="AF21" s="11" t="s">
        <v>131</v>
      </c>
      <c r="AG21" t="s">
        <v>8</v>
      </c>
      <c r="AH21" s="41" t="str">
        <f>StdDisziplinen[[#This Row],[Resultatanzeige]]</f>
        <v>Punkte</v>
      </c>
      <c r="AI21" t="str">
        <f>IFERROR(INDEX(StdBewertungen[Anzeigetext],MATCH(StdDisziplinen[[#This Row],[Bewertung]],StdBewertungen[StdBewertung],0)),"")</f>
        <v>Punkte</v>
      </c>
      <c r="AJ21" t="s">
        <v>7</v>
      </c>
      <c r="AK21" s="37">
        <f ca="1">MAX(INDIRECT(CONCATENATE(StdDisziplinen[[#This Row],[StdTabÜberschrift]],"_M1")))</f>
        <v>26</v>
      </c>
      <c r="AL21" s="37">
        <f ca="1">MAX(INDIRECT(CONCATENATE(StdDisziplinen[[#This Row],[StdTabÜberschrift]],"_M2")))</f>
        <v>26</v>
      </c>
      <c r="AM21" s="37" t="str">
        <f ca="1">IF(OR(StdDisziplinen[[#This Row],[Maximalwert_OS1]]&lt;&gt;"",StdDisziplinen[[#This Row],[Maximalwert_OS2]]&lt;&gt;""),$AM$2,"")</f>
        <v xml:space="preserve">Maximalwert: </v>
      </c>
      <c r="AN21">
        <v>1</v>
      </c>
      <c r="AO21">
        <v>1</v>
      </c>
      <c r="AP21" s="13"/>
      <c r="AR21" t="str">
        <f>$AR$2&amp;StdDisziplinen[[#This Row],[StdTabMax]]</f>
        <v>_Stufe_Park</v>
      </c>
      <c r="AS21" t="str">
        <f ca="1">IF(StdDisziplinen[[#This Row],[Maximalwert_OS1]]="","",REPLACE($AS$2,6,2,StdDisziplinen[[#This Row],[Maximalwert_OS1]])&amp;StdDisziplinen[[#This Row],[GemStufe]])</f>
        <v>max. 26 Punkte</v>
      </c>
      <c r="AT21" t="str">
        <f ca="1">IF(StdDisziplinen[[#This Row],[Maximalwert_OS2]]="","",REPLACE($AT$2,6,2,StdDisziplinen[[#This Row],[Maximalwert_OS2]])&amp;StdDisziplinen[[#This Row],[GemStufe]])</f>
        <v>max. 26 Punkte</v>
      </c>
      <c r="AU21" s="13">
        <f ca="1">MATCH(StdDisziplinen[[#This Row],[ID]],Resultatmappe!$A$3:$ACN$3,0)</f>
        <v>371</v>
      </c>
      <c r="AV21" s="13">
        <v>0</v>
      </c>
      <c r="AW21" s="13">
        <v>0</v>
      </c>
      <c r="AX21" s="13">
        <v>0</v>
      </c>
      <c r="AY21" s="13">
        <v>1</v>
      </c>
      <c r="AZ21" s="13" t="str">
        <f>IF(StdDisziplinen[[#This Row],[Res_Code]]=2,"0"&amp;$AZ$3&amp;"00",IF(StdDisziplinen[[#This Row],[Res_Code]]=1,"0"&amp;$AZ$3&amp;"0","0"))</f>
        <v>0</v>
      </c>
      <c r="BA21" s="13" t="str">
        <f>IF(StdDisziplinen[[#This Row],[Res_Code]]=2,"0"&amp;$AZ$3&amp;"00",IF(StdDisziplinen[[#This Row],[Res_Code]]=1,"0"&amp;$AZ$3&amp;"0","0"))</f>
        <v>0</v>
      </c>
      <c r="BB21" s="13"/>
      <c r="BC21" s="3" t="str">
        <f>IFERROR(REPLACE(StdDisziplinen[[#This Row],[StdTabResRes]],LEN(StdDisziplinen[[#This Row],[StdTabResRes]])-9,8,StdDisziplinen[[#Headers],[BedRes]]),"")</f>
        <v>ParkourResultat[@[BedRes]]</v>
      </c>
      <c r="BD21" s="3" t="str">
        <f>StdDisziplinen[[#This Row],[StdTabResultat]]&amp;"["&amp;$BD$2&amp;"]"</f>
        <v>ParkourResultat[Eingabe]</v>
      </c>
      <c r="BE21" s="13">
        <f ca="1">COUNTA(INDIRECT(StdDisziplinen[[#This Row],[StdTabEingabe]]))</f>
        <v>0</v>
      </c>
      <c r="BF21" s="3" t="str">
        <f>StdDisziplinen[[#This Row],[StdTabResultat]]&amp;"["&amp;$BF$2&amp;"]"</f>
        <v>ParkourResultat[#Kopfzeilen]</v>
      </c>
      <c r="BG21" s="3" t="str">
        <f>StdDisziplinen[[#This Row],[StdTabResultat]]&amp;"["&amp;$W$2&amp;"]"</f>
        <v>ParkourResultat[Eingabe]</v>
      </c>
      <c r="BH21" s="3" cm="1">
        <f t="array" aca="1" ref="BH21" ca="1">ROW(INDIRECT(StdDisziplinen[[#This Row],[Bereich_Ein_Z]]))+$BH$2</f>
        <v>28</v>
      </c>
      <c r="BI21" s="3">
        <f ca="1">StdDisziplinen[[#This Row],[Bereich_Ein_ZStart]]+$BI$2</f>
        <v>57</v>
      </c>
      <c r="BJ21" s="3" t="str" cm="1">
        <f t="array" aca="1" ref="BJ21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$NG$28:$NG$57</v>
      </c>
      <c r="BK21" s="3" t="str" cm="1">
        <f t="array" aca="1" ref="BK21" ca="1">IFERROR(ADDRESS(ROW(INDIRECT(StdDisziplinen[[#This Row],[StufeMax]])),COLUMN(INDIRECT(StdDisziplinen[[#This Row],[StufeMax]])),1,1,),"")</f>
        <v>$NG$25</v>
      </c>
      <c r="BU21" t="str">
        <f>$BZ$32&amp;LOWER($BU$22)</f>
        <v>Zentimeter</v>
      </c>
      <c r="BV21" t="s">
        <v>42</v>
      </c>
      <c r="BZ21" t="s">
        <v>141</v>
      </c>
      <c r="CA21" t="str">
        <f>"Fehl"&amp;LOWER($BZ$21)</f>
        <v>Fehlpositionen</v>
      </c>
      <c r="CB21" t="str">
        <f>"Med.-"&amp;LEFT($BZ$21,3)&amp;"."</f>
        <v>Med.-Pos.</v>
      </c>
    </row>
    <row r="22" spans="1:81">
      <c r="A22" t="str">
        <f ca="1">Schuljahre[[#Headers],[Schuljahr]]&amp;" "&amp;YEAR(TODAY())+(Schuljahre[[#This Row],[Zähler]])&amp;"/"&amp;YEAR(TODAY())+Schuljahre[[#This Row],[Zähler]]+1</f>
        <v>Schuljahr 2028/2029</v>
      </c>
      <c r="B22">
        <v>2</v>
      </c>
      <c r="D22" s="3" cm="1">
        <f t="array" ref="D22">ROW()-ROW(Schulgemeinden[#Headers])</f>
        <v>4</v>
      </c>
      <c r="E22" t="s">
        <v>259</v>
      </c>
      <c r="F22" t="s">
        <v>213</v>
      </c>
      <c r="G22" s="13">
        <f ca="1">INDEX(INDIRECT($G$15),MATCH(Schulgemeinden[[#This Row],[Kanton]],INDIRECT($F$15),0))</f>
        <v>1</v>
      </c>
      <c r="I22" t="s">
        <v>216</v>
      </c>
      <c r="J22">
        <f>ROW(Diplom_Kantone!A4)</f>
        <v>4</v>
      </c>
      <c r="L22" s="3" cm="1">
        <f t="array" ref="L22">ROW()-ROW(StdDisziplinen[#Headers])</f>
        <v>17</v>
      </c>
      <c r="M22" s="3" t="s">
        <v>297</v>
      </c>
      <c r="R22" t="s">
        <v>9</v>
      </c>
      <c r="S22" t="str">
        <f>StdDisziplinen[[#This Row],[StdDisziplin]]</f>
        <v>Tanzen</v>
      </c>
      <c r="T22" t="str">
        <f t="shared" si="0"/>
        <v>Tanz</v>
      </c>
      <c r="U22" s="13">
        <f>LEN(StdDisziplinen[[#This Row],[StdTabÜberschrift]])+$U$3</f>
        <v>8</v>
      </c>
      <c r="V22" t="str">
        <f>StdDisziplinen[[#This Row],[StdTabÜberschrift]]&amp;$V$2</f>
        <v>TanzenResultat</v>
      </c>
      <c r="W22" t="str">
        <f>StdDisziplinen[[#This Row],[StdTabResultat]]&amp;$W$3</f>
        <v>TanzenResultat[@[Eingabe]]</v>
      </c>
      <c r="X22" t="str">
        <f>StdDisziplinen[[#This Row],[StdTabResultat]]&amp;$X$3</f>
        <v>TanzenResultat[@[Resultat]]</v>
      </c>
      <c r="Y22" t="str">
        <f>StdDisziplinen[[#This Row],[StdTabÜberschrift]]&amp;$Y$2</f>
        <v>TanzenGerundet</v>
      </c>
      <c r="Z22" t="str">
        <f>StdDisziplinen[[#This Row],[StdTabGerundet]]&amp;$Z$3</f>
        <v>TanzenGerundet[@[Rundung]]</v>
      </c>
      <c r="AA22" t="str">
        <f>StdDisziplinen[[#This Row],[StdTabÜberschrift]]&amp;$AA$3&amp;$AA$2</f>
        <v>Tanzen_X[Resultat]</v>
      </c>
      <c r="AB22" s="3" t="str">
        <f>StdDisziplinen[[#This Row],[StdTabÜberschrift]]&amp;$AB$2&amp;$AB$3</f>
        <v>TanzenSkalawert[@[Skala-Wert]]</v>
      </c>
      <c r="AC22" t="str">
        <f>StdDisziplinen[[#This Row],[StdTabÜberschrift]]&amp;$AC$3&amp;"["&amp;StdDisziplinen[[#This Row],[Ergebnis]]&amp;"]"</f>
        <v>Tanzen_X[Note]</v>
      </c>
      <c r="AD22" t="str">
        <f>StdDisziplinen[[#This Row],[StdTabÜberschrift]]&amp;StdDisziplinen[[#This Row],[Ergebnis]]&amp;"[@["&amp;StdDisziplinen[[#This Row],[Ergebnis]]&amp;"]]"</f>
        <v>TanzenNote[@[Note]]</v>
      </c>
      <c r="AE22" t="str">
        <f>StdDisziplinen[[#This Row],[StdTabResultat]]&amp;$AE$2</f>
        <v>TanzenResultat[Resultat]</v>
      </c>
      <c r="AF22" t="s">
        <v>417</v>
      </c>
      <c r="AG22" t="s">
        <v>8</v>
      </c>
      <c r="AH22" s="41" t="str">
        <f>StdDisziplinen[[#This Row],[Resultatanzeige]]</f>
        <v>Punkte</v>
      </c>
      <c r="AI22" t="str">
        <f>IFERROR(INDEX(StdBewertungen[Anzeigetext],MATCH(StdDisziplinen[[#This Row],[Bewertung]],StdBewertungen[StdBewertung],0)),"")</f>
        <v>Punkte</v>
      </c>
      <c r="AJ22" t="s">
        <v>7</v>
      </c>
      <c r="AK22" s="37">
        <f ca="1">MAX(INDIRECT(CONCATENATE(StdDisziplinen[[#This Row],[StdTabÜberschrift]],"_M1")))</f>
        <v>12</v>
      </c>
      <c r="AL22" s="37">
        <f ca="1">MAX(INDIRECT(CONCATENATE(StdDisziplinen[[#This Row],[StdTabÜberschrift]],"_M2")))</f>
        <v>12</v>
      </c>
      <c r="AM22" s="37" t="str">
        <f ca="1">IF(OR(StdDisziplinen[[#This Row],[Maximalwert_OS1]]&lt;&gt;"",StdDisziplinen[[#This Row],[Maximalwert_OS2]]&lt;&gt;""),$AM$2,"")</f>
        <v xml:space="preserve">Maximalwert: </v>
      </c>
      <c r="AN22">
        <v>-1</v>
      </c>
      <c r="AO22">
        <v>0.5</v>
      </c>
      <c r="AP22" s="13">
        <v>1</v>
      </c>
      <c r="AR22" t="str">
        <f>$AR$2&amp;StdDisziplinen[[#This Row],[StdTabMax]]</f>
        <v>_Stufe_Tanz</v>
      </c>
      <c r="AS22" t="str">
        <f ca="1">IF(StdDisziplinen[[#This Row],[Maximalwert_OS1]]="","",REPLACE($AS$2,6,2,StdDisziplinen[[#This Row],[Maximalwert_OS1]])&amp;StdDisziplinen[[#This Row],[GemStufe]])</f>
        <v>max. 12 Punkte</v>
      </c>
      <c r="AT22" t="str">
        <f ca="1">IF(StdDisziplinen[[#This Row],[Maximalwert_OS2]]="","",REPLACE($AT$2,6,2,StdDisziplinen[[#This Row],[Maximalwert_OS2]])&amp;StdDisziplinen[[#This Row],[GemStufe]])</f>
        <v>max. 12 Punkte</v>
      </c>
      <c r="AU22" s="13">
        <f ca="1">MATCH(StdDisziplinen[[#This Row],[ID]],Resultatmappe!$A$3:$ACN$3,0)</f>
        <v>419</v>
      </c>
      <c r="AV22" s="13">
        <v>1</v>
      </c>
      <c r="AW22" s="13">
        <v>1</v>
      </c>
      <c r="AX22" s="13">
        <v>1</v>
      </c>
      <c r="AY22" s="13" t="s">
        <v>385</v>
      </c>
      <c r="AZ22" s="13" t="str">
        <f ca="1">IF(StdDisziplinen[[#This Row],[Res_Code]]=2,"0"&amp;$AZ$3&amp;"00",IF(StdDisziplinen[[#This Row],[Res_Code]]=1,"0"&amp;$AZ$3&amp;"0","0"))</f>
        <v>0,0</v>
      </c>
      <c r="BA22" s="13" t="str">
        <f ca="1">IF(StdDisziplinen[[#This Row],[Res_Code]]=2,"0"&amp;$AZ$3&amp;"00",IF(StdDisziplinen[[#This Row],[Res_Code]]=1,"0"&amp;$AZ$3&amp;"0","0"))</f>
        <v>0,0</v>
      </c>
      <c r="BB22" s="13"/>
      <c r="BC22" s="3" t="str">
        <f>IFERROR(REPLACE(StdDisziplinen[[#This Row],[StdTabResRes]],LEN(StdDisziplinen[[#This Row],[StdTabResRes]])-9,8,StdDisziplinen[[#Headers],[BedRes]]),"")</f>
        <v>TanzenResultat[@[BedRes]]</v>
      </c>
      <c r="BD22" s="3" t="str">
        <f>StdDisziplinen[[#This Row],[StdTabResultat]]&amp;"["&amp;$BD$2&amp;"]"</f>
        <v>TanzenResultat[Eingabe]</v>
      </c>
      <c r="BE22" s="13">
        <f ca="1">COUNTA(INDIRECT(StdDisziplinen[[#This Row],[StdTabEingabe]]))</f>
        <v>0</v>
      </c>
      <c r="BF22" s="3" t="str">
        <f>StdDisziplinen[[#This Row],[StdTabResultat]]&amp;"["&amp;$BF$2&amp;"]"</f>
        <v>TanzenResultat[#Kopfzeilen]</v>
      </c>
      <c r="BG22" s="3" t="str">
        <f>StdDisziplinen[[#This Row],[StdTabResultat]]&amp;"["&amp;$W$2&amp;"]"</f>
        <v>TanzenResultat[Eingabe]</v>
      </c>
      <c r="BH22" s="3" cm="1">
        <f t="array" aca="1" ref="BH22" ca="1">ROW(INDIRECT(StdDisziplinen[[#This Row],[Bereich_Ein_Z]]))+$BH$2</f>
        <v>28</v>
      </c>
      <c r="BI22" s="3">
        <f ca="1">StdDisziplinen[[#This Row],[Bereich_Ein_ZStart]]+$BI$2</f>
        <v>57</v>
      </c>
      <c r="BJ22" s="3" t="str" cm="1">
        <f t="array" aca="1" ref="BJ22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$PC$28:$PC$57</v>
      </c>
      <c r="BK22" s="3" t="str" cm="1">
        <f t="array" aca="1" ref="BK22" ca="1">IFERROR(ADDRESS(ROW(INDIRECT(StdDisziplinen[[#This Row],[StufeMax]])),COLUMN(INDIRECT(StdDisziplinen[[#This Row],[StufeMax]])),1,1,),"")</f>
        <v>$PC$25</v>
      </c>
      <c r="BU22" s="10" t="s">
        <v>35</v>
      </c>
      <c r="BV22" t="s">
        <v>42</v>
      </c>
      <c r="BZ22" t="s">
        <v>144</v>
      </c>
      <c r="CA22" t="s">
        <v>375</v>
      </c>
      <c r="CB22" t="s">
        <v>376</v>
      </c>
      <c r="CC22" t="str">
        <f>$CA$22&amp;$BZ$22&amp;$CB$22&amp;$BX$6&amp;"n"</f>
        <v>In den Durchschnitt eingehende Noten</v>
      </c>
    </row>
    <row r="23" spans="1:81">
      <c r="A23" t="str">
        <f ca="1">Schuljahre[[#Headers],[Schuljahr]]&amp;" "&amp;YEAR(TODAY())+(Schuljahre[[#This Row],[Zähler]])&amp;"/"&amp;YEAR(TODAY())+Schuljahre[[#This Row],[Zähler]]+1</f>
        <v>Schuljahr 2029/2030</v>
      </c>
      <c r="B23">
        <v>3</v>
      </c>
      <c r="D23" s="3" cm="1">
        <f t="array" ref="D23">ROW()-ROW(Schulgemeinden[#Headers])</f>
        <v>5</v>
      </c>
      <c r="E23" t="s">
        <v>260</v>
      </c>
      <c r="F23" t="s">
        <v>213</v>
      </c>
      <c r="G23" s="13">
        <f ca="1">INDEX(INDIRECT($G$15),MATCH(Schulgemeinden[[#This Row],[Kanton]],INDIRECT($F$15),0))</f>
        <v>1</v>
      </c>
      <c r="L23" s="3" cm="1">
        <f t="array" ref="L23">ROW()-ROW(StdDisziplinen[#Headers])</f>
        <v>18</v>
      </c>
      <c r="M23" s="3" t="s">
        <v>297</v>
      </c>
      <c r="R23" t="s">
        <v>21</v>
      </c>
      <c r="S23" s="41" t="s">
        <v>84</v>
      </c>
      <c r="T23" t="str">
        <f t="shared" si="0"/>
        <v>Rope</v>
      </c>
      <c r="U23" s="13">
        <f>LEN(StdDisziplinen[[#This Row],[StdTabÜberschrift]])+$U$3</f>
        <v>14</v>
      </c>
      <c r="V23" t="str">
        <f>StdDisziplinen[[#This Row],[StdTabÜberschrift]]&amp;$V$2</f>
        <v>RopeSkippingResultat</v>
      </c>
      <c r="W23" t="str">
        <f>StdDisziplinen[[#This Row],[StdTabResultat]]&amp;$W$3</f>
        <v>RopeSkippingResultat[@[Eingabe]]</v>
      </c>
      <c r="X23" t="str">
        <f>StdDisziplinen[[#This Row],[StdTabResultat]]&amp;$X$3</f>
        <v>RopeSkippingResultat[@[Resultat]]</v>
      </c>
      <c r="Y23" t="str">
        <f>StdDisziplinen[[#This Row],[StdTabÜberschrift]]&amp;$Y$2</f>
        <v>RopeSkippingGerundet</v>
      </c>
      <c r="Z23" t="str">
        <f>StdDisziplinen[[#This Row],[StdTabGerundet]]&amp;$Z$3</f>
        <v>RopeSkippingGerundet[@[Rundung]]</v>
      </c>
      <c r="AA23" t="str">
        <f>StdDisziplinen[[#This Row],[StdTabÜberschrift]]&amp;$AA$3&amp;$AA$2</f>
        <v>RopeSkipping_X[Resultat]</v>
      </c>
      <c r="AB23" s="3" t="str">
        <f>StdDisziplinen[[#This Row],[StdTabÜberschrift]]&amp;$AB$2&amp;$AB$3</f>
        <v>RopeSkippingSkalawert[@[Skala-Wert]]</v>
      </c>
      <c r="AC23" t="str">
        <f>StdDisziplinen[[#This Row],[StdTabÜberschrift]]&amp;$AC$3&amp;"["&amp;StdDisziplinen[[#This Row],[Ergebnis]]&amp;"]"</f>
        <v>RopeSkipping_X[Note]</v>
      </c>
      <c r="AD23" t="str">
        <f>StdDisziplinen[[#This Row],[StdTabÜberschrift]]&amp;StdDisziplinen[[#This Row],[Ergebnis]]&amp;"[@["&amp;StdDisziplinen[[#This Row],[Ergebnis]]&amp;"]]"</f>
        <v>RopeSkippingNote[@[Note]]</v>
      </c>
      <c r="AE23" t="str">
        <f>StdDisziplinen[[#This Row],[StdTabResultat]]&amp;$AE$2</f>
        <v>RopeSkippingResultat[Resultat]</v>
      </c>
      <c r="AF23" t="s">
        <v>418</v>
      </c>
      <c r="AG23" t="s">
        <v>8</v>
      </c>
      <c r="AH23" s="41" t="str">
        <f>StdDisziplinen[[#This Row],[Resultatanzeige]]</f>
        <v>Punkte</v>
      </c>
      <c r="AI23" t="str">
        <f>IFERROR(INDEX(StdBewertungen[Anzeigetext],MATCH(StdDisziplinen[[#This Row],[Bewertung]],StdBewertungen[StdBewertung],0)),"")</f>
        <v>Punkte</v>
      </c>
      <c r="AJ23" t="s">
        <v>7</v>
      </c>
      <c r="AK23" s="37">
        <f ca="1">MAX(INDIRECT(CONCATENATE(StdDisziplinen[[#This Row],[StdTabÜberschrift]],"_M1")))</f>
        <v>16</v>
      </c>
      <c r="AL23" s="37">
        <f ca="1">MAX(INDIRECT(CONCATENATE(StdDisziplinen[[#This Row],[StdTabÜberschrift]],"_M2")))</f>
        <v>16</v>
      </c>
      <c r="AM23" s="37" t="str">
        <f ca="1">IF(OR(StdDisziplinen[[#This Row],[Maximalwert_OS1]]&lt;&gt;"",StdDisziplinen[[#This Row],[Maximalwert_OS2]]&lt;&gt;""),$AM$2,"")</f>
        <v xml:space="preserve">Maximalwert: </v>
      </c>
      <c r="AN23">
        <v>1</v>
      </c>
      <c r="AO23">
        <v>1</v>
      </c>
      <c r="AP23" s="13"/>
      <c r="AR23" t="str">
        <f>$AR$2&amp;StdDisziplinen[[#This Row],[StdTabMax]]</f>
        <v>_Stufe_Rope</v>
      </c>
      <c r="AS23" t="str">
        <f ca="1">IF(StdDisziplinen[[#This Row],[Maximalwert_OS1]]="","",REPLACE($AS$2,6,2,StdDisziplinen[[#This Row],[Maximalwert_OS1]])&amp;StdDisziplinen[[#This Row],[GemStufe]])</f>
        <v>max. 16 Punkte</v>
      </c>
      <c r="AT23" t="str">
        <f ca="1">IF(StdDisziplinen[[#This Row],[Maximalwert_OS2]]="","",REPLACE($AT$2,6,2,StdDisziplinen[[#This Row],[Maximalwert_OS2]])&amp;StdDisziplinen[[#This Row],[GemStufe]])</f>
        <v>max. 16 Punkte</v>
      </c>
      <c r="AU23" s="13">
        <f ca="1">MATCH(StdDisziplinen[[#This Row],[ID]],Resultatmappe!$A$3:$ACN$3,0)</f>
        <v>431</v>
      </c>
      <c r="AV23" s="13">
        <v>0</v>
      </c>
      <c r="AW23" s="13">
        <v>0</v>
      </c>
      <c r="AX23" s="13">
        <v>0</v>
      </c>
      <c r="AY23" s="13" t="s">
        <v>385</v>
      </c>
      <c r="AZ23" s="13" t="str">
        <f>IF(StdDisziplinen[[#This Row],[Res_Code]]=2,"0"&amp;$AZ$3&amp;"00",IF(StdDisziplinen[[#This Row],[Res_Code]]=1,"0"&amp;$AZ$3&amp;"0","0"))</f>
        <v>0</v>
      </c>
      <c r="BA23" s="13" t="str">
        <f>IF(StdDisziplinen[[#This Row],[Res_Code]]=2,"0"&amp;$AZ$3&amp;"00",IF(StdDisziplinen[[#This Row],[Res_Code]]=1,"0"&amp;$AZ$3&amp;"0","0"))</f>
        <v>0</v>
      </c>
      <c r="BB23" s="13"/>
      <c r="BC23" s="3" t="str">
        <f>IFERROR(REPLACE(StdDisziplinen[[#This Row],[StdTabResRes]],LEN(StdDisziplinen[[#This Row],[StdTabResRes]])-9,8,StdDisziplinen[[#Headers],[BedRes]]),"")</f>
        <v>RopeSkippingResultat[@[BedRes]]</v>
      </c>
      <c r="BD23" s="3" t="str">
        <f>StdDisziplinen[[#This Row],[StdTabResultat]]&amp;"["&amp;$BD$2&amp;"]"</f>
        <v>RopeSkippingResultat[Eingabe]</v>
      </c>
      <c r="BE23" s="13">
        <f ca="1">COUNTA(INDIRECT(StdDisziplinen[[#This Row],[StdTabEingabe]]))</f>
        <v>0</v>
      </c>
      <c r="BF23" s="3" t="str">
        <f>StdDisziplinen[[#This Row],[StdTabResultat]]&amp;"["&amp;$BF$2&amp;"]"</f>
        <v>RopeSkippingResultat[#Kopfzeilen]</v>
      </c>
      <c r="BG23" s="3" t="str">
        <f>StdDisziplinen[[#This Row],[StdTabResultat]]&amp;"["&amp;$W$2&amp;"]"</f>
        <v>RopeSkippingResultat[Eingabe]</v>
      </c>
      <c r="BH23" s="3" cm="1">
        <f t="array" aca="1" ref="BH23" ca="1">ROW(INDIRECT(StdDisziplinen[[#This Row],[Bereich_Ein_Z]]))+$BH$2</f>
        <v>28</v>
      </c>
      <c r="BI23" s="3">
        <f ca="1">StdDisziplinen[[#This Row],[Bereich_Ein_ZStart]]+$BI$2</f>
        <v>57</v>
      </c>
      <c r="BJ23" s="3" t="str" cm="1">
        <f t="array" aca="1" ref="BJ23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$PO$28:$PO$57</v>
      </c>
      <c r="BK23" s="3" t="str" cm="1">
        <f t="array" aca="1" ref="BK23" ca="1">IFERROR(ADDRESS(ROW(INDIRECT(StdDisziplinen[[#This Row],[StufeMax]])),COLUMN(INDIRECT(StdDisziplinen[[#This Row],[StufeMax]])),1,1,),"")</f>
        <v>$PO$25</v>
      </c>
      <c r="BM23" t="s">
        <v>441</v>
      </c>
      <c r="BU23" t="str">
        <f>$BU$22&amp;", "&amp;$BU$21</f>
        <v>Meter, Zentimeter</v>
      </c>
      <c r="BV23" t="s">
        <v>42</v>
      </c>
      <c r="BX23" t="s">
        <v>127</v>
      </c>
      <c r="BZ23" t="s">
        <v>423</v>
      </c>
      <c r="CA23" t="str">
        <f>"Maximal"&amp;$BZ$23</f>
        <v>Maximalwert</v>
      </c>
      <c r="CB23" t="str">
        <f>LEFT($CA$23,3)&amp;"."</f>
        <v>Max.</v>
      </c>
      <c r="CC23" t="str">
        <f>"Minimal"&amp;$BZ$23</f>
        <v>Minimalwert</v>
      </c>
    </row>
    <row r="24" spans="1:81">
      <c r="A24" t="str">
        <f ca="1">Schuljahre[[#Headers],[Schuljahr]]&amp;" "&amp;YEAR(TODAY())+(Schuljahre[[#This Row],[Zähler]])&amp;"/"&amp;YEAR(TODAY())+Schuljahre[[#This Row],[Zähler]]+1</f>
        <v>Schuljahr 2030/2031</v>
      </c>
      <c r="B24">
        <v>4</v>
      </c>
      <c r="D24" s="3" cm="1">
        <f t="array" ref="D24">ROW()-ROW(Schulgemeinden[#Headers])</f>
        <v>6</v>
      </c>
      <c r="E24" t="s">
        <v>261</v>
      </c>
      <c r="F24" t="s">
        <v>213</v>
      </c>
      <c r="G24" s="13">
        <f ca="1">INDEX(INDIRECT($G$15),MATCH(Schulgemeinden[[#This Row],[Kanton]],INDIRECT($F$15),0))</f>
        <v>1</v>
      </c>
      <c r="I24" t="s">
        <v>226</v>
      </c>
      <c r="J24" t="s">
        <v>360</v>
      </c>
      <c r="L24" s="3" cm="1">
        <f t="array" ref="L24">ROW()-ROW(StdDisziplinen[#Headers])</f>
        <v>19</v>
      </c>
      <c r="M24" s="3" t="s">
        <v>297</v>
      </c>
      <c r="R24" t="s">
        <v>10</v>
      </c>
      <c r="S24" t="str">
        <f>StdDisziplinen[[#This Row],[StdDisziplin]]</f>
        <v>Aerobic</v>
      </c>
      <c r="T24" t="str">
        <f t="shared" si="0"/>
        <v>Aero</v>
      </c>
      <c r="U24" s="13">
        <f>LEN(StdDisziplinen[[#This Row],[StdTabÜberschrift]])+$U$3</f>
        <v>9</v>
      </c>
      <c r="V24" t="str">
        <f>StdDisziplinen[[#This Row],[StdTabÜberschrift]]&amp;$V$2</f>
        <v>AerobicResultat</v>
      </c>
      <c r="W24" t="str">
        <f>StdDisziplinen[[#This Row],[StdTabResultat]]&amp;$W$3</f>
        <v>AerobicResultat[@[Eingabe]]</v>
      </c>
      <c r="X24" t="str">
        <f>StdDisziplinen[[#This Row],[StdTabResultat]]&amp;$X$3</f>
        <v>AerobicResultat[@[Resultat]]</v>
      </c>
      <c r="Y24" t="str">
        <f>StdDisziplinen[[#This Row],[StdTabÜberschrift]]&amp;$Y$2</f>
        <v>AerobicGerundet</v>
      </c>
      <c r="Z24" t="str">
        <f>StdDisziplinen[[#This Row],[StdTabGerundet]]&amp;$Z$3</f>
        <v>AerobicGerundet[@[Rundung]]</v>
      </c>
      <c r="AA24" t="str">
        <f>StdDisziplinen[[#This Row],[StdTabÜberschrift]]&amp;$AA$3&amp;$AA$2</f>
        <v>Aerobic_X[Resultat]</v>
      </c>
      <c r="AB24" s="3" t="str">
        <f>StdDisziplinen[[#This Row],[StdTabÜberschrift]]&amp;$AB$2&amp;$AB$3</f>
        <v>AerobicSkalawert[@[Skala-Wert]]</v>
      </c>
      <c r="AC24" t="str">
        <f>StdDisziplinen[[#This Row],[StdTabÜberschrift]]&amp;$AC$3&amp;"["&amp;StdDisziplinen[[#This Row],[Ergebnis]]&amp;"]"</f>
        <v>Aerobic_X[Note]</v>
      </c>
      <c r="AD24" t="str">
        <f>StdDisziplinen[[#This Row],[StdTabÜberschrift]]&amp;StdDisziplinen[[#This Row],[Ergebnis]]&amp;"[@["&amp;StdDisziplinen[[#This Row],[Ergebnis]]&amp;"]]"</f>
        <v>AerobicNote[@[Note]]</v>
      </c>
      <c r="AE24" t="str">
        <f>StdDisziplinen[[#This Row],[StdTabResultat]]&amp;$AE$2</f>
        <v>AerobicResultat[Resultat]</v>
      </c>
      <c r="AF24" t="s">
        <v>417</v>
      </c>
      <c r="AG24" t="s">
        <v>8</v>
      </c>
      <c r="AH24" s="41" t="str">
        <f>StdDisziplinen[[#This Row],[Resultatanzeige]]</f>
        <v>Punkte</v>
      </c>
      <c r="AI24" t="str">
        <f>IFERROR(INDEX(StdBewertungen[Anzeigetext],MATCH(StdDisziplinen[[#This Row],[Bewertung]],StdBewertungen[StdBewertung],0)),"")</f>
        <v>Punkte</v>
      </c>
      <c r="AJ24" t="s">
        <v>7</v>
      </c>
      <c r="AK24" s="37">
        <f ca="1">MAX(INDIRECT(CONCATENATE(StdDisziplinen[[#This Row],[StdTabÜberschrift]],"_M1")))</f>
        <v>12</v>
      </c>
      <c r="AL24" s="37">
        <f ca="1">MAX(INDIRECT(CONCATENATE(StdDisziplinen[[#This Row],[StdTabÜberschrift]],"_M2")))</f>
        <v>12</v>
      </c>
      <c r="AM24" s="37" t="str">
        <f ca="1">IF(OR(StdDisziplinen[[#This Row],[Maximalwert_OS1]]&lt;&gt;"",StdDisziplinen[[#This Row],[Maximalwert_OS2]]&lt;&gt;""),$AM$2,"")</f>
        <v xml:space="preserve">Maximalwert: </v>
      </c>
      <c r="AN24">
        <v>-1</v>
      </c>
      <c r="AO24">
        <v>0.5</v>
      </c>
      <c r="AP24" s="13">
        <v>1</v>
      </c>
      <c r="AR24" t="str">
        <f>$AR$2&amp;StdDisziplinen[[#This Row],[StdTabMax]]</f>
        <v>_Stufe_Aero</v>
      </c>
      <c r="AS24" t="str">
        <f ca="1">IF(StdDisziplinen[[#This Row],[Maximalwert_OS1]]="","",REPLACE($AS$2,6,2,StdDisziplinen[[#This Row],[Maximalwert_OS1]])&amp;StdDisziplinen[[#This Row],[GemStufe]])</f>
        <v>max. 12 Punkte</v>
      </c>
      <c r="AT24" t="str">
        <f ca="1">IF(StdDisziplinen[[#This Row],[Maximalwert_OS2]]="","",REPLACE($AT$2,6,2,StdDisziplinen[[#This Row],[Maximalwert_OS2]])&amp;StdDisziplinen[[#This Row],[GemStufe]])</f>
        <v>max. 12 Punkte</v>
      </c>
      <c r="AU24" s="13">
        <f ca="1">MATCH(StdDisziplinen[[#This Row],[ID]],Resultatmappe!$A$3:$ACN$3,0)</f>
        <v>444</v>
      </c>
      <c r="AV24" s="13">
        <v>1</v>
      </c>
      <c r="AW24" s="13">
        <v>1</v>
      </c>
      <c r="AX24" s="13">
        <v>1</v>
      </c>
      <c r="AY24" s="13" t="s">
        <v>385</v>
      </c>
      <c r="AZ24" s="13" t="str">
        <f ca="1">IF(StdDisziplinen[[#This Row],[Res_Code]]=2,"0"&amp;$AZ$3&amp;"00",IF(StdDisziplinen[[#This Row],[Res_Code]]=1,"0"&amp;$AZ$3&amp;"0","0"))</f>
        <v>0,0</v>
      </c>
      <c r="BA24" s="13" t="str">
        <f ca="1">IF(StdDisziplinen[[#This Row],[Res_Code]]=2,"0"&amp;$AZ$3&amp;"00",IF(StdDisziplinen[[#This Row],[Res_Code]]=1,"0"&amp;$AZ$3&amp;"0","0"))</f>
        <v>0,0</v>
      </c>
      <c r="BB24" s="13"/>
      <c r="BC24" s="3" t="str">
        <f>IFERROR(REPLACE(StdDisziplinen[[#This Row],[StdTabResRes]],LEN(StdDisziplinen[[#This Row],[StdTabResRes]])-9,8,StdDisziplinen[[#Headers],[BedRes]]),"")</f>
        <v>AerobicResultat[@[BedRes]]</v>
      </c>
      <c r="BD24" s="3" t="str">
        <f>StdDisziplinen[[#This Row],[StdTabResultat]]&amp;"["&amp;$BD$2&amp;"]"</f>
        <v>AerobicResultat[Eingabe]</v>
      </c>
      <c r="BE24" s="13">
        <f ca="1">COUNTA(INDIRECT(StdDisziplinen[[#This Row],[StdTabEingabe]]))</f>
        <v>0</v>
      </c>
      <c r="BF24" s="3" t="str">
        <f>StdDisziplinen[[#This Row],[StdTabResultat]]&amp;"["&amp;$BF$2&amp;"]"</f>
        <v>AerobicResultat[#Kopfzeilen]</v>
      </c>
      <c r="BG24" s="3" t="str">
        <f>StdDisziplinen[[#This Row],[StdTabResultat]]&amp;"["&amp;$W$2&amp;"]"</f>
        <v>AerobicResultat[Eingabe]</v>
      </c>
      <c r="BH24" s="3" cm="1">
        <f t="array" aca="1" ref="BH24" ca="1">ROW(INDIRECT(StdDisziplinen[[#This Row],[Bereich_Ein_Z]]))+$BH$2</f>
        <v>28</v>
      </c>
      <c r="BI24" s="3">
        <f ca="1">StdDisziplinen[[#This Row],[Bereich_Ein_ZStart]]+$BI$2</f>
        <v>57</v>
      </c>
      <c r="BJ24" s="3" t="str" cm="1">
        <f t="array" aca="1" ref="BJ24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$QB$28:$QB$57</v>
      </c>
      <c r="BK24" s="3" t="str" cm="1">
        <f t="array" aca="1" ref="BK24" ca="1">IFERROR(ADDRESS(ROW(INDIRECT(StdDisziplinen[[#This Row],[StufeMax]])),COLUMN(INDIRECT(StdDisziplinen[[#This Row],[StufeMax]])),1,1,),"")</f>
        <v>$QB$25</v>
      </c>
      <c r="BM24" t="str" cm="1">
        <f t="array" ref="BM24:BS24">$BM$23&amp;"["&amp;StdSpezBer[#Headers]&amp;"]"</f>
        <v>StdSpezBer[SpezBer_Name]</v>
      </c>
      <c r="BN24" t="str">
        <v>StdSpezBer[SpezBer_Start]</v>
      </c>
      <c r="BO24" t="str">
        <v>StdSpezBer[SpezBer_Ende]</v>
      </c>
      <c r="BP24" t="str">
        <v>StdSpezBer[SpezBer_ZlKorr]</v>
      </c>
      <c r="BQ24" t="str">
        <v>StdSpezBer[SpezBer_SpKorr]</v>
      </c>
      <c r="BR24" t="str">
        <v>StdSpezBer[SpezBer_Adr]</v>
      </c>
      <c r="BS24" t="str">
        <v>StdSpezBer[SpezBer_offen2]</v>
      </c>
      <c r="BU24" t="str">
        <f>$BZ$25&amp;LOWER($BZ$34)</f>
        <v>Punktzahl</v>
      </c>
      <c r="BV24" t="s">
        <v>33</v>
      </c>
      <c r="BX24" t="str">
        <f>$BX$23&amp;"["&amp;StdResultatform[[#Headers],[StdResultatform]]&amp;"]"</f>
        <v>StdResultatform[StdResultatform]</v>
      </c>
      <c r="BZ24" t="str">
        <f>$BZ$23&amp;"ung"</f>
        <v>wertung</v>
      </c>
      <c r="CA24" t="str">
        <f>"Be"&amp;$BZ$24</f>
        <v>Bewertung</v>
      </c>
      <c r="CB24" t="str">
        <f>"Aus"&amp;$BZ$24</f>
        <v>Auswertung</v>
      </c>
    </row>
    <row r="25" spans="1:81">
      <c r="A25" t="str">
        <f ca="1">Schuljahre[[#Headers],[Schuljahr]]&amp;" "&amp;YEAR(TODAY())+(Schuljahre[[#This Row],[Zähler]])&amp;"/"&amp;YEAR(TODAY())+Schuljahre[[#This Row],[Zähler]]+1</f>
        <v>Schuljahr 2031/2032</v>
      </c>
      <c r="B25">
        <v>5</v>
      </c>
      <c r="D25" s="3" cm="1">
        <f t="array" ref="D25">ROW()-ROW(Schulgemeinden[#Headers])</f>
        <v>7</v>
      </c>
      <c r="E25" t="s">
        <v>262</v>
      </c>
      <c r="F25" t="s">
        <v>213</v>
      </c>
      <c r="G25" s="13">
        <f ca="1">INDEX(INDIRECT($G$15),MATCH(Schulgemeinden[[#This Row],[Kanton]],INDIRECT($F$15),0))</f>
        <v>1</v>
      </c>
      <c r="I25" t="s">
        <v>219</v>
      </c>
      <c r="J25" t="s">
        <v>293</v>
      </c>
      <c r="L25" s="3" cm="1">
        <f t="array" ref="L25">ROW()-ROW(StdDisziplinen[#Headers])</f>
        <v>20</v>
      </c>
      <c r="M25" s="3" t="s">
        <v>298</v>
      </c>
      <c r="R25" t="s">
        <v>12</v>
      </c>
      <c r="S25" t="str">
        <f>StdDisziplinen[[#This Row],[StdDisziplin]]</f>
        <v>Basketball</v>
      </c>
      <c r="T25" t="str">
        <f t="shared" si="0"/>
        <v>Bask</v>
      </c>
      <c r="U25" s="13">
        <f>LEN(StdDisziplinen[[#This Row],[StdTabÜberschrift]])+$U$3</f>
        <v>12</v>
      </c>
      <c r="V25" t="str">
        <f>StdDisziplinen[[#This Row],[StdTabÜberschrift]]&amp;$V$2</f>
        <v>BasketballResultat</v>
      </c>
      <c r="W25" t="str">
        <f>StdDisziplinen[[#This Row],[StdTabResultat]]&amp;$W$3</f>
        <v>BasketballResultat[@[Eingabe]]</v>
      </c>
      <c r="X25" t="str">
        <f>StdDisziplinen[[#This Row],[StdTabResultat]]&amp;$X$3</f>
        <v>BasketballResultat[@[Resultat]]</v>
      </c>
      <c r="Y25" t="str">
        <f>StdDisziplinen[[#This Row],[StdTabÜberschrift]]&amp;$Y$2</f>
        <v>BasketballGerundet</v>
      </c>
      <c r="Z25" t="str">
        <f>StdDisziplinen[[#This Row],[StdTabGerundet]]&amp;$Z$3</f>
        <v>BasketballGerundet[@[Rundung]]</v>
      </c>
      <c r="AA25" t="str">
        <f>StdDisziplinen[[#This Row],[StdTabÜberschrift]]&amp;$AA$3&amp;$AA$2</f>
        <v>Basketball_X[Resultat]</v>
      </c>
      <c r="AB25" s="3" t="str">
        <f>StdDisziplinen[[#This Row],[StdTabÜberschrift]]&amp;$AB$2&amp;$AB$3</f>
        <v>BasketballSkalawert[@[Skala-Wert]]</v>
      </c>
      <c r="AC25" t="str">
        <f>StdDisziplinen[[#This Row],[StdTabÜberschrift]]&amp;$AC$3&amp;"["&amp;StdDisziplinen[[#This Row],[Ergebnis]]&amp;"]"</f>
        <v>Basketball_X[Note]</v>
      </c>
      <c r="AD25" t="str">
        <f>StdDisziplinen[[#This Row],[StdTabÜberschrift]]&amp;StdDisziplinen[[#This Row],[Ergebnis]]&amp;"[@["&amp;StdDisziplinen[[#This Row],[Ergebnis]]&amp;"]]"</f>
        <v>BasketballNote[@[Note]]</v>
      </c>
      <c r="AE25" t="str">
        <f>StdDisziplinen[[#This Row],[StdTabResultat]]&amp;$AE$2</f>
        <v>BasketballResultat[Resultat]</v>
      </c>
      <c r="AF25" t="s">
        <v>130</v>
      </c>
      <c r="AG25" t="s">
        <v>54</v>
      </c>
      <c r="AH25" s="10" t="s">
        <v>32</v>
      </c>
      <c r="AI25" t="str">
        <f>IFERROR(INDEX(StdBewertungen[Anzeigetext],MATCH(StdDisziplinen[[#This Row],[Bewertung]],StdBewertungen[StdBewertung],0)),"")</f>
        <v>Zeit</v>
      </c>
      <c r="AJ25" t="s">
        <v>7</v>
      </c>
      <c r="AM25" t="str">
        <f>IF(OR(StdDisziplinen[[#This Row],[Maximalwert_OS1]]&lt;&gt;"",StdDisziplinen[[#This Row],[Maximalwert_OS2]]&lt;&gt;""),$AM$2,"")</f>
        <v/>
      </c>
      <c r="AN25">
        <v>-1</v>
      </c>
      <c r="AO25">
        <v>0.1</v>
      </c>
      <c r="AP25" s="13"/>
      <c r="AR25" t="str">
        <f>$AR$2&amp;StdDisziplinen[[#This Row],[StdTabMax]]</f>
        <v>_Stufe_Bask</v>
      </c>
      <c r="AS25" t="str">
        <f>IF(StdDisziplinen[[#This Row],[Maximalwert_OS1]]="","",REPLACE($AS$2,6,2,StdDisziplinen[[#This Row],[Maximalwert_OS1]])&amp;StdDisziplinen[[#This Row],[GemStufe]])</f>
        <v/>
      </c>
      <c r="AT25" t="str">
        <f>IF(StdDisziplinen[[#This Row],[Maximalwert_OS2]]="","",REPLACE($AT$2,6,2,StdDisziplinen[[#This Row],[Maximalwert_OS2]])&amp;StdDisziplinen[[#This Row],[GemStufe]])</f>
        <v/>
      </c>
      <c r="AU25" s="13">
        <f ca="1">MATCH(StdDisziplinen[[#This Row],[ID]],Resultatmappe!$A$3:$ACN$3,0)</f>
        <v>482</v>
      </c>
      <c r="AV25" s="13">
        <v>1</v>
      </c>
      <c r="AW25" s="13">
        <v>1</v>
      </c>
      <c r="AX25" s="13">
        <v>1</v>
      </c>
      <c r="AY25" s="13">
        <v>1</v>
      </c>
      <c r="AZ25" s="13" t="str">
        <f ca="1">IF(StdDisziplinen[[#This Row],[Res_Code]]=2,"0"&amp;$AZ$3&amp;"00",IF(StdDisziplinen[[#This Row],[Res_Code]]=1,"0"&amp;$AZ$3&amp;"0","0"))</f>
        <v>0,0</v>
      </c>
      <c r="BA25" s="13" t="str">
        <f ca="1">IF(StdDisziplinen[[#This Row],[Res_Code]]=2,"0"&amp;$AZ$3&amp;"00",IF(StdDisziplinen[[#This Row],[Res_Code]]=1,"0"&amp;$AZ$3&amp;"0","0"))</f>
        <v>0,0</v>
      </c>
      <c r="BB25" s="13"/>
      <c r="BC25" s="3" t="str">
        <f>IFERROR(REPLACE(StdDisziplinen[[#This Row],[StdTabResRes]],LEN(StdDisziplinen[[#This Row],[StdTabResRes]])-9,8,StdDisziplinen[[#Headers],[BedRes]]),"")</f>
        <v>BasketballResultat[@[BedRes]]</v>
      </c>
      <c r="BD25" s="3" t="str">
        <f>StdDisziplinen[[#This Row],[StdTabResultat]]&amp;"["&amp;$BD$2&amp;"]"</f>
        <v>BasketballResultat[Eingabe]</v>
      </c>
      <c r="BE25" s="13">
        <f ca="1">COUNTA(INDIRECT(StdDisziplinen[[#This Row],[StdTabEingabe]]))</f>
        <v>0</v>
      </c>
      <c r="BF25" s="3" t="str">
        <f>StdDisziplinen[[#This Row],[StdTabResultat]]&amp;"["&amp;$BF$2&amp;"]"</f>
        <v>BasketballResultat[#Kopfzeilen]</v>
      </c>
      <c r="BG25" s="3" t="str">
        <f>StdDisziplinen[[#This Row],[StdTabResultat]]&amp;"["&amp;$W$2&amp;"]"</f>
        <v>BasketballResultat[Eingabe]</v>
      </c>
      <c r="BH25" s="3" cm="1">
        <f t="array" aca="1" ref="BH25" ca="1">ROW(INDIRECT(StdDisziplinen[[#This Row],[Bereich_Ein_Z]]))+$BH$2</f>
        <v>28</v>
      </c>
      <c r="BI25" s="3">
        <f ca="1">StdDisziplinen[[#This Row],[Bereich_Ein_ZStart]]+$BI$2</f>
        <v>57</v>
      </c>
      <c r="BJ25" s="3" t="str" cm="1">
        <f t="array" aca="1" ref="BJ25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$RN$28:$RN$57</v>
      </c>
      <c r="BK25" s="3" t="str" cm="1">
        <f t="array" aca="1" ref="BK25" ca="1">IFERROR(ADDRESS(ROW(INDIRECT(StdDisziplinen[[#This Row],[StufeMax]])),COLUMN(INDIRECT(StdDisziplinen[[#This Row],[StufeMax]])),1,1,),"")</f>
        <v>$RN$25</v>
      </c>
      <c r="BM25" t="s">
        <v>442</v>
      </c>
      <c r="BN25" t="s">
        <v>443</v>
      </c>
      <c r="BO25" t="s">
        <v>444</v>
      </c>
      <c r="BP25" t="s">
        <v>451</v>
      </c>
      <c r="BQ25" t="s">
        <v>445</v>
      </c>
      <c r="BR25" t="s">
        <v>446</v>
      </c>
      <c r="BS25" t="s">
        <v>450</v>
      </c>
      <c r="BU25" t="str">
        <f>$BZ$33&amp;", "&amp;$BU$18</f>
        <v>Minuten, Sekunden</v>
      </c>
      <c r="BV25" t="s">
        <v>11</v>
      </c>
      <c r="BX25" t="s">
        <v>127</v>
      </c>
      <c r="BZ25" t="str">
        <f>LEFT($BX$20,LEN($BX$20)-1)</f>
        <v>Punkt</v>
      </c>
      <c r="CA25" t="str">
        <f>$BZ$25&amp;$BZ$23&amp;"e"</f>
        <v>Punktwerte</v>
      </c>
      <c r="CB25" t="str">
        <f>$BX$6&amp;"n"&amp;$BZ$23&amp;"e"</f>
        <v>Notenwerte</v>
      </c>
      <c r="CC25" t="str">
        <f>"Null"&amp;$BZ$23&amp;"e"</f>
        <v>Nullwerte</v>
      </c>
    </row>
    <row r="26" spans="1:81">
      <c r="A26" t="str">
        <f>Schuljahre[[#Headers],[Schuljahr]]&amp;" "&amp;Diplom!$J$9</f>
        <v xml:space="preserve">Schuljahr </v>
      </c>
      <c r="D26" s="3" cm="1">
        <f t="array" ref="D26">ROW()-ROW(Schulgemeinden[#Headers])</f>
        <v>8</v>
      </c>
      <c r="E26" t="s">
        <v>239</v>
      </c>
      <c r="F26" t="s">
        <v>213</v>
      </c>
      <c r="G26" s="13">
        <f ca="1">INDEX(INDIRECT($G$15),MATCH(Schulgemeinden[[#This Row],[Kanton]],INDIRECT($F$15),0))</f>
        <v>1</v>
      </c>
      <c r="I26" t="str">
        <f>Diplom_Werte!$Z$9</f>
        <v>Gold</v>
      </c>
      <c r="J26">
        <f>ROW(Diplom_Kantone!B1)</f>
        <v>1</v>
      </c>
      <c r="L26" s="3" cm="1">
        <f t="array" ref="L26">ROW()-ROW(StdDisziplinen[#Headers])</f>
        <v>21</v>
      </c>
      <c r="M26" s="3" t="s">
        <v>298</v>
      </c>
      <c r="R26" t="s">
        <v>13</v>
      </c>
      <c r="S26" t="str">
        <f>StdDisziplinen[[#This Row],[StdDisziplin]]</f>
        <v>Fussball</v>
      </c>
      <c r="T26" t="str">
        <f t="shared" si="0"/>
        <v>Fuss</v>
      </c>
      <c r="U26" s="13">
        <f>LEN(StdDisziplinen[[#This Row],[StdTabÜberschrift]])+$U$3</f>
        <v>10</v>
      </c>
      <c r="V26" t="str">
        <f>StdDisziplinen[[#This Row],[StdTabÜberschrift]]&amp;$V$2</f>
        <v>FussballResultat</v>
      </c>
      <c r="W26" t="str">
        <f>StdDisziplinen[[#This Row],[StdTabResultat]]&amp;$W$3</f>
        <v>FussballResultat[@[Eingabe]]</v>
      </c>
      <c r="X26" t="str">
        <f>StdDisziplinen[[#This Row],[StdTabResultat]]&amp;$X$3</f>
        <v>FussballResultat[@[Resultat]]</v>
      </c>
      <c r="Y26" t="str">
        <f>StdDisziplinen[[#This Row],[StdTabÜberschrift]]&amp;$Y$2</f>
        <v>FussballGerundet</v>
      </c>
      <c r="Z26" t="str">
        <f>StdDisziplinen[[#This Row],[StdTabGerundet]]&amp;$Z$3</f>
        <v>FussballGerundet[@[Rundung]]</v>
      </c>
      <c r="AA26" t="str">
        <f>StdDisziplinen[[#This Row],[StdTabÜberschrift]]&amp;$AA$3&amp;$AA$2</f>
        <v>Fussball_X[Resultat]</v>
      </c>
      <c r="AB26" s="3" t="str">
        <f>StdDisziplinen[[#This Row],[StdTabÜberschrift]]&amp;$AB$2&amp;$AB$3</f>
        <v>FussballSkalawert[@[Skala-Wert]]</v>
      </c>
      <c r="AC26" t="str">
        <f>StdDisziplinen[[#This Row],[StdTabÜberschrift]]&amp;$AC$3&amp;"["&amp;StdDisziplinen[[#This Row],[Ergebnis]]&amp;"]"</f>
        <v>Fussball_X[Note]</v>
      </c>
      <c r="AD26" t="str">
        <f>StdDisziplinen[[#This Row],[StdTabÜberschrift]]&amp;StdDisziplinen[[#This Row],[Ergebnis]]&amp;"[@["&amp;StdDisziplinen[[#This Row],[Ergebnis]]&amp;"]]"</f>
        <v>FussballNote[@[Note]]</v>
      </c>
      <c r="AE26" t="str">
        <f>StdDisziplinen[[#This Row],[StdTabResultat]]&amp;$AE$2</f>
        <v>FussballResultat[Resultat]</v>
      </c>
      <c r="AF26" t="s">
        <v>130</v>
      </c>
      <c r="AG26" t="s">
        <v>54</v>
      </c>
      <c r="AH26" s="10" t="s">
        <v>32</v>
      </c>
      <c r="AI26" t="str">
        <f>IFERROR(INDEX(StdBewertungen[Anzeigetext],MATCH(StdDisziplinen[[#This Row],[Bewertung]],StdBewertungen[StdBewertung],0)),"")</f>
        <v>Zeit</v>
      </c>
      <c r="AJ26" t="s">
        <v>7</v>
      </c>
      <c r="AM26" t="str">
        <f>IF(OR(StdDisziplinen[[#This Row],[Maximalwert_OS1]]&lt;&gt;"",StdDisziplinen[[#This Row],[Maximalwert_OS2]]&lt;&gt;""),$AM$2,"")</f>
        <v/>
      </c>
      <c r="AN26">
        <v>-1</v>
      </c>
      <c r="AO26">
        <v>0.1</v>
      </c>
      <c r="AP26" s="13"/>
      <c r="AR26" t="str">
        <f>$AR$2&amp;StdDisziplinen[[#This Row],[StdTabMax]]</f>
        <v>_Stufe_Fuss</v>
      </c>
      <c r="AS26" t="str">
        <f>IF(StdDisziplinen[[#This Row],[Maximalwert_OS1]]="","",REPLACE($AS$2,6,2,StdDisziplinen[[#This Row],[Maximalwert_OS1]])&amp;StdDisziplinen[[#This Row],[GemStufe]])</f>
        <v/>
      </c>
      <c r="AT26" t="str">
        <f>IF(StdDisziplinen[[#This Row],[Maximalwert_OS2]]="","",REPLACE($AT$2,6,2,StdDisziplinen[[#This Row],[Maximalwert_OS2]])&amp;StdDisziplinen[[#This Row],[GemStufe]])</f>
        <v/>
      </c>
      <c r="AU26" s="13">
        <f ca="1">MATCH(StdDisziplinen[[#This Row],[ID]],Resultatmappe!$A$3:$ACN$3,0)</f>
        <v>494</v>
      </c>
      <c r="AV26" s="13">
        <v>1</v>
      </c>
      <c r="AW26" s="13">
        <v>1</v>
      </c>
      <c r="AX26" s="13">
        <v>1</v>
      </c>
      <c r="AY26" s="13">
        <v>1</v>
      </c>
      <c r="AZ26" s="13" t="str">
        <f ca="1">IF(StdDisziplinen[[#This Row],[Res_Code]]=2,"0"&amp;$AZ$3&amp;"00",IF(StdDisziplinen[[#This Row],[Res_Code]]=1,"0"&amp;$AZ$3&amp;"0","0"))</f>
        <v>0,0</v>
      </c>
      <c r="BA26" s="13" t="str">
        <f ca="1">IF(StdDisziplinen[[#This Row],[Res_Code]]=2,"0"&amp;$AZ$3&amp;"00",IF(StdDisziplinen[[#This Row],[Res_Code]]=1,"0"&amp;$AZ$3&amp;"0","0"))</f>
        <v>0,0</v>
      </c>
      <c r="BB26" s="13"/>
      <c r="BC26" s="3" t="str">
        <f>IFERROR(REPLACE(StdDisziplinen[[#This Row],[StdTabResRes]],LEN(StdDisziplinen[[#This Row],[StdTabResRes]])-9,8,StdDisziplinen[[#Headers],[BedRes]]),"")</f>
        <v>FussballResultat[@[BedRes]]</v>
      </c>
      <c r="BD26" s="3" t="str">
        <f>StdDisziplinen[[#This Row],[StdTabResultat]]&amp;"["&amp;$BD$2&amp;"]"</f>
        <v>FussballResultat[Eingabe]</v>
      </c>
      <c r="BE26" s="13">
        <f ca="1">COUNTA(INDIRECT(StdDisziplinen[[#This Row],[StdTabEingabe]]))</f>
        <v>0</v>
      </c>
      <c r="BF26" s="3" t="str">
        <f>StdDisziplinen[[#This Row],[StdTabResultat]]&amp;"["&amp;$BF$2&amp;"]"</f>
        <v>FussballResultat[#Kopfzeilen]</v>
      </c>
      <c r="BG26" s="3" t="str">
        <f>StdDisziplinen[[#This Row],[StdTabResultat]]&amp;"["&amp;$W$2&amp;"]"</f>
        <v>FussballResultat[Eingabe]</v>
      </c>
      <c r="BH26" s="3" cm="1">
        <f t="array" aca="1" ref="BH26" ca="1">ROW(INDIRECT(StdDisziplinen[[#This Row],[Bereich_Ein_Z]]))+$BH$2</f>
        <v>28</v>
      </c>
      <c r="BI26" s="3">
        <f ca="1">StdDisziplinen[[#This Row],[Bereich_Ein_ZStart]]+$BI$2</f>
        <v>57</v>
      </c>
      <c r="BJ26" s="3" t="str" cm="1">
        <f t="array" aca="1" ref="BJ26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$RZ$28:$RZ$57</v>
      </c>
      <c r="BK26" s="3" t="str" cm="1">
        <f t="array" aca="1" ref="BK26" ca="1">IFERROR(ADDRESS(ROW(INDIRECT(StdDisziplinen[[#This Row],[StufeMax]])),COLUMN(INDIRECT(StdDisziplinen[[#This Row],[StufeMax]])),1,1,),"")</f>
        <v>$RZ$25</v>
      </c>
      <c r="BM26" t="s">
        <v>354</v>
      </c>
      <c r="BN26" t="str">
        <f ca="1">ADDRESS($BH$6,COLUMN(Resultatmappe!$A$28),1,1,$BJ$2)</f>
        <v>Resultatmappe!$A$28</v>
      </c>
      <c r="BO26" t="str" cm="1">
        <f t="array" aca="1" ref="BO26" ca="1">ADDRESS($BI$6,COLUMN(INDIRECT(StdSpezBer[[#This Row],[SpezBer_Start]])),1,1,)</f>
        <v>$A$57</v>
      </c>
      <c r="BP26" s="13"/>
      <c r="BQ26" s="13"/>
      <c r="BR26" t="str">
        <f ca="1">StdSpezBer[[#This Row],[SpezBer_Start]]&amp;":"&amp;StdSpezBer[[#This Row],[SpezBer_Ende]]</f>
        <v>Resultatmappe!$A$28:$A$57</v>
      </c>
      <c r="BX26" t="str">
        <f>$BU$18&amp;", "&amp;$CA$6&amp;" "&amp;$BZ$31&amp;LOWER($BU$18)</f>
        <v>Sekunden, gerundet auf Hundertstelsekunden</v>
      </c>
      <c r="BZ26" t="s">
        <v>352</v>
      </c>
      <c r="CA26" t="str">
        <f>$BZ26&amp;" 1"</f>
        <v>Spalte 1</v>
      </c>
      <c r="CB26" t="str">
        <f>$BZ26&amp;" 2"</f>
        <v>Spalte 2</v>
      </c>
      <c r="CC26" t="str">
        <f>$BZ26&amp;" 3"</f>
        <v>Spalte 3</v>
      </c>
    </row>
    <row r="27" spans="1:81">
      <c r="D27" s="3" cm="1">
        <f t="array" ref="D27">ROW()-ROW(Schulgemeinden[#Headers])</f>
        <v>9</v>
      </c>
      <c r="E27" t="s">
        <v>263</v>
      </c>
      <c r="F27" t="s">
        <v>213</v>
      </c>
      <c r="G27" s="13">
        <f ca="1">INDEX(INDIRECT($G$15),MATCH(Schulgemeinden[[#This Row],[Kanton]],INDIRECT($F$15),0))</f>
        <v>1</v>
      </c>
      <c r="I27" t="str">
        <f>Diplom_Werte!$Z$8</f>
        <v>Silber</v>
      </c>
      <c r="J27">
        <f>ROW(Diplom_Kantone!B2)</f>
        <v>2</v>
      </c>
      <c r="L27" s="3" cm="1">
        <f t="array" ref="L27">ROW()-ROW(StdDisziplinen[#Headers])</f>
        <v>22</v>
      </c>
      <c r="M27" s="3" t="s">
        <v>298</v>
      </c>
      <c r="R27" t="s">
        <v>14</v>
      </c>
      <c r="S27" t="str">
        <f>StdDisziplinen[[#This Row],[StdDisziplin]]</f>
        <v>Handball</v>
      </c>
      <c r="T27" t="str">
        <f t="shared" si="0"/>
        <v>Hand</v>
      </c>
      <c r="U27" s="13">
        <f>LEN(StdDisziplinen[[#This Row],[StdTabÜberschrift]])+$U$3</f>
        <v>10</v>
      </c>
      <c r="V27" t="str">
        <f>StdDisziplinen[[#This Row],[StdTabÜberschrift]]&amp;$V$2</f>
        <v>HandballResultat</v>
      </c>
      <c r="W27" t="str">
        <f>StdDisziplinen[[#This Row],[StdTabResultat]]&amp;$W$3</f>
        <v>HandballResultat[@[Eingabe]]</v>
      </c>
      <c r="X27" t="str">
        <f>StdDisziplinen[[#This Row],[StdTabResultat]]&amp;$X$3</f>
        <v>HandballResultat[@[Resultat]]</v>
      </c>
      <c r="Y27" t="str">
        <f>StdDisziplinen[[#This Row],[StdTabÜberschrift]]&amp;$Y$2</f>
        <v>HandballGerundet</v>
      </c>
      <c r="Z27" t="str">
        <f>StdDisziplinen[[#This Row],[StdTabGerundet]]&amp;$Z$3</f>
        <v>HandballGerundet[@[Rundung]]</v>
      </c>
      <c r="AA27" t="str">
        <f>StdDisziplinen[[#This Row],[StdTabÜberschrift]]&amp;$AA$3&amp;$AA$2</f>
        <v>Handball_X[Resultat]</v>
      </c>
      <c r="AB27" s="3" t="str">
        <f>StdDisziplinen[[#This Row],[StdTabÜberschrift]]&amp;$AB$2&amp;$AB$3</f>
        <v>HandballSkalawert[@[Skala-Wert]]</v>
      </c>
      <c r="AC27" t="str">
        <f>StdDisziplinen[[#This Row],[StdTabÜberschrift]]&amp;$AC$3&amp;"["&amp;StdDisziplinen[[#This Row],[Ergebnis]]&amp;"]"</f>
        <v>Handball_X[Note]</v>
      </c>
      <c r="AD27" t="str">
        <f>StdDisziplinen[[#This Row],[StdTabÜberschrift]]&amp;StdDisziplinen[[#This Row],[Ergebnis]]&amp;"[@["&amp;StdDisziplinen[[#This Row],[Ergebnis]]&amp;"]]"</f>
        <v>HandballNote[@[Note]]</v>
      </c>
      <c r="AE27" t="str">
        <f>StdDisziplinen[[#This Row],[StdTabResultat]]&amp;$AE$2</f>
        <v>HandballResultat[Resultat]</v>
      </c>
      <c r="AF27" t="s">
        <v>130</v>
      </c>
      <c r="AG27" t="s">
        <v>54</v>
      </c>
      <c r="AH27" s="10" t="s">
        <v>32</v>
      </c>
      <c r="AI27" t="str">
        <f>IFERROR(INDEX(StdBewertungen[Anzeigetext],MATCH(StdDisziplinen[[#This Row],[Bewertung]],StdBewertungen[StdBewertung],0)),"")</f>
        <v>Zeit</v>
      </c>
      <c r="AJ27" t="s">
        <v>7</v>
      </c>
      <c r="AM27" t="str">
        <f>IF(OR(StdDisziplinen[[#This Row],[Maximalwert_OS1]]&lt;&gt;"",StdDisziplinen[[#This Row],[Maximalwert_OS2]]&lt;&gt;""),$AM$2,"")</f>
        <v/>
      </c>
      <c r="AN27">
        <v>-1</v>
      </c>
      <c r="AO27">
        <v>0.1</v>
      </c>
      <c r="AP27" s="13"/>
      <c r="AR27" t="str">
        <f>$AR$2&amp;StdDisziplinen[[#This Row],[StdTabMax]]</f>
        <v>_Stufe_Hand</v>
      </c>
      <c r="AS27" t="str">
        <f>IF(StdDisziplinen[[#This Row],[Maximalwert_OS1]]="","",REPLACE($AS$2,6,2,StdDisziplinen[[#This Row],[Maximalwert_OS1]])&amp;StdDisziplinen[[#This Row],[GemStufe]])</f>
        <v/>
      </c>
      <c r="AT27" t="str">
        <f>IF(StdDisziplinen[[#This Row],[Maximalwert_OS2]]="","",REPLACE($AT$2,6,2,StdDisziplinen[[#This Row],[Maximalwert_OS2]])&amp;StdDisziplinen[[#This Row],[GemStufe]])</f>
        <v/>
      </c>
      <c r="AU27" s="13">
        <f ca="1">MATCH(StdDisziplinen[[#This Row],[ID]],Resultatmappe!$A$3:$ACN$3,0)</f>
        <v>506</v>
      </c>
      <c r="AV27" s="13">
        <v>1</v>
      </c>
      <c r="AW27" s="13">
        <v>1</v>
      </c>
      <c r="AX27" s="13">
        <v>1</v>
      </c>
      <c r="AY27" s="13">
        <v>1</v>
      </c>
      <c r="AZ27" s="13" t="str">
        <f ca="1">IF(StdDisziplinen[[#This Row],[Res_Code]]=2,"0"&amp;$AZ$3&amp;"00",IF(StdDisziplinen[[#This Row],[Res_Code]]=1,"0"&amp;$AZ$3&amp;"0","0"))</f>
        <v>0,0</v>
      </c>
      <c r="BA27" s="13" t="str">
        <f ca="1">IF(StdDisziplinen[[#This Row],[Res_Code]]=2,"0"&amp;$AZ$3&amp;"00",IF(StdDisziplinen[[#This Row],[Res_Code]]=1,"0"&amp;$AZ$3&amp;"0","0"))</f>
        <v>0,0</v>
      </c>
      <c r="BB27" s="13"/>
      <c r="BC27" s="3" t="str">
        <f>IFERROR(REPLACE(StdDisziplinen[[#This Row],[StdTabResRes]],LEN(StdDisziplinen[[#This Row],[StdTabResRes]])-9,8,StdDisziplinen[[#Headers],[BedRes]]),"")</f>
        <v>HandballResultat[@[BedRes]]</v>
      </c>
      <c r="BD27" s="3" t="str">
        <f>StdDisziplinen[[#This Row],[StdTabResultat]]&amp;"["&amp;$BD$2&amp;"]"</f>
        <v>HandballResultat[Eingabe]</v>
      </c>
      <c r="BE27" s="13">
        <f ca="1">COUNTA(INDIRECT(StdDisziplinen[[#This Row],[StdTabEingabe]]))</f>
        <v>0</v>
      </c>
      <c r="BF27" s="3" t="str">
        <f>StdDisziplinen[[#This Row],[StdTabResultat]]&amp;"["&amp;$BF$2&amp;"]"</f>
        <v>HandballResultat[#Kopfzeilen]</v>
      </c>
      <c r="BG27" s="3" t="str">
        <f>StdDisziplinen[[#This Row],[StdTabResultat]]&amp;"["&amp;$W$2&amp;"]"</f>
        <v>HandballResultat[Eingabe]</v>
      </c>
      <c r="BH27" s="3" cm="1">
        <f t="array" aca="1" ref="BH27" ca="1">ROW(INDIRECT(StdDisziplinen[[#This Row],[Bereich_Ein_Z]]))+$BH$2</f>
        <v>28</v>
      </c>
      <c r="BI27" s="3">
        <f ca="1">StdDisziplinen[[#This Row],[Bereich_Ein_ZStart]]+$BI$2</f>
        <v>57</v>
      </c>
      <c r="BJ27" s="3" t="str" cm="1">
        <f t="array" aca="1" ref="BJ27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$SL$28:$SL$57</v>
      </c>
      <c r="BK27" s="3" t="str" cm="1">
        <f t="array" aca="1" ref="BK27" ca="1">IFERROR(ADDRESS(ROW(INDIRECT(StdDisziplinen[[#This Row],[StufeMax]])),COLUMN(INDIRECT(StdDisziplinen[[#This Row],[StufeMax]])),1,1,),"")</f>
        <v>$SL$25</v>
      </c>
      <c r="BM27" t="s">
        <v>454</v>
      </c>
      <c r="BN27" s="73" t="str">
        <f>ADDRESS(ROW(Resultatmappe!$C$17),COLUMN(Resultatmappe!$C$17),1,1,)</f>
        <v>$C$17</v>
      </c>
      <c r="BO27" t="str">
        <f>ADDRESS(ROW(Resultatmappe!$C$21),COLUMN(Resultatmappe!$C$21),1,1,)</f>
        <v>$C$21</v>
      </c>
      <c r="BP27" s="13"/>
      <c r="BQ27" s="13"/>
      <c r="BR27" t="str">
        <f>StdSpezBer[[#This Row],[SpezBer_Start]]&amp;":"&amp;StdSpezBer[[#This Row],[SpezBer_Ende]]</f>
        <v>$C$17:$C$21</v>
      </c>
      <c r="BS27" s="13">
        <v>1</v>
      </c>
      <c r="BX27" t="str">
        <f>$BU$18&amp;", "&amp;$CA$6&amp;" "&amp;$BZ$30&amp;LOWER($BU$18)</f>
        <v>Sekunden, gerundet auf Zehntelsekunden</v>
      </c>
      <c r="BZ27" t="s">
        <v>377</v>
      </c>
      <c r="CA27" t="str">
        <f>$BZ$27&amp;LOWER($BZ$25)&amp;"e"</f>
        <v>Gesamtpunkte</v>
      </c>
      <c r="CB27" t="str">
        <f>$BZ$27&amp;LOWER($CB$24)</f>
        <v>Gesamtauswertung</v>
      </c>
      <c r="CC27" t="str">
        <f>$BZ$27&amp;LOWER($BX$6)</f>
        <v>Gesamtnote</v>
      </c>
    </row>
    <row r="28" spans="1:81">
      <c r="D28" s="3" cm="1">
        <f t="array" ref="D28">ROW()-ROW(Schulgemeinden[#Headers])</f>
        <v>10</v>
      </c>
      <c r="E28" t="s">
        <v>264</v>
      </c>
      <c r="F28" t="s">
        <v>213</v>
      </c>
      <c r="G28" s="13">
        <f ca="1">INDEX(INDIRECT($G$15),MATCH(Schulgemeinden[[#This Row],[Kanton]],INDIRECT($F$15),0))</f>
        <v>1</v>
      </c>
      <c r="I28" t="str">
        <f>Diplom_Werte!$Z$7</f>
        <v>Bronze</v>
      </c>
      <c r="J28">
        <f>ROW(Diplom_Kantone!B3)</f>
        <v>3</v>
      </c>
      <c r="L28" s="3" cm="1">
        <f t="array" ref="L28">ROW()-ROW(StdDisziplinen[#Headers])</f>
        <v>23</v>
      </c>
      <c r="M28" s="3" t="s">
        <v>298</v>
      </c>
      <c r="R28" t="s">
        <v>15</v>
      </c>
      <c r="S28" t="str">
        <f>StdDisziplinen[[#This Row],[StdDisziplin]]</f>
        <v>Unihockey</v>
      </c>
      <c r="T28" t="str">
        <f t="shared" si="0"/>
        <v>Unih</v>
      </c>
      <c r="U28" s="13">
        <f>LEN(StdDisziplinen[[#This Row],[StdTabÜberschrift]])+$U$3</f>
        <v>11</v>
      </c>
      <c r="V28" t="str">
        <f>StdDisziplinen[[#This Row],[StdTabÜberschrift]]&amp;$V$2</f>
        <v>UnihockeyResultat</v>
      </c>
      <c r="W28" t="str">
        <f>StdDisziplinen[[#This Row],[StdTabResultat]]&amp;$W$3</f>
        <v>UnihockeyResultat[@[Eingabe]]</v>
      </c>
      <c r="X28" t="str">
        <f>StdDisziplinen[[#This Row],[StdTabResultat]]&amp;$X$3</f>
        <v>UnihockeyResultat[@[Resultat]]</v>
      </c>
      <c r="Y28" t="str">
        <f>StdDisziplinen[[#This Row],[StdTabÜberschrift]]&amp;$Y$2</f>
        <v>UnihockeyGerundet</v>
      </c>
      <c r="Z28" t="str">
        <f>StdDisziplinen[[#This Row],[StdTabGerundet]]&amp;$Z$3</f>
        <v>UnihockeyGerundet[@[Rundung]]</v>
      </c>
      <c r="AA28" t="str">
        <f>StdDisziplinen[[#This Row],[StdTabÜberschrift]]&amp;$AA$3&amp;$AA$2</f>
        <v>Unihockey_X[Resultat]</v>
      </c>
      <c r="AB28" s="3" t="str">
        <f>StdDisziplinen[[#This Row],[StdTabÜberschrift]]&amp;$AB$2&amp;$AB$3</f>
        <v>UnihockeySkalawert[@[Skala-Wert]]</v>
      </c>
      <c r="AC28" t="str">
        <f>StdDisziplinen[[#This Row],[StdTabÜberschrift]]&amp;$AC$3&amp;"["&amp;StdDisziplinen[[#This Row],[Ergebnis]]&amp;"]"</f>
        <v>Unihockey_X[Note]</v>
      </c>
      <c r="AD28" t="str">
        <f>StdDisziplinen[[#This Row],[StdTabÜberschrift]]&amp;StdDisziplinen[[#This Row],[Ergebnis]]&amp;"[@["&amp;StdDisziplinen[[#This Row],[Ergebnis]]&amp;"]]"</f>
        <v>UnihockeyNote[@[Note]]</v>
      </c>
      <c r="AE28" t="str">
        <f>StdDisziplinen[[#This Row],[StdTabResultat]]&amp;$AE$2</f>
        <v>UnihockeyResultat[Resultat]</v>
      </c>
      <c r="AF28" t="s">
        <v>130</v>
      </c>
      <c r="AG28" t="s">
        <v>54</v>
      </c>
      <c r="AH28" s="10" t="s">
        <v>32</v>
      </c>
      <c r="AI28" t="str">
        <f>IFERROR(INDEX(StdBewertungen[Anzeigetext],MATCH(StdDisziplinen[[#This Row],[Bewertung]],StdBewertungen[StdBewertung],0)),"")</f>
        <v>Zeit</v>
      </c>
      <c r="AJ28" t="s">
        <v>7</v>
      </c>
      <c r="AM28" t="str">
        <f>IF(OR(StdDisziplinen[[#This Row],[Maximalwert_OS1]]&lt;&gt;"",StdDisziplinen[[#This Row],[Maximalwert_OS2]]&lt;&gt;""),$AM$2,"")</f>
        <v/>
      </c>
      <c r="AN28">
        <v>-1</v>
      </c>
      <c r="AO28">
        <v>0.1</v>
      </c>
      <c r="AP28" s="13"/>
      <c r="AR28" t="str">
        <f>$AR$2&amp;StdDisziplinen[[#This Row],[StdTabMax]]</f>
        <v>_Stufe_Unih</v>
      </c>
      <c r="AS28" t="str">
        <f>IF(StdDisziplinen[[#This Row],[Maximalwert_OS1]]="","",REPLACE($AS$2,6,2,StdDisziplinen[[#This Row],[Maximalwert_OS1]])&amp;StdDisziplinen[[#This Row],[GemStufe]])</f>
        <v/>
      </c>
      <c r="AT28" t="str">
        <f>IF(StdDisziplinen[[#This Row],[Maximalwert_OS2]]="","",REPLACE($AT$2,6,2,StdDisziplinen[[#This Row],[Maximalwert_OS2]])&amp;StdDisziplinen[[#This Row],[GemStufe]])</f>
        <v/>
      </c>
      <c r="AU28" s="13">
        <f ca="1">MATCH(StdDisziplinen[[#This Row],[ID]],Resultatmappe!$A$3:$ACN$3,0)</f>
        <v>518</v>
      </c>
      <c r="AV28" s="13">
        <v>1</v>
      </c>
      <c r="AW28" s="13">
        <v>1</v>
      </c>
      <c r="AX28" s="13">
        <v>1</v>
      </c>
      <c r="AY28" s="13">
        <v>1</v>
      </c>
      <c r="AZ28" s="13" t="str">
        <f ca="1">IF(StdDisziplinen[[#This Row],[Res_Code]]=2,"0"&amp;$AZ$3&amp;"00",IF(StdDisziplinen[[#This Row],[Res_Code]]=1,"0"&amp;$AZ$3&amp;"0","0"))</f>
        <v>0,0</v>
      </c>
      <c r="BA28" s="13" t="str">
        <f ca="1">IF(StdDisziplinen[[#This Row],[Res_Code]]=2,"0"&amp;$AZ$3&amp;"00",IF(StdDisziplinen[[#This Row],[Res_Code]]=1,"0"&amp;$AZ$3&amp;"0","0"))</f>
        <v>0,0</v>
      </c>
      <c r="BB28" s="13"/>
      <c r="BC28" s="3" t="str">
        <f>IFERROR(REPLACE(StdDisziplinen[[#This Row],[StdTabResRes]],LEN(StdDisziplinen[[#This Row],[StdTabResRes]])-9,8,StdDisziplinen[[#Headers],[BedRes]]),"")</f>
        <v>UnihockeyResultat[@[BedRes]]</v>
      </c>
      <c r="BD28" s="3" t="str">
        <f>StdDisziplinen[[#This Row],[StdTabResultat]]&amp;"["&amp;$BD$2&amp;"]"</f>
        <v>UnihockeyResultat[Eingabe]</v>
      </c>
      <c r="BE28" s="13">
        <f ca="1">COUNTA(INDIRECT(StdDisziplinen[[#This Row],[StdTabEingabe]]))</f>
        <v>0</v>
      </c>
      <c r="BF28" s="3" t="str">
        <f>StdDisziplinen[[#This Row],[StdTabResultat]]&amp;"["&amp;$BF$2&amp;"]"</f>
        <v>UnihockeyResultat[#Kopfzeilen]</v>
      </c>
      <c r="BG28" s="3" t="str">
        <f>StdDisziplinen[[#This Row],[StdTabResultat]]&amp;"["&amp;$W$2&amp;"]"</f>
        <v>UnihockeyResultat[Eingabe]</v>
      </c>
      <c r="BH28" s="3" cm="1">
        <f t="array" aca="1" ref="BH28" ca="1">ROW(INDIRECT(StdDisziplinen[[#This Row],[Bereich_Ein_Z]]))+$BH$2</f>
        <v>28</v>
      </c>
      <c r="BI28" s="3">
        <f ca="1">StdDisziplinen[[#This Row],[Bereich_Ein_ZStart]]+$BI$2</f>
        <v>57</v>
      </c>
      <c r="BJ28" s="3" t="str" cm="1">
        <f t="array" aca="1" ref="BJ28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$SX$28:$SX$57</v>
      </c>
      <c r="BK28" s="3" t="str" cm="1">
        <f t="array" aca="1" ref="BK28" ca="1">IFERROR(ADDRESS(ROW(INDIRECT(StdDisziplinen[[#This Row],[StufeMax]])),COLUMN(INDIRECT(StdDisziplinen[[#This Row],[StufeMax]])),1,1,),"")</f>
        <v>$SX$25</v>
      </c>
      <c r="BM28" t="s">
        <v>455</v>
      </c>
      <c r="BN28" t="str">
        <f>ADDRESS(ROW(Resultatmappe!$E$17),COLUMN(Resultatmappe!$E$17),1,1,)</f>
        <v>$E$17</v>
      </c>
      <c r="BO28" t="str">
        <f>ADDRESS(ROW(Resultatmappe!$E$17),COLUMN(Resultatmappe!$E$17),1,1,)</f>
        <v>$E$17</v>
      </c>
      <c r="BP28" s="13"/>
      <c r="BQ28" s="13"/>
      <c r="BR28" t="str">
        <f>StdSpezBer[[#This Row],[SpezBer_Start]]&amp;":"&amp;StdSpezBer[[#This Row],[SpezBer_Ende]]</f>
        <v>$E$17:$E$17</v>
      </c>
      <c r="BS28" s="13">
        <v>1</v>
      </c>
      <c r="BX28" t="str">
        <f>$BU$18&amp;", "&amp;$CA$6&amp;" "&amp;$CB$34</f>
        <v>Sekunden, gerundet auf ganze Zahl</v>
      </c>
      <c r="BZ28" t="s">
        <v>390</v>
      </c>
      <c r="CA28" t="str">
        <f>"Zusatz"&amp;LOWER($BZ$28)</f>
        <v>Zusatzformat</v>
      </c>
      <c r="CB28" t="str">
        <f>"Bed. "&amp;LEFT($BZ$28,1)&amp;"."</f>
        <v>Bed. F.</v>
      </c>
    </row>
    <row r="29" spans="1:81">
      <c r="D29" s="3" cm="1">
        <f t="array" ref="D29">ROW()-ROW(Schulgemeinden[#Headers])</f>
        <v>11</v>
      </c>
      <c r="E29" t="s">
        <v>265</v>
      </c>
      <c r="F29" t="s">
        <v>214</v>
      </c>
      <c r="G29" s="13">
        <f ca="1">INDEX(INDIRECT($G$15),MATCH(Schulgemeinden[[#This Row],[Kanton]],INDIRECT($F$15),0))</f>
        <v>2</v>
      </c>
      <c r="I29" t="str">
        <f>Diplom_Werte!$Z$6</f>
        <v>Absolviert</v>
      </c>
      <c r="J29">
        <f>ROW(Diplom_Kantone!B4)</f>
        <v>4</v>
      </c>
      <c r="L29" s="3" cm="1">
        <f t="array" ref="L29">ROW()-ROW(StdDisziplinen[#Headers])</f>
        <v>24</v>
      </c>
      <c r="M29" s="3" t="s">
        <v>298</v>
      </c>
      <c r="R29" t="s">
        <v>16</v>
      </c>
      <c r="S29" t="str">
        <f>StdDisziplinen[[#This Row],[StdDisziplin]]</f>
        <v>Volleyball</v>
      </c>
      <c r="T29" t="str">
        <f t="shared" si="0"/>
        <v>Voll</v>
      </c>
      <c r="U29" s="13">
        <f>LEN(StdDisziplinen[[#This Row],[StdTabÜberschrift]])+$U$3</f>
        <v>12</v>
      </c>
      <c r="V29" t="str">
        <f>StdDisziplinen[[#This Row],[StdTabÜberschrift]]&amp;$V$2</f>
        <v>VolleyballResultat</v>
      </c>
      <c r="W29" t="str">
        <f>StdDisziplinen[[#This Row],[StdTabResultat]]&amp;$W$3</f>
        <v>VolleyballResultat[@[Eingabe]]</v>
      </c>
      <c r="X29" t="str">
        <f>StdDisziplinen[[#This Row],[StdTabResultat]]&amp;$X$3</f>
        <v>VolleyballResultat[@[Resultat]]</v>
      </c>
      <c r="Y29" t="str">
        <f>StdDisziplinen[[#This Row],[StdTabÜberschrift]]&amp;$Y$2</f>
        <v>VolleyballGerundet</v>
      </c>
      <c r="Z29" t="str">
        <f>StdDisziplinen[[#This Row],[StdTabGerundet]]&amp;$Z$3</f>
        <v>VolleyballGerundet[@[Rundung]]</v>
      </c>
      <c r="AA29" t="str">
        <f>StdDisziplinen[[#This Row],[StdTabÜberschrift]]&amp;$AA$3&amp;$AA$2</f>
        <v>Volleyball_X[Resultat]</v>
      </c>
      <c r="AB29" s="3" t="str">
        <f>StdDisziplinen[[#This Row],[StdTabÜberschrift]]&amp;$AB$2&amp;$AB$3</f>
        <v>VolleyballSkalawert[@[Skala-Wert]]</v>
      </c>
      <c r="AC29" t="str">
        <f>StdDisziplinen[[#This Row],[StdTabÜberschrift]]&amp;$AC$3&amp;"["&amp;StdDisziplinen[[#This Row],[Ergebnis]]&amp;"]"</f>
        <v>Volleyball_X[Note]</v>
      </c>
      <c r="AD29" t="str">
        <f>StdDisziplinen[[#This Row],[StdTabÜberschrift]]&amp;StdDisziplinen[[#This Row],[Ergebnis]]&amp;"[@["&amp;StdDisziplinen[[#This Row],[Ergebnis]]&amp;"]]"</f>
        <v>VolleyballNote[@[Note]]</v>
      </c>
      <c r="AE29" t="str">
        <f>StdDisziplinen[[#This Row],[StdTabResultat]]&amp;$AE$2</f>
        <v>VolleyballResultat[Resultat]</v>
      </c>
      <c r="AF29" s="11" t="s">
        <v>135</v>
      </c>
      <c r="AG29" t="s">
        <v>8</v>
      </c>
      <c r="AH29" s="41" t="str">
        <f>StdDisziplinen[[#This Row],[Resultatanzeige]]</f>
        <v>Punkte</v>
      </c>
      <c r="AI29" t="str">
        <f>IFERROR(INDEX(StdBewertungen[Anzeigetext],MATCH(StdDisziplinen[[#This Row],[Bewertung]],StdBewertungen[StdBewertung],0)),"")</f>
        <v>Punkte</v>
      </c>
      <c r="AJ29" t="s">
        <v>7</v>
      </c>
      <c r="AK29" s="37">
        <f ca="1">MAX(INDIRECT(CONCATENATE(StdDisziplinen[[#This Row],[StdTabÜberschrift]],"_M1")))</f>
        <v>20</v>
      </c>
      <c r="AL29" s="37">
        <f ca="1">MAX(INDIRECT(CONCATENATE(StdDisziplinen[[#This Row],[StdTabÜberschrift]],"_M2")))</f>
        <v>20</v>
      </c>
      <c r="AM29" s="37" t="str">
        <f ca="1">IF(OR(StdDisziplinen[[#This Row],[Maximalwert_OS1]]&lt;&gt;"",StdDisziplinen[[#This Row],[Maximalwert_OS2]]&lt;&gt;""),$AM$2,"")</f>
        <v xml:space="preserve">Maximalwert: </v>
      </c>
      <c r="AN29">
        <v>1</v>
      </c>
      <c r="AO29">
        <v>1</v>
      </c>
      <c r="AP29" s="13"/>
      <c r="AQ29" t="s">
        <v>400</v>
      </c>
      <c r="AR29" t="str">
        <f>$AR$2&amp;StdDisziplinen[[#This Row],[StdTabMax]]</f>
        <v>_Stufe_Voll</v>
      </c>
      <c r="AS29" t="str">
        <f ca="1">IF(StdDisziplinen[[#This Row],[Maximalwert_OS1]]="","",REPLACE($AS$2,6,2,StdDisziplinen[[#This Row],[Maximalwert_OS1]])&amp;StdDisziplinen[[#This Row],[GemStufe]])</f>
        <v>max. 20 Punkte gem. Stufe</v>
      </c>
      <c r="AT29" t="str">
        <f ca="1">IF(StdDisziplinen[[#This Row],[Maximalwert_OS2]]="","",REPLACE($AT$2,6,2,StdDisziplinen[[#This Row],[Maximalwert_OS2]])&amp;StdDisziplinen[[#This Row],[GemStufe]])</f>
        <v>max. 20 Punkte gem. Stufe</v>
      </c>
      <c r="AU29" s="13">
        <f ca="1">MATCH(StdDisziplinen[[#This Row],[ID]],Resultatmappe!$A$3:$ACN$3,0)</f>
        <v>530</v>
      </c>
      <c r="AV29" s="13">
        <v>0</v>
      </c>
      <c r="AW29" s="13">
        <v>0</v>
      </c>
      <c r="AX29" s="13">
        <v>0</v>
      </c>
      <c r="AY29" s="13">
        <v>1</v>
      </c>
      <c r="AZ29" s="13" t="str">
        <f>IF(StdDisziplinen[[#This Row],[Res_Code]]=2,"0"&amp;$AZ$3&amp;"00",IF(StdDisziplinen[[#This Row],[Res_Code]]=1,"0"&amp;$AZ$3&amp;"0","0"))</f>
        <v>0</v>
      </c>
      <c r="BA29" s="13" t="str">
        <f>IF(StdDisziplinen[[#This Row],[Res_Code]]=2,"0"&amp;$AZ$3&amp;"00",IF(StdDisziplinen[[#This Row],[Res_Code]]=1,"0"&amp;$AZ$3&amp;"0","0"))</f>
        <v>0</v>
      </c>
      <c r="BB29" s="13"/>
      <c r="BC29" s="3" t="str">
        <f>IFERROR(REPLACE(StdDisziplinen[[#This Row],[StdTabResRes]],LEN(StdDisziplinen[[#This Row],[StdTabResRes]])-9,8,StdDisziplinen[[#Headers],[BedRes]]),"")</f>
        <v>VolleyballResultat[@[BedRes]]</v>
      </c>
      <c r="BD29" s="3" t="str">
        <f>StdDisziplinen[[#This Row],[StdTabResultat]]&amp;"["&amp;$BD$2&amp;"]"</f>
        <v>VolleyballResultat[Eingabe]</v>
      </c>
      <c r="BE29" s="13">
        <f ca="1">COUNTA(INDIRECT(StdDisziplinen[[#This Row],[StdTabEingabe]]))</f>
        <v>0</v>
      </c>
      <c r="BF29" s="3" t="str">
        <f>StdDisziplinen[[#This Row],[StdTabResultat]]&amp;"["&amp;$BF$2&amp;"]"</f>
        <v>VolleyballResultat[#Kopfzeilen]</v>
      </c>
      <c r="BG29" s="3" t="str">
        <f>StdDisziplinen[[#This Row],[StdTabResultat]]&amp;"["&amp;$W$2&amp;"]"</f>
        <v>VolleyballResultat[Eingabe]</v>
      </c>
      <c r="BH29" s="3" cm="1">
        <f t="array" aca="1" ref="BH29" ca="1">ROW(INDIRECT(StdDisziplinen[[#This Row],[Bereich_Ein_Z]]))+$BH$2</f>
        <v>28</v>
      </c>
      <c r="BI29" s="3">
        <f ca="1">StdDisziplinen[[#This Row],[Bereich_Ein_ZStart]]+$BI$2</f>
        <v>57</v>
      </c>
      <c r="BJ29" s="3" t="str" cm="1">
        <f t="array" aca="1" ref="BJ29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$TJ$28:$TJ$57</v>
      </c>
      <c r="BK29" s="3" t="str" cm="1">
        <f t="array" aca="1" ref="BK29" ca="1">IFERROR(ADDRESS(ROW(INDIRECT(StdDisziplinen[[#This Row],[StufeMax]])),COLUMN(INDIRECT(StdDisziplinen[[#This Row],[StufeMax]])),1,1,),"")</f>
        <v>$TJ$25</v>
      </c>
      <c r="BM29" t="s">
        <v>366</v>
      </c>
      <c r="BN29" t="str">
        <f ca="1">ADDRESS($BH$6,COLUMN(Resultatmappe!$B$28),1,1,$BJ$2)</f>
        <v>Resultatmappe!$B$28</v>
      </c>
      <c r="BO29" t="str" cm="1">
        <f t="array" aca="1" ref="BO29" ca="1">ADDRESS($BI$6,COLUMN(INDIRECT(StdSpezBer[[#This Row],[SpezBer_Start]]))+StdSpezBer[[#This Row],[SpezBer_SpKorr]],1,1,)</f>
        <v>$C$57</v>
      </c>
      <c r="BP29" s="13"/>
      <c r="BQ29" s="13">
        <v>1</v>
      </c>
      <c r="BR29" t="str">
        <f ca="1">StdSpezBer[[#This Row],[SpezBer_Start]]&amp;":"&amp;StdSpezBer[[#This Row],[SpezBer_Ende]]</f>
        <v>Resultatmappe!$B$28:$C$57</v>
      </c>
      <c r="BS29" s="13">
        <v>1</v>
      </c>
      <c r="BX29" t="str">
        <f>$BU$18&amp;","&amp;$CB$6&amp;$CB$34</f>
        <v>Sekunden, abgerundet auf ganze Zahl</v>
      </c>
      <c r="BZ29" t="s">
        <v>240</v>
      </c>
      <c r="CA29" t="s">
        <v>430</v>
      </c>
      <c r="CB29" t="str">
        <f>$CA$29&amp;$BZ$29</f>
        <v>halbe Runden</v>
      </c>
    </row>
    <row r="30" spans="1:81">
      <c r="D30" s="3" cm="1">
        <f t="array" ref="D30">ROW()-ROW(Schulgemeinden[#Headers])</f>
        <v>12</v>
      </c>
      <c r="E30" t="s">
        <v>266</v>
      </c>
      <c r="F30" t="s">
        <v>214</v>
      </c>
      <c r="G30" s="13">
        <f ca="1">INDEX(INDIRECT($G$15),MATCH(Schulgemeinden[[#This Row],[Kanton]],INDIRECT($F$15),0))</f>
        <v>2</v>
      </c>
      <c r="I30" t="str">
        <f>$BZ$3</f>
        <v>Dispensiert</v>
      </c>
      <c r="J30">
        <f>ROW(Diplom_Kantone!B5)</f>
        <v>5</v>
      </c>
      <c r="L30" s="3" cm="1">
        <f t="array" ref="L30">ROW()-ROW(StdDisziplinen[#Headers])</f>
        <v>25</v>
      </c>
      <c r="M30" s="3" t="s">
        <v>299</v>
      </c>
      <c r="S30" s="41" t="s">
        <v>75</v>
      </c>
      <c r="T30" t="str">
        <f t="shared" si="0"/>
        <v>Glei</v>
      </c>
      <c r="U30" s="13">
        <f>LEN(StdDisziplinen[[#This Row],[StdTabÜberschrift]])+$U$3</f>
        <v>9</v>
      </c>
      <c r="V30" s="41" t="str">
        <f>StdDisziplinen[[#This Row],[StdTabÜberschrift]]&amp;StdDisziplinen[[#This Row],[Ergebnis]]</f>
        <v>GleitenStatus</v>
      </c>
      <c r="W30" t="str">
        <f>StdDisziplinen[[#This Row],[StdTabResultat]]&amp;$W$3</f>
        <v>GleitenStatus[@[Eingabe]]</v>
      </c>
      <c r="X30" t="str">
        <f>StdDisziplinen[[#This Row],[StdTabResultat]]&amp;$X$3</f>
        <v>GleitenStatus[@[Resultat]]</v>
      </c>
      <c r="Y30" t="str">
        <f>StdDisziplinen[[#This Row],[StdTabÜberschrift]]&amp;$Y$2</f>
        <v>GleitenGerundet</v>
      </c>
      <c r="Z30" t="str">
        <f>StdDisziplinen[[#This Row],[StdTabGerundet]]&amp;$Z$3</f>
        <v>GleitenGerundet[@[Rundung]]</v>
      </c>
      <c r="AA30" t="str">
        <f>StdDisziplinen[[#This Row],[StdTabÜberschrift]]&amp;$AA$3&amp;$AA$2</f>
        <v>Gleiten_X[Resultat]</v>
      </c>
      <c r="AB30" s="3" t="str">
        <f>StdDisziplinen[[#This Row],[StdTabÜberschrift]]&amp;$AB$2&amp;$AB$3</f>
        <v>GleitenSkalawert[@[Skala-Wert]]</v>
      </c>
      <c r="AC30" t="str">
        <f>StdDisziplinen[[#This Row],[StdTabÜberschrift]]&amp;$AC$3&amp;"["&amp;StdDisziplinen[[#This Row],[Ergebnis]]&amp;"]"</f>
        <v>Gleiten_X[Status]</v>
      </c>
      <c r="AD30" s="11" t="str">
        <f>StdDisziplinen[[#This Row],[StdTabÜberschrift]]&amp;StdDisziplinen[[#This Row],[Ergebnis]]&amp;"[@["&amp;StdDisziplinen[[#This Row],[Ergebnis]]&amp;"]]"</f>
        <v>GleitenStatus[@[Status]]</v>
      </c>
      <c r="AE30" t="str">
        <f>StdDisziplinen[[#This Row],[StdTabResultat]]&amp;$AE$2</f>
        <v>GleitenStatus[Resultat]</v>
      </c>
      <c r="AI30" t="str">
        <f>IFERROR(INDEX(StdBewertungen[Anzeigetext],MATCH(StdDisziplinen[[#This Row],[Bewertung]],StdBewertungen[StdBewertung],0)),"")</f>
        <v/>
      </c>
      <c r="AJ30" t="s">
        <v>25</v>
      </c>
      <c r="AM30" t="str">
        <f>IF(OR(StdDisziplinen[[#This Row],[Maximalwert_OS1]]&lt;&gt;"",StdDisziplinen[[#This Row],[Maximalwert_OS2]]&lt;&gt;""),$AM$2,"")</f>
        <v/>
      </c>
      <c r="AP30" s="13"/>
      <c r="AR30" t="str">
        <f>$AR$2&amp;StdDisziplinen[[#This Row],[StdTabMax]]</f>
        <v>_Stufe_Glei</v>
      </c>
      <c r="AS30" t="str">
        <f>IF(StdDisziplinen[[#This Row],[Maximalwert_OS1]]="","",REPLACE($AS$2,6,2,StdDisziplinen[[#This Row],[Maximalwert_OS1]])&amp;StdDisziplinen[[#This Row],[GemStufe]])</f>
        <v/>
      </c>
      <c r="AT30" t="str">
        <f>IF(StdDisziplinen[[#This Row],[Maximalwert_OS2]]="","",REPLACE($AT$2,6,2,StdDisziplinen[[#This Row],[Maximalwert_OS2]])&amp;StdDisziplinen[[#This Row],[GemStufe]])</f>
        <v/>
      </c>
      <c r="AU30" s="13">
        <f ca="1">MATCH(StdDisziplinen[[#This Row],[ID]],Resultatmappe!$A$3:$ACN$3,0)</f>
        <v>684</v>
      </c>
      <c r="AV30" s="13"/>
      <c r="AW30" s="13"/>
      <c r="AX30" s="13"/>
      <c r="AY30" s="13"/>
      <c r="AZ30" s="13" t="str">
        <f>IF(StdDisziplinen[[#This Row],[Res_Code]]=2,"0"&amp;$AZ$3&amp;"00",IF(StdDisziplinen[[#This Row],[Res_Code]]=1,"0"&amp;$AZ$3&amp;"0","0"))</f>
        <v>0</v>
      </c>
      <c r="BA30" s="13" t="str">
        <f>IF(StdDisziplinen[[#This Row],[Res_Code]]=2,"0"&amp;$AZ$3&amp;"00",IF(StdDisziplinen[[#This Row],[Res_Code]]=1,"0"&amp;$AZ$3&amp;"0","0"))</f>
        <v>0</v>
      </c>
      <c r="BB30" s="13"/>
      <c r="BC30" s="3" t="str">
        <f>IFERROR(REPLACE(StdDisziplinen[[#This Row],[StdTabResRes]],LEN(StdDisziplinen[[#This Row],[StdTabResRes]])-9,8,StdDisziplinen[[#Headers],[BedRes]]),"")</f>
        <v>GleitenStatus[@[BedRes]]</v>
      </c>
      <c r="BD30" s="3" t="str">
        <f>StdDisziplinen[[#This Row],[StdTabResultat]]&amp;"["&amp;$BD$2&amp;"]"</f>
        <v>GleitenStatus[Eingabe]</v>
      </c>
      <c r="BE30" s="13">
        <f ca="1">COUNTA(INDIRECT(StdDisziplinen[[#This Row],[StdTabEingabe]]))</f>
        <v>1</v>
      </c>
      <c r="BF30" s="3" t="str">
        <f>StdDisziplinen[[#This Row],[StdTabResultat]]&amp;"["&amp;$BF$2&amp;"]"</f>
        <v>GleitenStatus[#Kopfzeilen]</v>
      </c>
      <c r="BG30" s="79" t="str">
        <f>StdDisziplinen[[#This Row],[StdTabResultat]]&amp;"["&amp;StdDisziplinen[[#This Row],[Ergebnis]]&amp;"]"</f>
        <v>GleitenStatus[Status]</v>
      </c>
      <c r="BH30" s="3" cm="1">
        <f t="array" aca="1" ref="BH30" ca="1">ROW(INDIRECT(StdDisziplinen[[#This Row],[Bereich_Ein_Z]]))+$BH$2</f>
        <v>28</v>
      </c>
      <c r="BI30" s="3">
        <f ca="1">StdDisziplinen[[#This Row],[Bereich_Ein_ZStart]]+$BI$2</f>
        <v>57</v>
      </c>
      <c r="BJ30" s="3" t="str" cm="1">
        <f t="array" aca="1" ref="BJ30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$ZK$28:$ZK$57</v>
      </c>
      <c r="BK30" s="3" t="str" cm="1">
        <f t="array" aca="1" ref="BK30" ca="1">IFERROR(ADDRESS(ROW(INDIRECT(StdDisziplinen[[#This Row],[StufeMax]])),COLUMN(INDIRECT(StdDisziplinen[[#This Row],[StufeMax]])),1,1,),"")</f>
        <v>$ZK$25</v>
      </c>
      <c r="BM30" t="s">
        <v>456</v>
      </c>
      <c r="BN30" t="str" cm="1">
        <f t="array" aca="1" ref="BN30" ca="1">ADDRESS($BH$6+StdSpezBer[[#This Row],[SpezBer_ZlKorr]],COLUMN(INDIRECT($BG$30))+StdSpezBer[[#This Row],[SpezBer_SpKorr]],1,1,)</f>
        <v>$ZH$27</v>
      </c>
      <c r="BO30" t="str" cm="1">
        <f t="array" aca="1" ref="BO30" ca="1">ADDRESS($BI$6,COLUMN(INDIRECT(StdSpezBer[[#This Row],[SpezBer_Start]])),1,1,)</f>
        <v>$ZH$57</v>
      </c>
      <c r="BP30" s="13">
        <v>-1</v>
      </c>
      <c r="BQ30" s="13">
        <v>-3</v>
      </c>
      <c r="BR30" t="str">
        <f ca="1">StdSpezBer[[#This Row],[SpezBer_Start]]&amp;":"&amp;StdSpezBer[[#This Row],[SpezBer_Ende]]</f>
        <v>$ZH$27:$ZH$57</v>
      </c>
      <c r="BS30" s="13">
        <v>1</v>
      </c>
      <c r="BX30" t="str">
        <f>$BX$17&amp;", "&amp;$CA$6&amp;" "&amp;$CB$29</f>
        <v>Anzahl Runden, gerundet auf halbe Runden</v>
      </c>
      <c r="BZ30" t="s">
        <v>425</v>
      </c>
    </row>
    <row r="31" spans="1:81">
      <c r="D31" s="3" cm="1">
        <f t="array" ref="D31">ROW()-ROW(Schulgemeinden[#Headers])</f>
        <v>13</v>
      </c>
      <c r="E31" t="s">
        <v>267</v>
      </c>
      <c r="F31" t="s">
        <v>214</v>
      </c>
      <c r="G31" s="13">
        <f ca="1">INDEX(INDIRECT($G$15),MATCH(Schulgemeinden[[#This Row],[Kanton]],INDIRECT($F$15),0))</f>
        <v>2</v>
      </c>
      <c r="L31" s="3" cm="1">
        <f t="array" ref="L31">ROW()-ROW(StdDisziplinen[#Headers])</f>
        <v>26</v>
      </c>
      <c r="M31" s="3" t="s">
        <v>300</v>
      </c>
      <c r="R31" t="s">
        <v>55</v>
      </c>
      <c r="S31" t="str">
        <f>StdDisziplinen[[#This Row],[StdDisziplin]]</f>
        <v>Schwimmen</v>
      </c>
      <c r="T31" t="str">
        <f t="shared" si="0"/>
        <v>Schw</v>
      </c>
      <c r="U31" s="13">
        <f>LEN(StdDisziplinen[[#This Row],[StdTabÜberschrift]])+$U$3</f>
        <v>11</v>
      </c>
      <c r="V31" s="41" t="str">
        <f>StdDisziplinen[[#This Row],[StdTabÜberschrift]]&amp;$V$2&amp;SchwimmenResultatMin[[#Headers],[Min]]</f>
        <v>SchwimmenResultatMin</v>
      </c>
      <c r="W31" s="41" t="str">
        <f>StdDisziplinen[[#This Row],[StdTabResultat]]&amp;$J$3&amp;SchwimmenResultatMin[[#Headers],[Min]]&amp;"]]"</f>
        <v>SchwimmenResultatMin[@[Min]]</v>
      </c>
      <c r="X31" t="str">
        <f>StdDisziplinen[[#This Row],[StdTabResultat]]&amp;$X$3</f>
        <v>SchwimmenResultatMin[@[Resultat]]</v>
      </c>
      <c r="Y31" s="41" t="str">
        <f>StdDisziplinen[[#This Row],[StdTabÜberschrift]]&amp;$Y$1</f>
        <v>SchwimmenUmgerechnet</v>
      </c>
      <c r="Z31" s="41" t="str">
        <f>StdDisziplinen[[#This Row],[StdTabGerundet]]&amp;$Z$1</f>
        <v>SchwimmenUmgerechnet[@[Umrechnung]]</v>
      </c>
      <c r="AA31" t="str">
        <f>StdDisziplinen[[#This Row],[StdTabÜberschrift]]&amp;$AA$3&amp;$AA$2</f>
        <v>Schwimmen_X[Resultat]</v>
      </c>
      <c r="AB31" s="3" t="str">
        <f>StdDisziplinen[[#This Row],[StdTabÜberschrift]]&amp;$AB$2&amp;$AB$3</f>
        <v>SchwimmenSkalawert[@[Skala-Wert]]</v>
      </c>
      <c r="AC31" t="str">
        <f>StdDisziplinen[[#This Row],[StdTabÜberschrift]]&amp;$AC$3&amp;"["&amp;StdDisziplinen[[#This Row],[Ergebnis]]&amp;"]"</f>
        <v>Schwimmen_X[Note]</v>
      </c>
      <c r="AD31" t="str">
        <f>StdDisziplinen[[#This Row],[StdTabÜberschrift]]&amp;StdDisziplinen[[#This Row],[Ergebnis]]&amp;"[@["&amp;StdDisziplinen[[#This Row],[Ergebnis]]&amp;"]]"</f>
        <v>SchwimmenNote[@[Note]]</v>
      </c>
      <c r="AE31" t="str">
        <f>StdDisziplinen[[#This Row],[StdTabResultat]]&amp;$AE$2</f>
        <v>SchwimmenResultatMin[Resultat]</v>
      </c>
      <c r="AF31" t="s">
        <v>321</v>
      </c>
      <c r="AG31" t="s">
        <v>324</v>
      </c>
      <c r="AI31" t="str">
        <f>IFERROR(INDEX(StdBewertungen[Anzeigetext],MATCH(StdDisziplinen[[#This Row],[Bewertung]],StdBewertungen[StdBewertung],0)),"")</f>
        <v>Zeit</v>
      </c>
      <c r="AJ31" t="s">
        <v>7</v>
      </c>
      <c r="AM31" t="str">
        <f>IF(OR(StdDisziplinen[[#This Row],[Maximalwert_OS1]]&lt;&gt;"",StdDisziplinen[[#This Row],[Maximalwert_OS2]]&lt;&gt;""),$AM$2,"")</f>
        <v/>
      </c>
      <c r="AN31">
        <v>-1</v>
      </c>
      <c r="AP31" s="13"/>
      <c r="AR31" t="str">
        <f>$AR$2&amp;StdDisziplinen[[#This Row],[StdTabMax]]</f>
        <v>_Stufe_Schw</v>
      </c>
      <c r="AS31" t="str">
        <f>IF(StdDisziplinen[[#This Row],[Maximalwert_OS1]]="","",REPLACE($AS$2,6,2,StdDisziplinen[[#This Row],[Maximalwert_OS1]])&amp;StdDisziplinen[[#This Row],[GemStufe]])</f>
        <v/>
      </c>
      <c r="AT31" t="str">
        <f>IF(StdDisziplinen[[#This Row],[Maximalwert_OS2]]="","",REPLACE($AT$2,6,2,StdDisziplinen[[#This Row],[Maximalwert_OS2]])&amp;StdDisziplinen[[#This Row],[GemStufe]])</f>
        <v/>
      </c>
      <c r="AU31" s="13">
        <f ca="1">MATCH(StdDisziplinen[[#This Row],[ID]],Resultatmappe!$A$3:$ACN$3,0)</f>
        <v>689</v>
      </c>
      <c r="AV31" s="13">
        <v>0</v>
      </c>
      <c r="AW31" s="13">
        <v>0</v>
      </c>
      <c r="AX31" s="13">
        <v>0</v>
      </c>
      <c r="AY31" s="13">
        <v>1</v>
      </c>
      <c r="AZ31" s="13" t="str">
        <f>IF(StdDisziplinen[[#This Row],[Res_Code]]=2,"0"&amp;$AZ$3&amp;"00",IF(StdDisziplinen[[#This Row],[Res_Code]]=1,"0"&amp;$AZ$3&amp;"0","0"))</f>
        <v>0</v>
      </c>
      <c r="BA31" s="13" t="str">
        <f>IF(StdDisziplinen[[#This Row],[Res_Code]]=2,"0"&amp;$AZ$3&amp;"00",IF(StdDisziplinen[[#This Row],[Res_Code]]=1,"0"&amp;$AZ$3&amp;"0","0"))</f>
        <v>0</v>
      </c>
      <c r="BB31" s="13"/>
      <c r="BC31" s="3" t="str">
        <f>IFERROR(REPLACE(StdDisziplinen[[#This Row],[StdTabResRes]],LEN(StdDisziplinen[[#This Row],[StdTabResRes]])-9,8,StdDisziplinen[[#Headers],[BedRes]]),"")</f>
        <v>SchwimmenResultatMin[@[BedRes]]</v>
      </c>
      <c r="BD31" s="3" t="str">
        <f>StdDisziplinen[[#This Row],[StdTabResultat]]&amp;"["&amp;$BD$2&amp;"]"</f>
        <v>SchwimmenResultatMin[Eingabe]</v>
      </c>
      <c r="BE31" s="13">
        <f ca="1">COUNTA(INDIRECT(StdDisziplinen[[#This Row],[StdTabEingabe]]))</f>
        <v>1</v>
      </c>
      <c r="BF31" s="3" t="str">
        <f>StdDisziplinen[[#This Row],[StdTabResultat]]&amp;"["&amp;$BF$2&amp;"]"</f>
        <v>SchwimmenResultatMin[#Kopfzeilen]</v>
      </c>
      <c r="BG31" s="79" t="str">
        <f>REPLACE(StdDisziplinen[[#This Row],[Bereich_Ein_Z]],FIND("[",StdDisziplinen[[#This Row],[Bereich_Ein_Z]],1)+1,LEN($BF$2),SchwimmenResultatMin[[#Headers],[Min]])</f>
        <v>SchwimmenResultatMin[Min]</v>
      </c>
      <c r="BH31" s="3" cm="1">
        <f t="array" aca="1" ref="BH31" ca="1">ROW(INDIRECT(StdDisziplinen[[#This Row],[Bereich_Ein_Z]]))+$BH$2</f>
        <v>28</v>
      </c>
      <c r="BI31" s="3">
        <f ca="1">StdDisziplinen[[#This Row],[Bereich_Ein_ZStart]]+$BI$2</f>
        <v>57</v>
      </c>
      <c r="BJ31" s="3" t="str" cm="1">
        <f t="array" aca="1" ref="BJ31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$ZM$28:$ZM$57</v>
      </c>
      <c r="BK31" s="3" t="str" cm="1">
        <f t="array" aca="1" ref="BK31" ca="1">IFERROR(ADDRESS(ROW(INDIRECT(StdDisziplinen[[#This Row],[StufeMax]])),COLUMN(INDIRECT(StdDisziplinen[[#This Row],[StufeMax]])),1,1,),"")</f>
        <v>$ZM$25</v>
      </c>
      <c r="BM31" t="s">
        <v>457</v>
      </c>
      <c r="BN31" t="str">
        <f ca="1">ADDRESS($BH$6,COLUMN(Resultatmappe!$E$28),1,1,)</f>
        <v>$E$28</v>
      </c>
      <c r="BO31" t="str" cm="1">
        <f t="array" aca="1" ref="BO31" ca="1">ADDRESS($BI$6,COLUMN(INDIRECT(StdSpezBer[[#This Row],[SpezBer_Start]])),1,1,)</f>
        <v>$E$57</v>
      </c>
      <c r="BP31" s="13"/>
      <c r="BQ31" s="13"/>
      <c r="BR31" t="str">
        <f ca="1">StdSpezBer[[#This Row],[SpezBer_Start]]&amp;":"&amp;StdSpezBer[[#This Row],[SpezBer_Ende]]</f>
        <v>$E$28:$E$57</v>
      </c>
      <c r="BS31" s="13">
        <v>1</v>
      </c>
      <c r="BX31" t="str">
        <f>$BU$22&amp;", "&amp;$CA$6&amp;" "&amp;$CB$34</f>
        <v>Meter, gerundet auf ganze Zahl</v>
      </c>
      <c r="BZ31" t="s">
        <v>426</v>
      </c>
    </row>
    <row r="32" spans="1:81">
      <c r="D32" s="3" cm="1">
        <f t="array" ref="D32">ROW()-ROW(Schulgemeinden[#Headers])</f>
        <v>14</v>
      </c>
      <c r="E32" t="s">
        <v>268</v>
      </c>
      <c r="F32" t="s">
        <v>214</v>
      </c>
      <c r="G32" s="13">
        <f ca="1">INDEX(INDIRECT($G$15),MATCH(Schulgemeinden[[#This Row],[Kanton]],INDIRECT($F$15),0))</f>
        <v>2</v>
      </c>
      <c r="I32" t="s">
        <v>355</v>
      </c>
      <c r="J32" t="s">
        <v>365</v>
      </c>
      <c r="L32" s="3" cm="1">
        <f t="array" ref="L32">ROW()-ROW(StdDisziplinen[#Headers])</f>
        <v>27</v>
      </c>
      <c r="N32" s="3" t="s">
        <v>99</v>
      </c>
      <c r="P32" s="3" t="s">
        <v>63</v>
      </c>
      <c r="Q32" s="3" t="s">
        <v>18</v>
      </c>
      <c r="S32" s="41" t="str">
        <f>StdDisziplinen[[#This Row],[Fähigkeit]]</f>
        <v>Beweglichkeit</v>
      </c>
      <c r="T32" t="str">
        <f t="shared" si="0"/>
        <v>Bewe</v>
      </c>
      <c r="U32" s="13">
        <f>LEN(StdDisziplinen[[#This Row],[StdTabÜberschrift]])+$U$3</f>
        <v>15</v>
      </c>
      <c r="V32" t="str">
        <f>StdDisziplinen[[#This Row],[StdTabÜberschrift]]&amp;$V$2</f>
        <v>BeweglichkeitResultat</v>
      </c>
      <c r="W32" t="str">
        <f>StdDisziplinen[[#This Row],[StdTabResultat]]&amp;$W$3</f>
        <v>BeweglichkeitResultat[@[Eingabe]]</v>
      </c>
      <c r="X32" t="str">
        <f>StdDisziplinen[[#This Row],[StdTabResultat]]&amp;$X$3</f>
        <v>BeweglichkeitResultat[@[Resultat]]</v>
      </c>
      <c r="Y32" t="str">
        <f>StdDisziplinen[[#This Row],[StdTabÜberschrift]]&amp;$Y$2</f>
        <v>BeweglichkeitGerundet</v>
      </c>
      <c r="Z32" t="str">
        <f>StdDisziplinen[[#This Row],[StdTabGerundet]]&amp;$Z$3</f>
        <v>BeweglichkeitGerundet[@[Rundung]]</v>
      </c>
      <c r="AA32" t="str">
        <f>StdDisziplinen[[#This Row],[StdTabÜberschrift]]&amp;$AA$3&amp;$AA$2</f>
        <v>Beweglichkeit_X[Resultat]</v>
      </c>
      <c r="AB32" s="3" t="str">
        <f>StdDisziplinen[[#This Row],[StdTabÜberschrift]]&amp;$AB$2&amp;$AB$3</f>
        <v>BeweglichkeitSkalawert[@[Skala-Wert]]</v>
      </c>
      <c r="AC32" t="str">
        <f>StdDisziplinen[[#This Row],[StdTabÜberschrift]]&amp;$AC$3&amp;"["&amp;StdDisziplinen[[#This Row],[Ergebnis]]&amp;"]"</f>
        <v>Beweglichkeit_X[Note]</v>
      </c>
      <c r="AD32" t="str">
        <f>StdDisziplinen[[#This Row],[StdTabÜberschrift]]&amp;StdDisziplinen[[#This Row],[Ergebnis]]&amp;"[@["&amp;StdDisziplinen[[#This Row],[Ergebnis]]&amp;"]]"</f>
        <v>BeweglichkeitNote[@[Note]]</v>
      </c>
      <c r="AE32" t="str">
        <f>StdDisziplinen[[#This Row],[StdTabResultat]]&amp;$AE$2</f>
        <v>BeweglichkeitResultat[Resultat]</v>
      </c>
      <c r="AF32" t="s">
        <v>137</v>
      </c>
      <c r="AG32" t="s">
        <v>69</v>
      </c>
      <c r="AI32" t="str">
        <f>IFERROR(INDEX(StdBewertungen[Anzeigetext],MATCH(StdDisziplinen[[#This Row],[Bewertung]],StdBewertungen[StdBewertung],0)),"")</f>
        <v>Distanz</v>
      </c>
      <c r="AJ32" t="s">
        <v>7</v>
      </c>
      <c r="AK32" s="41" t="str">
        <f>$D$6&amp;": –1 / "&amp;$D$7&amp;": 0"</f>
        <v>Knaben: –1 / Mädchen: 0</v>
      </c>
      <c r="AL32" s="41" t="str">
        <f>StdDisziplinen[[#This Row],[Maximalwert_OS1]]</f>
        <v>Knaben: –1 / Mädchen: 0</v>
      </c>
      <c r="AM32" s="41" t="str">
        <f>$CC$23&amp;":"</f>
        <v>Minimalwert:</v>
      </c>
      <c r="AN32">
        <v>1</v>
      </c>
      <c r="AO32">
        <v>1</v>
      </c>
      <c r="AP32" s="13"/>
      <c r="AR32" t="str">
        <f>$AR$2&amp;StdDisziplinen[[#This Row],[StdTabMax]]</f>
        <v>_Stufe_Bewe</v>
      </c>
      <c r="AS32" t="str">
        <f>IF(StdDisziplinen[[#This Row],[Maximalwert_OS1]]="","",REPLACE($AS$2,6,2,StdDisziplinen[[#This Row],[Maximalwert_OS1]])&amp;StdDisziplinen[[#This Row],[GemStufe]])</f>
        <v>max. Knaben: –1 / Mädchen: 0 Punkte</v>
      </c>
      <c r="AT32" t="str">
        <f>IF(StdDisziplinen[[#This Row],[Maximalwert_OS2]]="","",REPLACE($AT$2,6,2,StdDisziplinen[[#This Row],[Maximalwert_OS2]])&amp;StdDisziplinen[[#This Row],[GemStufe]])</f>
        <v>max. Knaben: –1 / Mädchen: 0 Punkte</v>
      </c>
      <c r="AU32" s="13">
        <f ca="1">MATCH(StdDisziplinen[[#This Row],[ID]],Resultatmappe!$A$3:$ACN$3,0)</f>
        <v>720</v>
      </c>
      <c r="AV32" s="13">
        <v>0</v>
      </c>
      <c r="AW32" s="13">
        <v>0</v>
      </c>
      <c r="AX32" s="13">
        <v>0</v>
      </c>
      <c r="AY32" s="13">
        <v>0</v>
      </c>
      <c r="AZ32" s="13" t="str">
        <f>IF(StdDisziplinen[[#This Row],[Res_Code]]=2,"0"&amp;$AZ$3&amp;"00",IF(StdDisziplinen[[#This Row],[Res_Code]]=1,"0"&amp;$AZ$3&amp;"0","0"))</f>
        <v>0</v>
      </c>
      <c r="BA32" s="13" t="str">
        <f>IF(StdDisziplinen[[#This Row],[Res_Code]]=2,"0"&amp;$AZ$3&amp;"00",IF(StdDisziplinen[[#This Row],[Res_Code]]=1,"0"&amp;$AZ$3&amp;"0","0"))</f>
        <v>0</v>
      </c>
      <c r="BB32" s="13"/>
      <c r="BC32" s="3" t="str">
        <f>IFERROR(REPLACE(StdDisziplinen[[#This Row],[StdTabResRes]],LEN(StdDisziplinen[[#This Row],[StdTabResRes]])-9,8,StdDisziplinen[[#Headers],[BedRes]]),"")</f>
        <v>BeweglichkeitResultat[@[BedRes]]</v>
      </c>
      <c r="BD32" s="3" t="str">
        <f>StdDisziplinen[[#This Row],[StdTabResultat]]&amp;"["&amp;$BD$2&amp;"]"</f>
        <v>BeweglichkeitResultat[Eingabe]</v>
      </c>
      <c r="BE32" s="13">
        <f ca="1">COUNTA(INDIRECT(StdDisziplinen[[#This Row],[StdTabEingabe]]))</f>
        <v>0</v>
      </c>
      <c r="BF32" s="3" t="str">
        <f>StdDisziplinen[[#This Row],[StdTabResultat]]&amp;"["&amp;$BF$2&amp;"]"</f>
        <v>BeweglichkeitResultat[#Kopfzeilen]</v>
      </c>
      <c r="BG32" s="3" t="str">
        <f>StdDisziplinen[[#This Row],[StdTabResultat]]&amp;"["&amp;$W$2&amp;"]"</f>
        <v>BeweglichkeitResultat[Eingabe]</v>
      </c>
      <c r="BH32" s="3" cm="1">
        <f t="array" aca="1" ref="BH32" ca="1">ROW(INDIRECT(StdDisziplinen[[#This Row],[Bereich_Ein_Z]]))+$BH$2</f>
        <v>28</v>
      </c>
      <c r="BI32" s="3">
        <f ca="1">StdDisziplinen[[#This Row],[Bereich_Ein_ZStart]]+$BI$2</f>
        <v>57</v>
      </c>
      <c r="BJ32" s="3" t="str" cm="1">
        <f t="array" aca="1" ref="BJ32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$AAR$28:$AAR$57</v>
      </c>
      <c r="BK32" s="3" t="str" cm="1">
        <f t="array" aca="1" ref="BK32" ca="1">IFERROR(ADDRESS(ROW(INDIRECT(StdDisziplinen[[#This Row],[StufeMax]])),COLUMN(INDIRECT(StdDisziplinen[[#This Row],[StufeMax]])),1,1,),"")</f>
        <v>$AAR$25</v>
      </c>
      <c r="BX32" t="str">
        <f>$BU$21&amp;", "&amp;$CA$6&amp;" "&amp;$CB$34</f>
        <v>Zentimeter, gerundet auf ganze Zahl</v>
      </c>
      <c r="BZ32" t="s">
        <v>427</v>
      </c>
    </row>
    <row r="33" spans="4:80">
      <c r="D33" s="3" cm="1">
        <f t="array" ref="D33">ROW()-ROW(Schulgemeinden[#Headers])</f>
        <v>15</v>
      </c>
      <c r="E33" t="s">
        <v>269</v>
      </c>
      <c r="F33" t="s">
        <v>214</v>
      </c>
      <c r="G33" s="13">
        <f ca="1">INDEX(INDIRECT($G$15),MATCH(Schulgemeinden[[#This Row],[Kanton]],INDIRECT($F$15),0))</f>
        <v>2</v>
      </c>
      <c r="I33" t="s">
        <v>223</v>
      </c>
      <c r="J33" t="s">
        <v>293</v>
      </c>
      <c r="L33" s="3" cm="1">
        <f t="array" ref="L33">ROW()-ROW(StdDisziplinen[#Headers])</f>
        <v>28</v>
      </c>
      <c r="N33" s="3" t="s">
        <v>99</v>
      </c>
      <c r="P33" s="3" t="s">
        <v>63</v>
      </c>
      <c r="Q33" s="3" t="s">
        <v>19</v>
      </c>
      <c r="S33" s="41" t="str">
        <f>StdDisziplinen[[#This Row],[Fähigkeit]]</f>
        <v>Rumpfkraft</v>
      </c>
      <c r="T33" t="str">
        <f t="shared" si="0"/>
        <v>Rump</v>
      </c>
      <c r="U33" s="13">
        <f>LEN(StdDisziplinen[[#This Row],[StdTabÜberschrift]])+$U$3</f>
        <v>12</v>
      </c>
      <c r="V33" t="str">
        <f>StdDisziplinen[[#This Row],[StdTabÜberschrift]]&amp;$V$2</f>
        <v>RumpfkraftResultat</v>
      </c>
      <c r="W33" t="str">
        <f>StdDisziplinen[[#This Row],[StdTabResultat]]&amp;$W$3</f>
        <v>RumpfkraftResultat[@[Eingabe]]</v>
      </c>
      <c r="X33" t="str">
        <f>StdDisziplinen[[#This Row],[StdTabResultat]]&amp;$X$3</f>
        <v>RumpfkraftResultat[@[Resultat]]</v>
      </c>
      <c r="Y33" t="str">
        <f>StdDisziplinen[[#This Row],[StdTabÜberschrift]]&amp;$Y$2</f>
        <v>RumpfkraftGerundet</v>
      </c>
      <c r="Z33" t="str">
        <f>StdDisziplinen[[#This Row],[StdTabGerundet]]&amp;$Z$3</f>
        <v>RumpfkraftGerundet[@[Rundung]]</v>
      </c>
      <c r="AA33" t="str">
        <f>StdDisziplinen[[#This Row],[StdTabÜberschrift]]&amp;$AA$3&amp;$AA$2</f>
        <v>Rumpfkraft_X[Resultat]</v>
      </c>
      <c r="AB33" s="3" t="str">
        <f>StdDisziplinen[[#This Row],[StdTabÜberschrift]]&amp;$AB$2&amp;$AB$3</f>
        <v>RumpfkraftSkalawert[@[Skala-Wert]]</v>
      </c>
      <c r="AC33" t="str">
        <f>StdDisziplinen[[#This Row],[StdTabÜberschrift]]&amp;$AC$3&amp;"["&amp;StdDisziplinen[[#This Row],[Ergebnis]]&amp;"]"</f>
        <v>Rumpfkraft_X[Note]</v>
      </c>
      <c r="AD33" t="str">
        <f>StdDisziplinen[[#This Row],[StdTabÜberschrift]]&amp;StdDisziplinen[[#This Row],[Ergebnis]]&amp;"[@["&amp;StdDisziplinen[[#This Row],[Ergebnis]]&amp;"]]"</f>
        <v>RumpfkraftNote[@[Note]]</v>
      </c>
      <c r="AE33" t="str">
        <f>StdDisziplinen[[#This Row],[StdTabResultat]]&amp;$AE$2</f>
        <v>RumpfkraftResultat[Resultat]</v>
      </c>
      <c r="AF33" t="s">
        <v>138</v>
      </c>
      <c r="AG33" t="s">
        <v>32</v>
      </c>
      <c r="AI33" t="str">
        <f>IFERROR(INDEX(StdBewertungen[Anzeigetext],MATCH(StdDisziplinen[[#This Row],[Bewertung]],StdBewertungen[StdBewertung],0)),"")</f>
        <v>Zeit</v>
      </c>
      <c r="AJ33" t="s">
        <v>7</v>
      </c>
      <c r="AM33" t="str">
        <f>IF(OR(StdDisziplinen[[#This Row],[Maximalwert_OS1]]&lt;&gt;"",StdDisziplinen[[#This Row],[Maximalwert_OS2]]&lt;&gt;""),$AM$2,"")</f>
        <v/>
      </c>
      <c r="AN33" s="11">
        <v>1</v>
      </c>
      <c r="AO33">
        <v>1</v>
      </c>
      <c r="AP33" s="13"/>
      <c r="AR33" t="str">
        <f>$AR$2&amp;StdDisziplinen[[#This Row],[StdTabMax]]</f>
        <v>_Stufe_Rump</v>
      </c>
      <c r="AS33" s="11" t="str">
        <f>IF(StdDisziplinen[[#This Row],[Maximalwert_OS1]]="","",REPLACE($AS$2,6,2,StdDisziplinen[[#This Row],[Maximalwert_OS1]])&amp;StdDisziplinen[[#This Row],[GemStufe]])</f>
        <v/>
      </c>
      <c r="AT33" s="11" t="str">
        <f>IF(StdDisziplinen[[#This Row],[Maximalwert_OS2]]="","",REPLACE($AT$2,6,2,StdDisziplinen[[#This Row],[Maximalwert_OS2]])&amp;StdDisziplinen[[#This Row],[GemStufe]])</f>
        <v/>
      </c>
      <c r="AU33" s="63">
        <f ca="1">MATCH(StdDisziplinen[[#This Row],[ID]],Resultatmappe!$A$3:$ACN$3,0)</f>
        <v>732</v>
      </c>
      <c r="AV33" s="13">
        <v>0</v>
      </c>
      <c r="AW33" s="13">
        <v>0</v>
      </c>
      <c r="AX33" s="13">
        <v>0</v>
      </c>
      <c r="AY33" s="13">
        <v>0</v>
      </c>
      <c r="AZ33" s="63" t="str">
        <f>IF(StdDisziplinen[[#This Row],[Res_Code]]=2,"0"&amp;$AZ$3&amp;"00",IF(StdDisziplinen[[#This Row],[Res_Code]]=1,"0"&amp;$AZ$3&amp;"0","0"))</f>
        <v>0</v>
      </c>
      <c r="BA33" s="63" t="str">
        <f>IF(StdDisziplinen[[#This Row],[Res_Code]]=2,"0"&amp;$AZ$3&amp;"00",IF(StdDisziplinen[[#This Row],[Res_Code]]=1,"0"&amp;$AZ$3&amp;"0","0"))</f>
        <v>0</v>
      </c>
      <c r="BB33" s="63"/>
      <c r="BC33" s="36" t="str">
        <f>IFERROR(REPLACE(StdDisziplinen[[#This Row],[StdTabResRes]],LEN(StdDisziplinen[[#This Row],[StdTabResRes]])-9,8,StdDisziplinen[[#Headers],[BedRes]]),"")</f>
        <v>RumpfkraftResultat[@[BedRes]]</v>
      </c>
      <c r="BD33" s="36" t="str">
        <f>StdDisziplinen[[#This Row],[StdTabResultat]]&amp;"["&amp;$BD$2&amp;"]"</f>
        <v>RumpfkraftResultat[Eingabe]</v>
      </c>
      <c r="BE33" s="63">
        <f ca="1">COUNTA(INDIRECT(StdDisziplinen[[#This Row],[StdTabEingabe]]))</f>
        <v>0</v>
      </c>
      <c r="BF33" s="36" t="str">
        <f>StdDisziplinen[[#This Row],[StdTabResultat]]&amp;"["&amp;$BF$2&amp;"]"</f>
        <v>RumpfkraftResultat[#Kopfzeilen]</v>
      </c>
      <c r="BG33" s="36" t="str">
        <f>StdDisziplinen[[#This Row],[StdTabResultat]]&amp;"["&amp;$W$2&amp;"]"</f>
        <v>RumpfkraftResultat[Eingabe]</v>
      </c>
      <c r="BH33" s="36" cm="1">
        <f t="array" aca="1" ref="BH33" ca="1">ROW(INDIRECT(StdDisziplinen[[#This Row],[Bereich_Ein_Z]]))+$BH$2</f>
        <v>28</v>
      </c>
      <c r="BI33" s="36">
        <f ca="1">StdDisziplinen[[#This Row],[Bereich_Ein_ZStart]]+$BI$2</f>
        <v>57</v>
      </c>
      <c r="BJ33" s="36" t="str" cm="1">
        <f t="array" aca="1" ref="BJ33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$ABD$28:$ABD$57</v>
      </c>
      <c r="BK33" s="36" t="str" cm="1">
        <f t="array" aca="1" ref="BK33" ca="1">IFERROR(ADDRESS(ROW(INDIRECT(StdDisziplinen[[#This Row],[StufeMax]])),COLUMN(INDIRECT(StdDisziplinen[[#This Row],[StufeMax]])),1,1,),"")</f>
        <v>$ABD$25</v>
      </c>
      <c r="BR33" s="86" t="str">
        <f ca="1">_xlfn.TEXTJOIN(";",TRUE,BR27:BR31)</f>
        <v>$C$17:$C$21;$E$17:$E$17;Resultatmappe!$B$28:$C$57;$ZH$27:$ZH$57;$E$28:$E$57</v>
      </c>
      <c r="BX33" t="str">
        <f>$BU$21&amp;","&amp;$CB$6&amp;$CB$34</f>
        <v>Zentimeter, abgerundet auf ganze Zahl</v>
      </c>
      <c r="BZ33" t="s">
        <v>428</v>
      </c>
    </row>
    <row r="34" spans="4:80">
      <c r="D34" s="3" cm="1">
        <f t="array" ref="D34">ROW()-ROW(Schulgemeinden[#Headers])</f>
        <v>16</v>
      </c>
      <c r="E34" t="s">
        <v>270</v>
      </c>
      <c r="F34" t="s">
        <v>214</v>
      </c>
      <c r="G34" s="13">
        <f ca="1">INDEX(INDIRECT($G$15),MATCH(Schulgemeinden[[#This Row],[Kanton]],INDIRECT($F$15),0))</f>
        <v>2</v>
      </c>
      <c r="I34" t="s">
        <v>224</v>
      </c>
      <c r="J34">
        <f>ROW(Diplom_Kantone!C1)</f>
        <v>1</v>
      </c>
      <c r="L34" s="3" cm="1">
        <f t="array" ref="L34">ROW()-ROW(StdDisziplinen[#Headers])</f>
        <v>29</v>
      </c>
      <c r="N34" s="3" t="s">
        <v>99</v>
      </c>
      <c r="R34" t="s">
        <v>64</v>
      </c>
      <c r="S34" t="str">
        <f>StdDisziplinen[[#This Row],[StdDisziplin]]</f>
        <v>Konditionsparcours</v>
      </c>
      <c r="T34" t="str">
        <f t="shared" si="0"/>
        <v>Kond</v>
      </c>
      <c r="U34" s="13">
        <f>LEN(StdDisziplinen[[#This Row],[StdTabÜberschrift]])+$U$3</f>
        <v>20</v>
      </c>
      <c r="V34" t="str">
        <f>StdDisziplinen[[#This Row],[StdTabÜberschrift]]&amp;$V$2</f>
        <v>KonditionsparcoursResultat</v>
      </c>
      <c r="W34" t="str">
        <f>StdDisziplinen[[#This Row],[StdTabResultat]]&amp;$W$3</f>
        <v>KonditionsparcoursResultat[@[Eingabe]]</v>
      </c>
      <c r="X34" t="str">
        <f>StdDisziplinen[[#This Row],[StdTabResultat]]&amp;$X$3</f>
        <v>KonditionsparcoursResultat[@[Resultat]]</v>
      </c>
      <c r="Y34" t="str">
        <f>StdDisziplinen[[#This Row],[StdTabÜberschrift]]&amp;$Y$2</f>
        <v>KonditionsparcoursGerundet</v>
      </c>
      <c r="Z34" t="str">
        <f>StdDisziplinen[[#This Row],[StdTabGerundet]]&amp;$Z$3</f>
        <v>KonditionsparcoursGerundet[@[Rundung]]</v>
      </c>
      <c r="AA34" t="str">
        <f>StdDisziplinen[[#This Row],[StdTabÜberschrift]]&amp;$AA$3&amp;$AA$2</f>
        <v>Konditionsparcours_X[Resultat]</v>
      </c>
      <c r="AB34" s="3" t="str">
        <f>StdDisziplinen[[#This Row],[StdTabÜberschrift]]&amp;$AB$2&amp;$AB$3</f>
        <v>KonditionsparcoursSkalawert[@[Skala-Wert]]</v>
      </c>
      <c r="AC34" t="str">
        <f>StdDisziplinen[[#This Row],[StdTabÜberschrift]]&amp;$AC$3&amp;"["&amp;StdDisziplinen[[#This Row],[Ergebnis]]&amp;"]"</f>
        <v>Konditionsparcours_X[Note]</v>
      </c>
      <c r="AD34" t="str">
        <f>StdDisziplinen[[#This Row],[StdTabÜberschrift]]&amp;StdDisziplinen[[#This Row],[Ergebnis]]&amp;"[@["&amp;StdDisziplinen[[#This Row],[Ergebnis]]&amp;"]]"</f>
        <v>KonditionsparcoursNote[@[Note]]</v>
      </c>
      <c r="AE34" t="str">
        <f>StdDisziplinen[[#This Row],[StdTabResultat]]&amp;$AE$2</f>
        <v>KonditionsparcoursResultat[Resultat]</v>
      </c>
      <c r="AF34" t="s">
        <v>418</v>
      </c>
      <c r="AG34" t="s">
        <v>8</v>
      </c>
      <c r="AI34" t="str">
        <f>IFERROR(INDEX(StdBewertungen[Anzeigetext],MATCH(StdDisziplinen[[#This Row],[Bewertung]],StdBewertungen[StdBewertung],0)),"")</f>
        <v>Punkte</v>
      </c>
      <c r="AJ34" t="s">
        <v>7</v>
      </c>
      <c r="AM34" t="str">
        <f>IF(OR(StdDisziplinen[[#This Row],[Maximalwert_OS1]]&lt;&gt;"",StdDisziplinen[[#This Row],[Maximalwert_OS2]]&lt;&gt;""),$AM$2,"")</f>
        <v/>
      </c>
      <c r="AN34">
        <v>1</v>
      </c>
      <c r="AO34">
        <v>1</v>
      </c>
      <c r="AP34" s="13"/>
      <c r="AR34" t="str">
        <f>$AR$2&amp;StdDisziplinen[[#This Row],[StdTabMax]]</f>
        <v>_Stufe_Kond</v>
      </c>
      <c r="AS34" t="str">
        <f>IF(StdDisziplinen[[#This Row],[Maximalwert_OS1]]="","",REPLACE($AS$2,6,2,StdDisziplinen[[#This Row],[Maximalwert_OS1]])&amp;StdDisziplinen[[#This Row],[GemStufe]])</f>
        <v/>
      </c>
      <c r="AT34" t="str">
        <f>IF(StdDisziplinen[[#This Row],[Maximalwert_OS2]]="","",REPLACE($AT$2,6,2,StdDisziplinen[[#This Row],[Maximalwert_OS2]])&amp;StdDisziplinen[[#This Row],[GemStufe]])</f>
        <v/>
      </c>
      <c r="AU34" s="13">
        <f ca="1">MATCH(StdDisziplinen[[#This Row],[ID]],Resultatmappe!$A$3:$ACN$3,0)</f>
        <v>756</v>
      </c>
      <c r="AV34" s="13">
        <v>0</v>
      </c>
      <c r="AW34" s="13">
        <v>0</v>
      </c>
      <c r="AX34" s="13">
        <v>0</v>
      </c>
      <c r="AY34" s="13">
        <v>1</v>
      </c>
      <c r="AZ34" s="13" t="str">
        <f>IF(StdDisziplinen[[#This Row],[Res_Code]]=2,"0"&amp;$AZ$3&amp;"00",IF(StdDisziplinen[[#This Row],[Res_Code]]=1,"0"&amp;$AZ$3&amp;"0","0"))</f>
        <v>0</v>
      </c>
      <c r="BA34" s="13" t="str">
        <f>IF(StdDisziplinen[[#This Row],[Res_Code]]=2,"0"&amp;$AZ$3&amp;"00",IF(StdDisziplinen[[#This Row],[Res_Code]]=1,"0"&amp;$AZ$3&amp;"0","0"))</f>
        <v>0</v>
      </c>
      <c r="BB34" s="13"/>
      <c r="BC34" s="3" t="str">
        <f>IFERROR(REPLACE(StdDisziplinen[[#This Row],[StdTabResRes]],LEN(StdDisziplinen[[#This Row],[StdTabResRes]])-9,8,StdDisziplinen[[#Headers],[BedRes]]),"")</f>
        <v>KonditionsparcoursResultat[@[BedRes]]</v>
      </c>
      <c r="BD34" s="3" t="str">
        <f>StdDisziplinen[[#This Row],[StdTabResultat]]&amp;"["&amp;$BD$2&amp;"]"</f>
        <v>KonditionsparcoursResultat[Eingabe]</v>
      </c>
      <c r="BE34" s="13">
        <f ca="1">COUNTA(INDIRECT(StdDisziplinen[[#This Row],[StdTabEingabe]]))</f>
        <v>0</v>
      </c>
      <c r="BF34" s="3" t="str">
        <f>StdDisziplinen[[#This Row],[StdTabResultat]]&amp;"["&amp;$BF$2&amp;"]"</f>
        <v>KonditionsparcoursResultat[#Kopfzeilen]</v>
      </c>
      <c r="BG34" s="3" t="str">
        <f>StdDisziplinen[[#This Row],[StdTabResultat]]&amp;"["&amp;$W$2&amp;"]"</f>
        <v>KonditionsparcoursResultat[Eingabe]</v>
      </c>
      <c r="BH34" s="3" cm="1">
        <f t="array" aca="1" ref="BH34" ca="1">ROW(INDIRECT(StdDisziplinen[[#This Row],[Bereich_Ein_Z]]))+$BH$2</f>
        <v>28</v>
      </c>
      <c r="BI34" s="3">
        <f ca="1">StdDisziplinen[[#This Row],[Bereich_Ein_ZStart]]+$BI$2</f>
        <v>57</v>
      </c>
      <c r="BJ34" s="3" t="str" cm="1">
        <f t="array" aca="1" ref="BJ34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$ACB$28:$ACB$57</v>
      </c>
      <c r="BK34" s="3" t="str" cm="1">
        <f t="array" aca="1" ref="BK34" ca="1">IFERROR(ADDRESS(ROW(INDIRECT(StdDisziplinen[[#This Row],[StufeMax]])),COLUMN(INDIRECT(StdDisziplinen[[#This Row],[StufeMax]])),1,1,),"")</f>
        <v>$ACB$25</v>
      </c>
      <c r="BX34" t="str">
        <f>$BU$22&amp;", "&amp;$CA$6&amp;$CA$35</f>
        <v>Meter, gerundet auf zwei Stellen</v>
      </c>
      <c r="BZ34" t="s">
        <v>429</v>
      </c>
      <c r="CA34" t="s">
        <v>431</v>
      </c>
      <c r="CB34" t="str">
        <f>$CA$34&amp;$BZ$34</f>
        <v>ganze Zahl</v>
      </c>
    </row>
    <row r="35" spans="4:80">
      <c r="D35" s="3" cm="1">
        <f t="array" ref="D35">ROW()-ROW(Schulgemeinden[#Headers])</f>
        <v>17</v>
      </c>
      <c r="E35" t="s">
        <v>271</v>
      </c>
      <c r="F35" t="s">
        <v>214</v>
      </c>
      <c r="G35" s="13">
        <f ca="1">INDEX(INDIRECT($G$15),MATCH(Schulgemeinden[[#This Row],[Kanton]],INDIRECT($F$15),0))</f>
        <v>2</v>
      </c>
      <c r="I35" t="s">
        <v>225</v>
      </c>
      <c r="J35">
        <f>ROW(Diplom_Kantone!C2)</f>
        <v>2</v>
      </c>
      <c r="L35" s="3" cm="1">
        <f t="array" ref="L35">ROW()-ROW(StdDisziplinen[#Headers])</f>
        <v>30</v>
      </c>
      <c r="S35" s="3"/>
      <c r="U35" s="13"/>
      <c r="AB35" s="3"/>
      <c r="AP35" s="13"/>
      <c r="AT35" t="str">
        <f>IF(StdDisziplinen[[#This Row],[Maximalwert_OS2]]="","",REPLACE($AT$2,6,2,StdDisziplinen[[#This Row],[Maximalwert_OS2]])&amp;StdDisziplinen[[#This Row],[GemStufe]])</f>
        <v/>
      </c>
      <c r="AU35" s="13">
        <f ca="1">MATCH(StdDisziplinen[[#This Row],[ID]],Resultatmappe!$A$3:$ACN$3,0)</f>
        <v>768</v>
      </c>
      <c r="AZ35" s="13" t="str">
        <f>IF(StdDisziplinen[[#This Row],[Res_Code]]=2,"0"&amp;$AZ$3&amp;"00",IF(StdDisziplinen[[#This Row],[Res_Code]]=1,"0"&amp;$AZ$3&amp;"0","0"))</f>
        <v>0</v>
      </c>
      <c r="BA35" s="70" t="str">
        <f>IF(StdDisziplinen[[#This Row],[Res_Code]]=2,"0"&amp;$AZ$3&amp;"00",IF(StdDisziplinen[[#This Row],[Res_Code]]=1,"0"&amp;$AZ$3&amp;"0","0"))</f>
        <v>0</v>
      </c>
      <c r="BB35" s="70"/>
      <c r="BC35" s="69" t="str">
        <f>IFERROR(REPLACE(StdDisziplinen[[#This Row],[StdTabResRes]],LEN(StdDisziplinen[[#This Row],[StdTabResRes]])-9,8,StdDisziplinen[[#Headers],[BedRes]]),"")</f>
        <v/>
      </c>
      <c r="BD35" s="69" t="str">
        <f>StdDisziplinen[[#This Row],[StdTabResultat]]&amp;"["&amp;$BD$2&amp;"]"</f>
        <v>[Eingabe]</v>
      </c>
      <c r="BE35" s="70">
        <f ca="1">COUNTA(INDIRECT(StdDisziplinen[[#This Row],[StdTabEingabe]]))</f>
        <v>1</v>
      </c>
      <c r="BF35" s="41" t="str">
        <f>REPLACE($BF$31,18,3,"Sek")</f>
        <v>SchwimmenResultatSek[#Kopfzeilen]</v>
      </c>
      <c r="BG35" s="80" t="str">
        <f>REPLACE(StdDisziplinen[[#This Row],[Bereich_Ein_Z]],FIND("[",StdDisziplinen[[#This Row],[Bereich_Ein_Z]],1)+1,LEN($BF$2),SchwimmenResultatSek[[#Headers],[Sek]])</f>
        <v>SchwimmenResultatSek[Sek]</v>
      </c>
      <c r="BH35" s="3" cm="1">
        <f t="array" aca="1" ref="BH35" ca="1">ROW(INDIRECT(StdDisziplinen[[#This Row],[Bereich_Ein_Z]]))+$BH$2</f>
        <v>28</v>
      </c>
      <c r="BI35" s="69">
        <f ca="1">StdDisziplinen[[#This Row],[Bereich_Ein_ZStart]]+$BI$2</f>
        <v>57</v>
      </c>
      <c r="BJ35" s="69" t="str" cm="1">
        <f t="array" aca="1" ref="BJ35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>$ZR$28:$ZR$57</v>
      </c>
      <c r="BK35" s="69" t="str" cm="1">
        <f t="array" aca="1" ref="BK35" ca="1">IFERROR(ADDRESS(ROW(INDIRECT(StdDisziplinen[[#This Row],[StufeMax]])),COLUMN(INDIRECT(StdDisziplinen[[#This Row],[StufeMax]])),1,1,),"")</f>
        <v/>
      </c>
      <c r="BX35" t="str">
        <f>$BX$20&amp;", "&amp;$CA$6&amp;" "&amp;$CB$34</f>
        <v>Punkte, gerundet auf ganze Zahl</v>
      </c>
      <c r="BZ35" t="s">
        <v>447</v>
      </c>
      <c r="CA35" t="str">
        <f>" "&amp;LOWER(LEFT($BZ$18,4))&amp;$BZ$35</f>
        <v xml:space="preserve"> zwei Stellen</v>
      </c>
    </row>
    <row r="36" spans="4:80">
      <c r="D36" s="3" cm="1">
        <f t="array" ref="D36">ROW()-ROW(Schulgemeinden[#Headers])</f>
        <v>18</v>
      </c>
      <c r="E36" t="s">
        <v>248</v>
      </c>
      <c r="F36" t="s">
        <v>215</v>
      </c>
      <c r="G36" s="13">
        <f ca="1">INDEX(INDIRECT($G$15),MATCH(Schulgemeinden[[#This Row],[Kanton]],INDIRECT($F$15),0))</f>
        <v>3</v>
      </c>
      <c r="I36" t="s">
        <v>217</v>
      </c>
      <c r="J36">
        <f>ROW(Diplom_Kantone!C3)</f>
        <v>3</v>
      </c>
      <c r="L36" s="3" cm="1">
        <f t="array" ref="L36">ROW()-ROW(StdDisziplinen[#Headers])</f>
        <v>31</v>
      </c>
      <c r="M36" s="3" t="s">
        <v>295</v>
      </c>
      <c r="S36" s="3"/>
      <c r="U36" s="13"/>
      <c r="AB36" s="3"/>
      <c r="AP36" s="13"/>
      <c r="AT36" t="str">
        <f>IF(StdDisziplinen[[#This Row],[Maximalwert_OS2]]="","",REPLACE($AT$2,6,2,StdDisziplinen[[#This Row],[Maximalwert_OS2]])&amp;StdDisziplinen[[#This Row],[GemStufe]])</f>
        <v/>
      </c>
      <c r="AV36" s="13">
        <v>1</v>
      </c>
      <c r="AW36" s="13"/>
      <c r="AX36" s="13"/>
      <c r="AY36" s="13">
        <v>1</v>
      </c>
      <c r="AZ36" s="13" t="str">
        <f ca="1">IF(StdDisziplinen[[#This Row],[Res_Code]]=2,"0"&amp;$AZ$3&amp;"00",IF(StdDisziplinen[[#This Row],[Res_Code]]=1,"0"&amp;$AZ$3&amp;"0","0"))</f>
        <v>0,0</v>
      </c>
      <c r="BA36" s="13" t="str">
        <f ca="1">IF(StdDisziplinen[[#This Row],[Res_Code]]=2,"0"&amp;$AZ$3&amp;"00",IF(StdDisziplinen[[#This Row],[Res_Code]]=1,"0"&amp;$AZ$3&amp;"0","0"))</f>
        <v>0,0</v>
      </c>
      <c r="BB36" s="70" t="str">
        <f ca="1">"0"&amp;$AZ$3&amp;"0"</f>
        <v>0,0</v>
      </c>
      <c r="BC36" s="69" t="str">
        <f>IFERROR(REPLACE(StdDisziplinen[[#This Row],[StdTabResRes]],LEN(StdDisziplinen[[#This Row],[StdTabResRes]])-9,8,StdDisziplinen[[#Headers],[BedRes]]),"")</f>
        <v/>
      </c>
      <c r="BD36" s="69" t="str">
        <f>StdDisziplinen[[#This Row],[StdTabResultat]]&amp;"["&amp;$BD$2&amp;"]"</f>
        <v>[Eingabe]</v>
      </c>
      <c r="BE36" s="70">
        <f ca="1">COUNTA(INDIRECT(StdDisziplinen[[#This Row],[StdTabEingabe]]))</f>
        <v>1</v>
      </c>
      <c r="BK36" s="69" t="str" cm="1">
        <f t="array" aca="1" ref="BK36" ca="1">IFERROR(ADDRESS(ROW(INDIRECT(StdDisziplinen[[#This Row],[StufeMax]])),COLUMN(INDIRECT(StdDisziplinen[[#This Row],[StufeMax]])),1,1,),"")</f>
        <v/>
      </c>
      <c r="BX36" t="str">
        <f>$BX$20&amp;","&amp;$CB$6&amp;$CB$34</f>
        <v>Punkte, abgerundet auf ganze Zahl</v>
      </c>
    </row>
    <row r="37" spans="4:80">
      <c r="D37" s="3" cm="1">
        <f t="array" ref="D37">ROW()-ROW(Schulgemeinden[#Headers])</f>
        <v>19</v>
      </c>
      <c r="E37" t="s">
        <v>241</v>
      </c>
      <c r="F37" t="s">
        <v>215</v>
      </c>
      <c r="G37" s="13">
        <f ca="1">INDEX(INDIRECT($G$15),MATCH(Schulgemeinden[[#This Row],[Kanton]],INDIRECT($F$15),0))</f>
        <v>3</v>
      </c>
      <c r="I37" t="s">
        <v>227</v>
      </c>
      <c r="J37">
        <v>4</v>
      </c>
      <c r="L37" s="3" cm="1">
        <f t="array" ref="L37">ROW()-ROW(StdDisziplinen[#Headers])</f>
        <v>32</v>
      </c>
      <c r="M37" s="3" t="s">
        <v>296</v>
      </c>
      <c r="S37" s="3"/>
      <c r="U37" s="13"/>
      <c r="AB37" s="3"/>
      <c r="AP37" s="13"/>
      <c r="AT37" t="str">
        <f>IF(StdDisziplinen[[#This Row],[Maximalwert_OS2]]="","",REPLACE($AT$2,6,2,StdDisziplinen[[#This Row],[Maximalwert_OS2]])&amp;StdDisziplinen[[#This Row],[GemStufe]])</f>
        <v/>
      </c>
      <c r="AV37" s="13">
        <v>1</v>
      </c>
      <c r="AW37" s="13"/>
      <c r="AX37" s="13"/>
      <c r="AY37" s="13">
        <v>1</v>
      </c>
      <c r="AZ37" s="13" t="str">
        <f ca="1">IF(StdDisziplinen[[#This Row],[Res_Code]]=2,"0"&amp;$AZ$3&amp;"00",IF(StdDisziplinen[[#This Row],[Res_Code]]=1,"0"&amp;$AZ$3&amp;"0","0"))</f>
        <v>0,0</v>
      </c>
      <c r="BA37" s="13" t="str">
        <f ca="1">IF(StdDisziplinen[[#This Row],[Res_Code]]=2,"0"&amp;$AZ$3&amp;"00",IF(StdDisziplinen[[#This Row],[Res_Code]]=1,"0"&amp;$AZ$3&amp;"0","0"))</f>
        <v>0,0</v>
      </c>
      <c r="BB37" s="70" t="str">
        <f ca="1">"0"&amp;$AZ$3&amp;"0"</f>
        <v>0,0</v>
      </c>
      <c r="BC37" s="3" t="str">
        <f>IFERROR(REPLACE(StdDisziplinen[[#This Row],[StdTabResRes]],LEN(StdDisziplinen[[#This Row],[StdTabResRes]])-9,8,StdDisziplinen[[#Headers],[BedRes]]),"")</f>
        <v/>
      </c>
      <c r="BD37" s="3" t="str">
        <f>StdDisziplinen[[#This Row],[StdTabResultat]]&amp;"["&amp;$BD$2&amp;"]"</f>
        <v>[Eingabe]</v>
      </c>
      <c r="BE37" s="13">
        <f ca="1">COUNTA(INDIRECT(StdDisziplinen[[#This Row],[StdTabEingabe]]))</f>
        <v>1</v>
      </c>
      <c r="BJ37" s="69" t="str" cm="1">
        <f t="array" aca="1" ref="BJ37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/>
      </c>
      <c r="BK37" s="3" t="str" cm="1">
        <f t="array" aca="1" ref="BK37" ca="1">IFERROR(ADDRESS(ROW(INDIRECT(StdDisziplinen[[#This Row],[StufeMax]])),COLUMN(INDIRECT(StdDisziplinen[[#This Row],[StufeMax]])),1,1,),"")</f>
        <v/>
      </c>
      <c r="BX37" t="str">
        <f>$BX$20&amp;","&amp;$CC$6&amp;$CA$34&amp;"oder "&amp;$CA$29&amp;$BX$20</f>
        <v>Punkte, aufgerundet auf ganze oder halbe Punkte</v>
      </c>
    </row>
    <row r="38" spans="4:80">
      <c r="D38" s="3" cm="1">
        <f t="array" ref="D38">ROW()-ROW(Schulgemeinden[#Headers])</f>
        <v>20</v>
      </c>
      <c r="E38" t="s">
        <v>244</v>
      </c>
      <c r="F38" t="s">
        <v>215</v>
      </c>
      <c r="G38" s="13">
        <f ca="1">INDEX(INDIRECT($G$15),MATCH(Schulgemeinden[[#This Row],[Kanton]],INDIRECT($F$15),0))</f>
        <v>3</v>
      </c>
      <c r="L38" s="3" cm="1">
        <f t="array" ref="L38">ROW()-ROW(StdDisziplinen[#Headers])</f>
        <v>33</v>
      </c>
      <c r="M38" s="3" t="s">
        <v>297</v>
      </c>
      <c r="S38" s="3"/>
      <c r="U38" s="13"/>
      <c r="AB38" s="3"/>
      <c r="AP38" s="13"/>
      <c r="AT38" t="str">
        <f>IF(StdDisziplinen[[#This Row],[Maximalwert_OS2]]="","",REPLACE($AT$2,6,2,StdDisziplinen[[#This Row],[Maximalwert_OS2]])&amp;StdDisziplinen[[#This Row],[GemStufe]])</f>
        <v/>
      </c>
      <c r="AV38" s="13">
        <v>1</v>
      </c>
      <c r="AW38" s="13"/>
      <c r="AX38" s="13"/>
      <c r="AY38" s="13" t="s">
        <v>385</v>
      </c>
      <c r="AZ38" s="13" t="str">
        <f ca="1">IF(StdDisziplinen[[#This Row],[Res_Code]]=2,"0"&amp;$AZ$3&amp;"00",IF(StdDisziplinen[[#This Row],[Res_Code]]=1,"0"&amp;$AZ$3&amp;"0","0"))</f>
        <v>0,0</v>
      </c>
      <c r="BA38" s="74" t="s">
        <v>385</v>
      </c>
      <c r="BB38" s="74" t="str">
        <f ca="1">"0"&amp;$AZ$3&amp;"00"</f>
        <v>0,00</v>
      </c>
      <c r="BC38" s="3" t="str">
        <f>IFERROR(REPLACE(StdDisziplinen[[#This Row],[StdTabResRes]],LEN(StdDisziplinen[[#This Row],[StdTabResRes]])-9,8,StdDisziplinen[[#Headers],[BedRes]]),"")</f>
        <v/>
      </c>
      <c r="BD38" s="3" t="str">
        <f>StdDisziplinen[[#This Row],[StdTabResultat]]&amp;"["&amp;$BD$2&amp;"]"</f>
        <v>[Eingabe]</v>
      </c>
      <c r="BE38" s="13">
        <f ca="1">COUNTA(INDIRECT(StdDisziplinen[[#This Row],[StdTabEingabe]]))</f>
        <v>1</v>
      </c>
      <c r="BJ38" t="str" cm="1">
        <f t="array" aca="1" ref="BJ38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/>
      </c>
      <c r="BK38" s="3" t="str" cm="1">
        <f t="array" aca="1" ref="BK38" ca="1">IFERROR(ADDRESS(ROW(INDIRECT(StdDisziplinen[[#This Row],[StufeMax]])),COLUMN(INDIRECT(StdDisziplinen[[#This Row],[StufeMax]])),1,1,),"")</f>
        <v/>
      </c>
      <c r="BX38" t="str">
        <f>$BX$20&amp;", "&amp;$CA$6&amp;" "&amp;$CA$34&amp;$BX$20</f>
        <v>Punkte, gerundet auf ganze Punkte</v>
      </c>
    </row>
    <row r="39" spans="4:80">
      <c r="D39" s="3" cm="1">
        <f t="array" ref="D39">ROW()-ROW(Schulgemeinden[#Headers])</f>
        <v>21</v>
      </c>
      <c r="E39" t="s">
        <v>242</v>
      </c>
      <c r="F39" t="s">
        <v>215</v>
      </c>
      <c r="G39" s="13">
        <f ca="1">INDEX(INDIRECT($G$15),MATCH(Schulgemeinden[[#This Row],[Kanton]],INDIRECT($F$15),0))</f>
        <v>3</v>
      </c>
      <c r="L39" s="3" cm="1">
        <f t="array" ref="L39">ROW()-ROW(StdDisziplinen[#Headers])</f>
        <v>34</v>
      </c>
      <c r="M39" t="s">
        <v>298</v>
      </c>
      <c r="S39" s="3"/>
      <c r="U39" s="13"/>
      <c r="AB39" s="3"/>
      <c r="AP39" s="13"/>
      <c r="AT39" t="str">
        <f>IF(StdDisziplinen[[#This Row],[Maximalwert_OS2]]="","",REPLACE($AT$2,6,2,StdDisziplinen[[#This Row],[Maximalwert_OS2]])&amp;StdDisziplinen[[#This Row],[GemStufe]])</f>
        <v/>
      </c>
      <c r="AV39" s="13">
        <v>1</v>
      </c>
      <c r="AW39" s="13"/>
      <c r="AX39" s="13"/>
      <c r="AY39" s="13">
        <v>1</v>
      </c>
      <c r="AZ39" s="13" t="str">
        <f ca="1">IF(StdDisziplinen[[#This Row],[Res_Code]]=2,"0"&amp;$AZ$3&amp;"00",IF(StdDisziplinen[[#This Row],[Res_Code]]=1,"0"&amp;$AZ$3&amp;"0","0"))</f>
        <v>0,0</v>
      </c>
      <c r="BA39" s="13" t="str">
        <f ca="1">IF(StdDisziplinen[[#This Row],[Res_Code]]=2,"0"&amp;$AZ$3&amp;"00",IF(StdDisziplinen[[#This Row],[Res_Code]]=1,"0"&amp;$AZ$3&amp;"0","0"))</f>
        <v>0,0</v>
      </c>
      <c r="BB39" s="70" t="str">
        <f ca="1">"0"&amp;$AZ$3&amp;"0"</f>
        <v>0,0</v>
      </c>
      <c r="BC39" s="3" t="str">
        <f>IFERROR(REPLACE(StdDisziplinen[[#This Row],[StdTabResRes]],LEN(StdDisziplinen[[#This Row],[StdTabResRes]])-9,8,StdDisziplinen[[#Headers],[BedRes]]),"")</f>
        <v/>
      </c>
      <c r="BD39" s="3" t="str">
        <f>StdDisziplinen[[#This Row],[StdTabResultat]]&amp;"["&amp;$BD$2&amp;"]"</f>
        <v>[Eingabe]</v>
      </c>
      <c r="BE39" s="13">
        <f ca="1">COUNTA(INDIRECT(StdDisziplinen[[#This Row],[StdTabEingabe]]))</f>
        <v>1</v>
      </c>
      <c r="BJ39" t="str" cm="1">
        <f t="array" aca="1" ref="BJ39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/>
      </c>
      <c r="BK39" s="3" t="str" cm="1">
        <f t="array" aca="1" ref="BK39" ca="1">IFERROR(ADDRESS(ROW(INDIRECT(StdDisziplinen[[#This Row],[StufeMax]])),COLUMN(INDIRECT(StdDisziplinen[[#This Row],[StufeMax]])),1,1,),"")</f>
        <v/>
      </c>
      <c r="BX39" t="str">
        <f>$BZ$33&amp;" und "&amp;$BU$18&amp;", jeweils "&amp;$CB$34</f>
        <v>Minuten und Sekunden, jeweils ganze Zahl</v>
      </c>
    </row>
    <row r="40" spans="4:80">
      <c r="D40" s="3" cm="1">
        <f t="array" ref="D40">ROW()-ROW(Schulgemeinden[#Headers])</f>
        <v>22</v>
      </c>
      <c r="E40" t="s">
        <v>250</v>
      </c>
      <c r="F40" t="s">
        <v>215</v>
      </c>
      <c r="G40" s="13">
        <f ca="1">INDEX(INDIRECT($G$15),MATCH(Schulgemeinden[[#This Row],[Kanton]],INDIRECT($F$15),0))</f>
        <v>3</v>
      </c>
      <c r="L40" s="3" cm="1">
        <f t="array" ref="L40">ROW()-ROW(StdDisziplinen[#Headers])</f>
        <v>35</v>
      </c>
      <c r="S40" s="3"/>
      <c r="U40" s="13"/>
      <c r="AB40" s="3"/>
      <c r="AI40" t="str">
        <f>IFERROR(INDEX(StdBewertungen[Anzeigetext],MATCH(StdDisziplinen[[#This Row],[Bewertung]],StdBewertungen[StdBewertung],0)),"")</f>
        <v/>
      </c>
      <c r="AM40" t="str">
        <f>IF(OR(StdDisziplinen[[#This Row],[Maximalwert_OS1]]&lt;&gt;"",StdDisziplinen[[#This Row],[Maximalwert_OS2]]&lt;&gt;""),$AM$2,"")</f>
        <v/>
      </c>
      <c r="AP40" s="13"/>
      <c r="AT40" t="str">
        <f>IF(StdDisziplinen[[#This Row],[Maximalwert_OS2]]="","",REPLACE($AT$2,6,2,StdDisziplinen[[#This Row],[Maximalwert_OS2]])&amp;StdDisziplinen[[#This Row],[GemStufe]])</f>
        <v/>
      </c>
      <c r="AY40" s="13" t="s">
        <v>385</v>
      </c>
      <c r="AZ40" s="13" t="str">
        <f>IF(StdDisziplinen[[#This Row],[Res_Code]]=2,"0"&amp;$AZ$3&amp;"00",IF(StdDisziplinen[[#This Row],[Res_Code]]=1,"0"&amp;$AZ$3&amp;"0","0"))</f>
        <v>0</v>
      </c>
      <c r="BA40" s="13" t="str">
        <f>IF(StdDisziplinen[[#This Row],[Res_Code]]=2,"0"&amp;$AZ$3&amp;"00",IF(StdDisziplinen[[#This Row],[Res_Code]]=1,"0"&amp;$AZ$3&amp;"0","0"))</f>
        <v>0</v>
      </c>
      <c r="BB40" s="13"/>
      <c r="BC40" s="3" t="str">
        <f>IFERROR(REPLACE(StdDisziplinen[[#This Row],[StdTabResRes]],LEN(StdDisziplinen[[#This Row],[StdTabResRes]])-9,8,StdDisziplinen[[#Headers],[BedRes]]),"")</f>
        <v/>
      </c>
      <c r="BD40" s="3" t="str">
        <f>StdDisziplinen[[#This Row],[StdTabResultat]]&amp;"["&amp;$BD$2&amp;"]"</f>
        <v>[Eingabe]</v>
      </c>
      <c r="BE40" s="13">
        <f ca="1">COUNTA(INDIRECT(StdDisziplinen[[#This Row],[StdTabEingabe]]))</f>
        <v>1</v>
      </c>
      <c r="BJ40" t="str" cm="1">
        <f t="array" aca="1" ref="BJ40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/>
      </c>
      <c r="BK40" s="3" t="str" cm="1">
        <f t="array" aca="1" ref="BK40" ca="1">IFERROR(ADDRESS(ROW(INDIRECT(StdDisziplinen[[#This Row],[StufeMax]])),COLUMN(INDIRECT(StdDisziplinen[[#This Row],[StufeMax]])),1,1,),"")</f>
        <v/>
      </c>
    </row>
    <row r="41" spans="4:80">
      <c r="D41" s="3" cm="1">
        <f t="array" ref="D41">ROW()-ROW(Schulgemeinden[#Headers])</f>
        <v>23</v>
      </c>
      <c r="E41" t="s">
        <v>249</v>
      </c>
      <c r="F41" t="s">
        <v>215</v>
      </c>
      <c r="G41" s="13">
        <f ca="1">INDEX(INDIRECT($G$15),MATCH(Schulgemeinden[[#This Row],[Kanton]],INDIRECT($F$15),0))</f>
        <v>3</v>
      </c>
      <c r="L41" s="3" cm="1">
        <f t="array" ref="L41">ROW()-ROW(StdDisziplinen[#Headers])</f>
        <v>36</v>
      </c>
      <c r="O41" s="3" t="s">
        <v>6</v>
      </c>
      <c r="R41" s="41" t="str">
        <f>StdDisziplinen[[#This Row],[Gruppe]]</f>
        <v>Geräteturnen</v>
      </c>
      <c r="S41" t="str">
        <f>StdDisziplinen[[#This Row],[StdDisziplin]]</f>
        <v>Geräteturnen</v>
      </c>
      <c r="T41" t="str">
        <f>LEFT(S41,4)</f>
        <v>Gerä</v>
      </c>
      <c r="U41" s="13">
        <f>LEN(StdDisziplinen[[#This Row],[StdTabÜberschrift]])+$U$3</f>
        <v>14</v>
      </c>
      <c r="V41" t="str">
        <f>StdDisziplinen[[#This Row],[StdTabÜberschrift]]&amp;$V$2</f>
        <v>GeräteturnenResultat</v>
      </c>
      <c r="W41" t="str">
        <f>StdDisziplinen[[#This Row],[StdTabResultat]]&amp;$W$3</f>
        <v>GeräteturnenResultat[@[Eingabe]]</v>
      </c>
      <c r="X41" t="str">
        <f>StdDisziplinen[[#This Row],[StdTabResultat]]&amp;$X$3</f>
        <v>GeräteturnenResultat[@[Resultat]]</v>
      </c>
      <c r="Y41" t="str">
        <f>StdDisziplinen[[#This Row],[StdTabÜberschrift]]&amp;$Y$2</f>
        <v>GeräteturnenGerundet</v>
      </c>
      <c r="Z41" t="str">
        <f>StdDisziplinen[[#This Row],[StdTabGerundet]]&amp;$Z$3</f>
        <v>GeräteturnenGerundet[@[Rundung]]</v>
      </c>
      <c r="AA41" t="str">
        <f>StdDisziplinen[[#This Row],[StdTabÜberschrift]]&amp;$AA$3&amp;$AA$2</f>
        <v>Geräteturnen_X[Resultat]</v>
      </c>
      <c r="AB41" s="3" t="str">
        <f>StdDisziplinen[[#This Row],[StdTabÜberschrift]]&amp;$AB$2&amp;$AB$3</f>
        <v>GeräteturnenSkalawert[@[Skala-Wert]]</v>
      </c>
      <c r="AC41" t="str">
        <f>StdDisziplinen[[#This Row],[StdTabÜberschrift]]&amp;$AC$3&amp;"["&amp;StdDisziplinen[[#This Row],[Ergebnis]]&amp;"]"</f>
        <v>Geräteturnen_X[Note]</v>
      </c>
      <c r="AD41" t="str">
        <f>StdDisziplinen[[#This Row],[StdTabÜberschrift]]&amp;StdDisziplinen[[#This Row],[Ergebnis]]&amp;"[@["&amp;StdDisziplinen[[#This Row],[Ergebnis]]&amp;"]]"</f>
        <v>GeräteturnenNote[@[Note]]</v>
      </c>
      <c r="AE41" t="str">
        <f>StdDisziplinen[[#This Row],[StdTabResultat]]&amp;$AE$2</f>
        <v>GeräteturnenResultat[Resultat]</v>
      </c>
      <c r="AJ41" t="s">
        <v>7</v>
      </c>
      <c r="AK41">
        <f ca="1">MAX(INDIRECT(CONCATENATE(StdDisziplinen[[#This Row],[StdTabÜberschrift]],"_M1")))</f>
        <v>56</v>
      </c>
      <c r="AL41">
        <f ca="1">MAX(INDIRECT(CONCATENATE(StdDisziplinen[[#This Row],[StdTabÜberschrift]],"_M2")))</f>
        <v>56</v>
      </c>
      <c r="AM41" t="str">
        <f ca="1">IF(OR(StdDisziplinen[[#This Row],[Maximalwert_OS1]]&lt;&gt;"",StdDisziplinen[[#This Row],[Maximalwert_OS2]]&lt;&gt;""),$AM$2,"")</f>
        <v xml:space="preserve">Maximalwert: </v>
      </c>
      <c r="AN41">
        <v>1</v>
      </c>
      <c r="AO41">
        <v>1</v>
      </c>
      <c r="AP41" s="13"/>
      <c r="AR41" t="str">
        <f>$AR$2&amp;StdDisziplinen[[#This Row],[StdTabMax]]</f>
        <v>_Stufe_Gerä</v>
      </c>
      <c r="AS41" t="str">
        <f ca="1">IF(StdDisziplinen[[#This Row],[Maximalwert_OS1]]="","",REPLACE($AS$2,6,2,StdDisziplinen[[#This Row],[Maximalwert_OS1]])&amp;StdDisziplinen[[#This Row],[GemStufe]])</f>
        <v>max. 56 Punkte</v>
      </c>
      <c r="AT41" t="str">
        <f ca="1">IF(StdDisziplinen[[#This Row],[Maximalwert_OS2]]="","",REPLACE($AT$2,6,2,StdDisziplinen[[#This Row],[Maximalwert_OS2]])&amp;StdDisziplinen[[#This Row],[GemStufe]])</f>
        <v>max. 56 Punkte</v>
      </c>
      <c r="AV41" s="13">
        <v>1</v>
      </c>
      <c r="AW41" s="13">
        <f>StdDisziplinen[[#This Row],[Res_Code]]</f>
        <v>1</v>
      </c>
      <c r="AX41" s="13">
        <v>0</v>
      </c>
      <c r="AY41" s="13">
        <v>1</v>
      </c>
      <c r="AZ41" s="13" t="str">
        <f ca="1">IF(StdDisziplinen[[#This Row],[Res_Code]]=2,"0"&amp;$AZ$3&amp;"00",IF(StdDisziplinen[[#This Row],[Res_Code]]=1,"0"&amp;$AZ$3&amp;"0","0"))</f>
        <v>0,0</v>
      </c>
      <c r="BA41" s="13" t="str">
        <f ca="1">IF(StdDisziplinen[[#This Row],[Res_Code]]=2,"0"&amp;$AZ$3&amp;"00",IF(StdDisziplinen[[#This Row],[Res_Code]]=1,"0"&amp;$AZ$3&amp;"0","0"))</f>
        <v>0,0</v>
      </c>
      <c r="BB41" s="70"/>
      <c r="BC41" s="3" t="str">
        <f>IFERROR(REPLACE(StdDisziplinen[[#This Row],[StdTabResRes]],LEN(StdDisziplinen[[#This Row],[StdTabResRes]])-9,8,StdDisziplinen[[#Headers],[BedRes]]),"")</f>
        <v>GeräteturnenResultat[@[BedRes]]</v>
      </c>
      <c r="BD41" s="3" t="str">
        <f>StdDisziplinen[[#This Row],[StdTabResultat]]&amp;"["&amp;$BD$2&amp;"]"</f>
        <v>GeräteturnenResultat[Eingabe]</v>
      </c>
      <c r="BE41" s="13">
        <f ca="1">COUNTA(INDIRECT(StdDisziplinen[[#This Row],[StdTabEingabe]]))</f>
        <v>1</v>
      </c>
      <c r="BJ41" t="str" cm="1">
        <f t="array" aca="1" ref="BJ41" ca="1">IFERROR(ADDRESS(StdDisziplinen[[#This Row],[Bereich_Ein_ZStart]],COLUMN(INDIRECT(StdDisziplinen[[#This Row],[Bereich_Ein_S]])),1,1,)&amp;":"&amp;ADDRESS(StdDisziplinen[[#This Row],[Bereich_Ein_ZEnde]],COLUMN(INDIRECT(StdDisziplinen[[#This Row],[Bereich_Ein_S]])),1,1,),"")</f>
        <v/>
      </c>
      <c r="BK41" s="3" t="str" cm="1">
        <f t="array" aca="1" ref="BK41" ca="1">IFERROR(ADDRESS(ROW(INDIRECT(StdDisziplinen[[#This Row],[StufeMax]])),COLUMN(INDIRECT(StdDisziplinen[[#This Row],[StufeMax]])),1,1,),"")</f>
        <v/>
      </c>
    </row>
    <row r="42" spans="4:80">
      <c r="D42" s="3" cm="1">
        <f t="array" ref="D42">ROW()-ROW(Schulgemeinden[#Headers])</f>
        <v>24</v>
      </c>
      <c r="E42" t="s">
        <v>246</v>
      </c>
      <c r="F42" t="s">
        <v>215</v>
      </c>
      <c r="G42" s="13">
        <f ca="1">INDEX(INDIRECT($G$15),MATCH(Schulgemeinden[[#This Row],[Kanton]],INDIRECT($F$15),0))</f>
        <v>3</v>
      </c>
    </row>
    <row r="43" spans="4:80">
      <c r="D43" s="3" cm="1">
        <f t="array" ref="D43">ROW()-ROW(Schulgemeinden[#Headers])</f>
        <v>25</v>
      </c>
      <c r="E43" t="s">
        <v>251</v>
      </c>
      <c r="F43" t="s">
        <v>215</v>
      </c>
      <c r="G43" s="13">
        <f ca="1">INDEX(INDIRECT($G$15),MATCH(Schulgemeinden[[#This Row],[Kanton]],INDIRECT($F$15),0))</f>
        <v>3</v>
      </c>
      <c r="BJ43" t="str">
        <f ca="1">_xlfn.TEXTJOIN(";",TRUE,INDIRECT($BJ$4))</f>
        <v>$G$28:$G$57;$S$28:$S$57;$AE$28:$AE$57;$AQ$28:$AQ$57;$BC$28:$BC$57;$BO$28:$BO$57;$CA$28:$CA$57;$CM$28:$CM$57;$CY$28:$CY$57;$HP$28:$HP$57;$HY$28:$HY$57;$IH$28:$IH$57;$IQ$28:$IQ$57;$IZ$28:$IZ$57;$JI$28:$JI$57;$NG$28:$NG$57;$PC$28:$PC$57;$PO$28:$PO$57;$QB$28:$QB$57;$RN$28:$RN$57;$RZ$28:$RZ$57;$SL$28:$SL$57;$SX$28:$SX$57;$TJ$28:$TJ$57;$ZK$28:$ZK$57;$ZM$28:$ZM$57;$AAR$28:$AAR$57;$ABD$28:$ABD$57;$ACB$28:$ACB$57;$ZR$28:$ZR$57</v>
      </c>
    </row>
    <row r="44" spans="4:80">
      <c r="D44" s="3" cm="1">
        <f t="array" ref="D44">ROW()-ROW(Schulgemeinden[#Headers])</f>
        <v>26</v>
      </c>
      <c r="E44" t="s">
        <v>254</v>
      </c>
      <c r="F44" t="s">
        <v>215</v>
      </c>
      <c r="G44" s="13">
        <f ca="1">INDEX(INDIRECT($G$15),MATCH(Schulgemeinden[[#This Row],[Kanton]],INDIRECT($F$15),0))</f>
        <v>3</v>
      </c>
    </row>
    <row r="45" spans="4:80">
      <c r="D45" s="3" cm="1">
        <f t="array" ref="D45">ROW()-ROW(Schulgemeinden[#Headers])</f>
        <v>27</v>
      </c>
      <c r="E45" t="s">
        <v>245</v>
      </c>
      <c r="F45" t="s">
        <v>215</v>
      </c>
      <c r="G45" s="13">
        <f ca="1">INDEX(INDIRECT($G$15),MATCH(Schulgemeinden[[#This Row],[Kanton]],INDIRECT($F$15),0))</f>
        <v>3</v>
      </c>
      <c r="BK45" s="86" t="str">
        <f ca="1">_xlfn.TEXTJOIN(";",TRUE,INDIRECT($BK$4))</f>
        <v>$G$25;$S$25;$AE$25;$AQ$25;$BC$25;$BO$25;$CA$25;$CM$25;$CY$25;$HP$25;$HY$25;$IH$25;$IQ$25;$IZ$25;$JI$25;$NG$25;$PC$25;$PO$25;$QB$25;$RN$25;$RZ$25;$SL$25;$SX$25;$TJ$25;$ZK$25;$ZM$25;$AAR$25;$ABD$25;$ACB$25</v>
      </c>
    </row>
    <row r="46" spans="4:80">
      <c r="D46" s="3" cm="1">
        <f t="array" ref="D46">ROW()-ROW(Schulgemeinden[#Headers])</f>
        <v>28</v>
      </c>
      <c r="E46" t="s">
        <v>255</v>
      </c>
      <c r="F46" t="s">
        <v>215</v>
      </c>
      <c r="G46" s="13">
        <f ca="1">INDEX(INDIRECT($G$15),MATCH(Schulgemeinden[[#This Row],[Kanton]],INDIRECT($F$15),0))</f>
        <v>3</v>
      </c>
    </row>
    <row r="47" spans="4:80">
      <c r="D47" s="3" cm="1">
        <f t="array" ref="D47">ROW()-ROW(Schulgemeinden[#Headers])</f>
        <v>29</v>
      </c>
      <c r="E47" t="s">
        <v>215</v>
      </c>
      <c r="F47" t="s">
        <v>215</v>
      </c>
      <c r="G47" s="13">
        <f ca="1">INDEX(INDIRECT($G$15),MATCH(Schulgemeinden[[#This Row],[Kanton]],INDIRECT($F$15),0))</f>
        <v>3</v>
      </c>
    </row>
    <row r="48" spans="4:80">
      <c r="D48" s="3" cm="1">
        <f t="array" ref="D48">ROW()-ROW(Schulgemeinden[#Headers])</f>
        <v>30</v>
      </c>
      <c r="E48" t="s">
        <v>247</v>
      </c>
      <c r="F48" t="s">
        <v>215</v>
      </c>
      <c r="G48" s="13">
        <f ca="1">INDEX(INDIRECT($G$15),MATCH(Schulgemeinden[[#This Row],[Kanton]],INDIRECT($F$15),0))</f>
        <v>3</v>
      </c>
      <c r="BK48" s="86" t="str">
        <f ca="1">_xlfn.TEXTJOIN(";",TRUE,$BR$33,$BK$45)</f>
        <v>$C$17:$C$21;$E$17:$E$17;Resultatmappe!$B$28:$C$57;$ZH$27:$ZH$57;$E$28:$E$57;$G$25;$S$25;$AE$25;$AQ$25;$BC$25;$BO$25;$CA$25;$CM$25;$CY$25;$HP$25;$HY$25;$IH$25;$IQ$25;$IZ$25;$JI$25;$NG$25;$PC$25;$PO$25;$QB$25;$RN$25;$RZ$25;$SL$25;$SX$25;$TJ$25;$ZK$25;$ZM$25;$AAR$25;$ABD$25;$ACB$25</v>
      </c>
    </row>
    <row r="49" spans="4:7">
      <c r="D49" s="3" cm="1">
        <f t="array" ref="D49">ROW()-ROW(Schulgemeinden[#Headers])</f>
        <v>31</v>
      </c>
      <c r="E49" t="s">
        <v>252</v>
      </c>
      <c r="F49" t="s">
        <v>215</v>
      </c>
      <c r="G49" s="13">
        <f ca="1">INDEX(INDIRECT($G$15),MATCH(Schulgemeinden[[#This Row],[Kanton]],INDIRECT($F$15),0))</f>
        <v>3</v>
      </c>
    </row>
    <row r="50" spans="4:7">
      <c r="D50" s="3" cm="1">
        <f t="array" ref="D50">ROW()-ROW(Schulgemeinden[#Headers])</f>
        <v>32</v>
      </c>
      <c r="E50" t="s">
        <v>253</v>
      </c>
      <c r="F50" t="s">
        <v>215</v>
      </c>
      <c r="G50" s="13">
        <f ca="1">INDEX(INDIRECT($G$15),MATCH(Schulgemeinden[[#This Row],[Kanton]],INDIRECT($F$15),0))</f>
        <v>3</v>
      </c>
    </row>
    <row r="51" spans="4:7">
      <c r="D51" s="3" cm="1">
        <f t="array" ref="D51">ROW()-ROW(Schulgemeinden[#Headers])</f>
        <v>33</v>
      </c>
      <c r="E51" t="s">
        <v>243</v>
      </c>
      <c r="F51" t="s">
        <v>215</v>
      </c>
      <c r="G51" s="13">
        <f ca="1">INDEX(INDIRECT($G$15),MATCH(Schulgemeinden[[#This Row],[Kanton]],INDIRECT($F$15),0))</f>
        <v>3</v>
      </c>
    </row>
    <row r="52" spans="4:7">
      <c r="D52" s="3" cm="1">
        <f t="array" ref="D52">ROW()-ROW(Schulgemeinden[#Headers])</f>
        <v>34</v>
      </c>
      <c r="E52" t="s">
        <v>272</v>
      </c>
      <c r="F52" t="s">
        <v>216</v>
      </c>
      <c r="G52" s="13">
        <f ca="1">INDEX(INDIRECT($G$15),MATCH(Schulgemeinden[[#This Row],[Kanton]],INDIRECT($F$15),0))</f>
        <v>4</v>
      </c>
    </row>
    <row r="53" spans="4:7">
      <c r="D53" s="3" cm="1">
        <f t="array" ref="D53">ROW()-ROW(Schulgemeinden[#Headers])</f>
        <v>35</v>
      </c>
      <c r="E53" t="s">
        <v>278</v>
      </c>
      <c r="F53" t="s">
        <v>216</v>
      </c>
      <c r="G53" s="13">
        <f ca="1">INDEX(INDIRECT($G$15),MATCH(Schulgemeinden[[#This Row],[Kanton]],INDIRECT($F$15),0))</f>
        <v>4</v>
      </c>
    </row>
    <row r="54" spans="4:7">
      <c r="D54" s="3" cm="1">
        <f t="array" ref="D54">ROW()-ROW(Schulgemeinden[#Headers])</f>
        <v>36</v>
      </c>
      <c r="E54" t="s">
        <v>273</v>
      </c>
      <c r="F54" t="s">
        <v>216</v>
      </c>
      <c r="G54" s="13">
        <f ca="1">INDEX(INDIRECT($G$15),MATCH(Schulgemeinden[[#This Row],[Kanton]],INDIRECT($F$15),0))</f>
        <v>4</v>
      </c>
    </row>
    <row r="55" spans="4:7">
      <c r="D55" s="3" cm="1">
        <f t="array" ref="D55">ROW()-ROW(Schulgemeinden[#Headers])</f>
        <v>37</v>
      </c>
      <c r="E55" t="s">
        <v>274</v>
      </c>
      <c r="F55" t="s">
        <v>216</v>
      </c>
      <c r="G55" s="13">
        <f ca="1">INDEX(INDIRECT($G$15),MATCH(Schulgemeinden[[#This Row],[Kanton]],INDIRECT($F$15),0))</f>
        <v>4</v>
      </c>
    </row>
    <row r="56" spans="4:7">
      <c r="D56" s="3" cm="1">
        <f t="array" ref="D56">ROW()-ROW(Schulgemeinden[#Headers])</f>
        <v>38</v>
      </c>
      <c r="E56" t="s">
        <v>275</v>
      </c>
      <c r="F56" t="s">
        <v>216</v>
      </c>
      <c r="G56" s="13">
        <f ca="1">INDEX(INDIRECT($G$15),MATCH(Schulgemeinden[[#This Row],[Kanton]],INDIRECT($F$15),0))</f>
        <v>4</v>
      </c>
    </row>
    <row r="57" spans="4:7">
      <c r="D57" s="3" cm="1">
        <f t="array" ref="D57">ROW()-ROW(Schulgemeinden[#Headers])</f>
        <v>39</v>
      </c>
      <c r="E57" t="s">
        <v>277</v>
      </c>
      <c r="F57" t="s">
        <v>216</v>
      </c>
      <c r="G57" s="13">
        <f ca="1">INDEX(INDIRECT($G$15),MATCH(Schulgemeinden[[#This Row],[Kanton]],INDIRECT($F$15),0))</f>
        <v>4</v>
      </c>
    </row>
    <row r="58" spans="4:7">
      <c r="D58" s="3" cm="1">
        <f t="array" ref="D58">ROW()-ROW(Schulgemeinden[#Headers])</f>
        <v>40</v>
      </c>
      <c r="E58" t="s">
        <v>279</v>
      </c>
      <c r="F58" t="s">
        <v>216</v>
      </c>
      <c r="G58" s="13">
        <f ca="1">INDEX(INDIRECT($G$15),MATCH(Schulgemeinden[[#This Row],[Kanton]],INDIRECT($F$15),0))</f>
        <v>4</v>
      </c>
    </row>
    <row r="59" spans="4:7">
      <c r="D59" s="3" cm="1">
        <f t="array" ref="D59">ROW()-ROW(Schulgemeinden[#Headers])</f>
        <v>41</v>
      </c>
      <c r="E59" t="s">
        <v>276</v>
      </c>
      <c r="F59" t="s">
        <v>216</v>
      </c>
      <c r="G59" s="13">
        <f ca="1">INDEX(INDIRECT($G$15),MATCH(Schulgemeinden[[#This Row],[Kanton]],INDIRECT($F$15),0))</f>
        <v>4</v>
      </c>
    </row>
    <row r="60" spans="4:7">
      <c r="D60" s="3" cm="1">
        <f t="array" ref="D60">ROW()-ROW(Schulgemeinden[#Headers])</f>
        <v>42</v>
      </c>
      <c r="E60" t="s">
        <v>281</v>
      </c>
      <c r="F60" t="s">
        <v>216</v>
      </c>
      <c r="G60" s="13">
        <f ca="1">INDEX(INDIRECT($G$15),MATCH(Schulgemeinden[[#This Row],[Kanton]],INDIRECT($F$15),0))</f>
        <v>4</v>
      </c>
    </row>
    <row r="61" spans="4:7">
      <c r="D61" s="3" cm="1">
        <f t="array" ref="D61">ROW()-ROW(Schulgemeinden[#Headers])</f>
        <v>43</v>
      </c>
      <c r="E61" t="s">
        <v>280</v>
      </c>
      <c r="F61" t="s">
        <v>216</v>
      </c>
      <c r="G61" s="13">
        <f ca="1">INDEX(INDIRECT($G$15),MATCH(Schulgemeinden[[#This Row],[Kanton]],INDIRECT($F$15),0))</f>
        <v>4</v>
      </c>
    </row>
  </sheetData>
  <phoneticPr fontId="56" type="noConversion"/>
  <conditionalFormatting sqref="DU1:DU1048576">
    <cfRule type="cellIs" priority="1402" operator="equal">
      <formula>#REF!</formula>
    </cfRule>
  </conditionalFormatting>
  <dataValidations count="12">
    <dataValidation type="list" allowBlank="1" showInputMessage="1" showErrorMessage="1" sqref="F19:F61" xr:uid="{00000000-0002-0000-1300-00000E000000}">
      <formula1>INDIRECT($F$15)</formula1>
    </dataValidation>
    <dataValidation type="list" allowBlank="1" showInputMessage="1" showErrorMessage="1" sqref="M6:M41" xr:uid="{00000000-0002-0000-1300-000008000000}">
      <formula1>INDIRECT($M$1)</formula1>
    </dataValidation>
    <dataValidation type="list" allowBlank="1" showInputMessage="1" showErrorMessage="1" sqref="N32:N34 N21:N30 N6:N15" xr:uid="{00000000-0002-0000-1300-000003000000}">
      <formula1>INDIRECT($N$1)</formula1>
    </dataValidation>
    <dataValidation type="list" allowBlank="1" showInputMessage="1" showErrorMessage="1" sqref="P32:P34 P21:P30 P6:P15" xr:uid="{00000000-0002-0000-1300-000001000000}">
      <formula1>INDIRECT($P$1)</formula1>
    </dataValidation>
    <dataValidation type="list" allowBlank="1" showInputMessage="1" showErrorMessage="1" sqref="Q32:Q34 Q21:Q30 Q6:Q15" xr:uid="{00000000-0002-0000-1300-000000000000}">
      <formula1>INDIRECT($Q$1)</formula1>
    </dataValidation>
    <dataValidation type="list" allowBlank="1" showInputMessage="1" showErrorMessage="1" sqref="AF6:AF34" xr:uid="{00000000-0002-0000-1300-00000A000000}">
      <formula1>INDIRECT($AF$1)</formula1>
    </dataValidation>
    <dataValidation type="list" allowBlank="1" showInputMessage="1" showErrorMessage="1" sqref="AG6:AG34" xr:uid="{00000000-0002-0000-1300-000006000000}">
      <formula1>INDIRECT($AG$1)</formula1>
    </dataValidation>
    <dataValidation type="list" allowBlank="1" showInputMessage="1" showErrorMessage="1" sqref="AH6:AH41" xr:uid="{016DC57B-F6D4-476C-9045-9E45B67721A3}">
      <formula1>INDIRECT($AH$1)</formula1>
    </dataValidation>
    <dataValidation type="list" allowBlank="1" showInputMessage="1" showErrorMessage="1" sqref="AJ6:AJ34 AJ36:AJ41" xr:uid="{00000000-0002-0000-1300-000009000000}">
      <formula1>INDIRECT($AJ$1)</formula1>
    </dataValidation>
    <dataValidation type="list" allowBlank="1" showInputMessage="1" showErrorMessage="1" sqref="AN6:AN34 AN36:AN41" xr:uid="{00000000-0002-0000-1300-00000B000000}">
      <formula1>INDIRECT($AN$1)</formula1>
    </dataValidation>
    <dataValidation type="list" allowBlank="1" showInputMessage="1" showErrorMessage="1" sqref="BV17:BV25" xr:uid="{00000000-0002-0000-1300-000002000000}">
      <formula1>INDIRECT($BV$13)</formula1>
    </dataValidation>
    <dataValidation type="list" allowBlank="1" showInputMessage="1" showErrorMessage="1" sqref="O6:O41" xr:uid="{D4C35229-149F-4FFA-8AE2-D33B29FC5F76}">
      <formula1>INDIRECT($O$1)</formula1>
    </dataValidation>
  </dataValidations>
  <pageMargins left="0.7" right="0.7" top="0.78740157499999996" bottom="0.78740157499999996" header="0.3" footer="0.3"/>
  <pageSetup paperSize="9" orientation="portrait" r:id="rId1"/>
  <tableParts count="1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4"/>
  <dimension ref="A1:BN65"/>
  <sheetViews>
    <sheetView zoomScale="90" zoomScaleNormal="90" workbookViewId="0"/>
  </sheetViews>
  <sheetFormatPr baseColWidth="10" defaultRowHeight="15"/>
  <cols>
    <col min="1" max="2" width="12.7109375" customWidth="1"/>
    <col min="3" max="3" width="0.42578125" customWidth="1"/>
    <col min="4" max="4" width="11.28515625" bestFit="1" customWidth="1"/>
    <col min="5" max="5" width="0.42578125" customWidth="1"/>
    <col min="6" max="6" width="18.5703125" bestFit="1" customWidth="1"/>
    <col min="7" max="7" width="0.42578125" customWidth="1"/>
    <col min="8" max="8" width="15.7109375" customWidth="1"/>
    <col min="9" max="9" width="0.42578125" customWidth="1"/>
    <col min="10" max="10" width="15.7109375" customWidth="1"/>
    <col min="11" max="11" width="0.42578125" customWidth="1"/>
    <col min="12" max="12" width="20.7109375" customWidth="1"/>
    <col min="13" max="13" width="0.42578125" customWidth="1"/>
    <col min="14" max="14" width="20.7109375" customWidth="1"/>
    <col min="15" max="15" width="0.42578125" customWidth="1"/>
    <col min="16" max="16" width="15.7109375" customWidth="1"/>
    <col min="17" max="17" width="0.42578125" customWidth="1"/>
    <col min="18" max="18" width="15.7109375" customWidth="1"/>
    <col min="19" max="19" width="0.42578125" customWidth="1"/>
    <col min="20" max="20" width="15.7109375" customWidth="1"/>
    <col min="21" max="21" width="0.42578125" customWidth="1"/>
    <col min="22" max="22" width="15.7109375" customWidth="1"/>
    <col min="23" max="23" width="0.42578125" customWidth="1"/>
    <col min="24" max="24" width="15.7109375" customWidth="1"/>
    <col min="25" max="25" width="0.42578125" customWidth="1"/>
    <col min="26" max="26" width="15.7109375" customWidth="1"/>
    <col min="27" max="27" width="0.42578125" customWidth="1"/>
    <col min="28" max="28" width="15.7109375" customWidth="1"/>
    <col min="29" max="29" width="0.42578125" customWidth="1"/>
    <col min="30" max="30" width="15.7109375" customWidth="1"/>
    <col min="31" max="31" width="0.42578125" customWidth="1"/>
    <col min="32" max="32" width="15.7109375" customWidth="1"/>
    <col min="33" max="33" width="0.42578125" customWidth="1"/>
    <col min="34" max="34" width="15.7109375" customWidth="1"/>
    <col min="35" max="35" width="0.42578125" customWidth="1"/>
    <col min="36" max="36" width="15.7109375" customWidth="1"/>
    <col min="37" max="37" width="0.42578125" customWidth="1"/>
    <col min="38" max="38" width="15.7109375" customWidth="1"/>
    <col min="39" max="39" width="0.42578125" customWidth="1"/>
    <col min="40" max="40" width="15.7109375" customWidth="1"/>
    <col min="41" max="41" width="0.42578125" customWidth="1"/>
    <col min="42" max="42" width="15.7109375" customWidth="1"/>
    <col min="43" max="43" width="0.42578125" customWidth="1"/>
    <col min="44" max="44" width="15.7109375" customWidth="1"/>
    <col min="45" max="45" width="0.42578125" customWidth="1"/>
    <col min="46" max="46" width="15.7109375" customWidth="1"/>
    <col min="47" max="47" width="0.42578125" customWidth="1"/>
    <col min="48" max="48" width="15.7109375" customWidth="1"/>
    <col min="49" max="49" width="0.42578125" customWidth="1"/>
    <col min="50" max="50" width="15.7109375" customWidth="1"/>
    <col min="51" max="51" width="0.42578125" customWidth="1"/>
    <col min="52" max="52" width="15.7109375" customWidth="1"/>
    <col min="53" max="53" width="0.42578125" customWidth="1"/>
    <col min="54" max="54" width="15.7109375" customWidth="1"/>
    <col min="55" max="55" width="0.42578125" customWidth="1"/>
    <col min="56" max="56" width="15.7109375" customWidth="1"/>
    <col min="57" max="57" width="0.42578125" customWidth="1"/>
    <col min="58" max="58" width="15.7109375" customWidth="1"/>
    <col min="59" max="59" width="0.42578125" customWidth="1"/>
    <col min="60" max="60" width="15.7109375" customWidth="1"/>
    <col min="61" max="61" width="0.42578125" customWidth="1"/>
    <col min="62" max="62" width="15.7109375" customWidth="1"/>
    <col min="63" max="63" width="0.42578125" customWidth="1"/>
    <col min="64" max="64" width="15.7109375" customWidth="1"/>
    <col min="65" max="65" width="0.42578125" customWidth="1"/>
    <col min="66" max="66" width="15.7109375" customWidth="1"/>
    <col min="67" max="67" width="0.42578125" customWidth="1"/>
  </cols>
  <sheetData>
    <row r="1" spans="1:66">
      <c r="A1" s="38">
        <f>Resultatmappe!$C$17</f>
        <v>0</v>
      </c>
      <c r="B1" s="38">
        <f>Resultatmappe!$E$17</f>
        <v>0</v>
      </c>
      <c r="C1" s="3"/>
      <c r="D1" s="3" t="str">
        <f>Resultatmappe!$B$58</f>
        <v>Version: 4.0, 08-2026</v>
      </c>
      <c r="E1" s="3"/>
      <c r="F1" s="3"/>
      <c r="G1" s="3"/>
      <c r="H1" t="s">
        <v>148</v>
      </c>
      <c r="J1" t="s">
        <v>149</v>
      </c>
      <c r="L1" t="s">
        <v>150</v>
      </c>
      <c r="N1" t="s">
        <v>151</v>
      </c>
      <c r="P1" t="s">
        <v>152</v>
      </c>
      <c r="R1" t="s">
        <v>153</v>
      </c>
      <c r="T1" t="s">
        <v>154</v>
      </c>
      <c r="V1" t="s">
        <v>155</v>
      </c>
      <c r="X1" t="s">
        <v>156</v>
      </c>
      <c r="Z1" t="s">
        <v>157</v>
      </c>
      <c r="AB1" t="s">
        <v>158</v>
      </c>
      <c r="AD1" t="s">
        <v>159</v>
      </c>
      <c r="AF1" t="s">
        <v>160</v>
      </c>
      <c r="AH1" t="s">
        <v>161</v>
      </c>
      <c r="AJ1" t="s">
        <v>162</v>
      </c>
      <c r="AL1" t="s">
        <v>163</v>
      </c>
      <c r="AN1" t="s">
        <v>164</v>
      </c>
      <c r="AP1" t="s">
        <v>165</v>
      </c>
      <c r="AR1" t="s">
        <v>166</v>
      </c>
      <c r="AT1" t="s">
        <v>167</v>
      </c>
      <c r="AV1" t="s">
        <v>168</v>
      </c>
      <c r="AX1" t="s">
        <v>169</v>
      </c>
      <c r="AZ1" t="s">
        <v>170</v>
      </c>
      <c r="BB1" t="s">
        <v>171</v>
      </c>
      <c r="BD1" t="s">
        <v>172</v>
      </c>
      <c r="BF1" t="s">
        <v>173</v>
      </c>
      <c r="BH1" t="s">
        <v>174</v>
      </c>
      <c r="BJ1" t="s">
        <v>175</v>
      </c>
      <c r="BL1" t="s">
        <v>176</v>
      </c>
      <c r="BN1" t="s">
        <v>177</v>
      </c>
    </row>
    <row r="2" spans="1:66">
      <c r="A2" s="38" t="str">
        <f>Resultatmappe!$C$18</f>
        <v>Beckenried</v>
      </c>
      <c r="B2" s="38">
        <f>Resultatmappe!$C$19</f>
        <v>0</v>
      </c>
      <c r="C2" s="3"/>
      <c r="D2" s="3"/>
      <c r="E2" s="3"/>
      <c r="F2" s="3"/>
      <c r="G2" s="3"/>
      <c r="H2" t="str">
        <f>Resultatmappe!$G$25</f>
        <v>2. OS</v>
      </c>
      <c r="J2" t="str">
        <f>Resultatmappe!$S$25</f>
        <v>2. OS</v>
      </c>
      <c r="L2" t="str">
        <f>Resultatmappe!$AE$25</f>
        <v>2. OS</v>
      </c>
      <c r="N2" t="str">
        <f>Resultatmappe!$AQ$25</f>
        <v>2. OS</v>
      </c>
      <c r="P2" t="str">
        <f>Resultatmappe!$BC$25</f>
        <v>2. OS</v>
      </c>
      <c r="R2" t="str">
        <f>Resultatmappe!$BO$25</f>
        <v>2. OS</v>
      </c>
      <c r="T2" t="str">
        <f>Resultatmappe!$CA$25</f>
        <v>2. OS</v>
      </c>
      <c r="V2" t="str">
        <f>Resultatmappe!$CM$25</f>
        <v>2. OS</v>
      </c>
      <c r="X2" t="str">
        <f>Resultatmappe!$CY$25</f>
        <v>2. OS</v>
      </c>
      <c r="Z2" t="str">
        <f>Resultatmappe!$HP$25</f>
        <v>2. OS</v>
      </c>
      <c r="AB2" t="str">
        <f>Resultatmappe!$HY$25</f>
        <v>2. OS</v>
      </c>
      <c r="AD2" t="str">
        <f>Resultatmappe!$IH$25</f>
        <v>2. OS</v>
      </c>
      <c r="AF2" t="str">
        <f>Resultatmappe!$IQ$25</f>
        <v>2. OS</v>
      </c>
      <c r="AH2" t="str">
        <f>Resultatmappe!$IZ$25</f>
        <v>2. OS</v>
      </c>
      <c r="AJ2" t="str">
        <f>Resultatmappe!$JI$25</f>
        <v>2. OS</v>
      </c>
      <c r="AN2" t="str">
        <f>Resultatmappe!$NG$25</f>
        <v>2. OS</v>
      </c>
      <c r="AP2" t="str">
        <f>Resultatmappe!$PC$25</f>
        <v>2. OS</v>
      </c>
      <c r="AR2" t="str">
        <f>Resultatmappe!$PO$25</f>
        <v>2. OS</v>
      </c>
      <c r="AT2" t="str">
        <f>Resultatmappe!$QB$25</f>
        <v>2. OS</v>
      </c>
      <c r="AV2" t="str">
        <f>Resultatmappe!$RN$25</f>
        <v>2. OS</v>
      </c>
      <c r="AX2" t="str">
        <f>Resultatmappe!$RZ$25</f>
        <v>2. OS</v>
      </c>
      <c r="AZ2" t="str">
        <f>Resultatmappe!$SL$25</f>
        <v>2. OS</v>
      </c>
      <c r="BB2" t="str">
        <f>Resultatmappe!$SX$25</f>
        <v>2. OS</v>
      </c>
      <c r="BD2" t="str">
        <f>Resultatmappe!$TJ$25</f>
        <v>2. OS</v>
      </c>
      <c r="BF2" t="str">
        <f>Resultatmappe!$ZK$25</f>
        <v>2. OS</v>
      </c>
      <c r="BH2" t="str">
        <f>Resultatmappe!$ZM$25</f>
        <v>2. OS</v>
      </c>
      <c r="BJ2" t="str">
        <f>Resultatmappe!$AAR$25</f>
        <v>2. OS</v>
      </c>
      <c r="BL2" t="str">
        <f>Resultatmappe!$ABD$25</f>
        <v>2. OS</v>
      </c>
      <c r="BN2" t="str">
        <f>Resultatmappe!$ACB$25</f>
        <v>2. OS</v>
      </c>
    </row>
    <row r="3" spans="1:66">
      <c r="A3" s="38">
        <f>Resultatmappe!$C$20</f>
        <v>0</v>
      </c>
      <c r="B3" s="38">
        <f>Resultatmappe!$C$21</f>
        <v>0</v>
      </c>
      <c r="C3" s="3"/>
      <c r="D3" s="3" t="s">
        <v>147</v>
      </c>
      <c r="E3" s="3"/>
      <c r="F3" s="3" t="s">
        <v>146</v>
      </c>
      <c r="G3" s="3"/>
      <c r="H3" t="s">
        <v>23</v>
      </c>
      <c r="J3" t="s">
        <v>24</v>
      </c>
      <c r="L3" t="s">
        <v>43</v>
      </c>
      <c r="N3" t="s">
        <v>44</v>
      </c>
      <c r="P3" t="s">
        <v>4</v>
      </c>
      <c r="R3" t="s">
        <v>5</v>
      </c>
      <c r="T3" t="s">
        <v>0</v>
      </c>
      <c r="V3" t="s">
        <v>1</v>
      </c>
      <c r="X3" t="s">
        <v>2</v>
      </c>
      <c r="Z3" t="s">
        <v>110</v>
      </c>
      <c r="AB3" t="s">
        <v>111</v>
      </c>
      <c r="AD3" t="s">
        <v>112</v>
      </c>
      <c r="AF3" t="s">
        <v>113</v>
      </c>
      <c r="AH3" t="s">
        <v>114</v>
      </c>
      <c r="AJ3" t="s">
        <v>115</v>
      </c>
      <c r="AL3" t="s">
        <v>145</v>
      </c>
      <c r="AN3" t="s">
        <v>109</v>
      </c>
      <c r="AP3" t="s">
        <v>9</v>
      </c>
      <c r="AR3" t="s">
        <v>21</v>
      </c>
      <c r="AT3" t="s">
        <v>10</v>
      </c>
      <c r="AV3" t="s">
        <v>12</v>
      </c>
      <c r="AX3" t="s">
        <v>13</v>
      </c>
      <c r="AZ3" t="s">
        <v>14</v>
      </c>
      <c r="BB3" t="s">
        <v>15</v>
      </c>
      <c r="BD3" t="s">
        <v>16</v>
      </c>
      <c r="BF3" t="s">
        <v>71</v>
      </c>
      <c r="BH3" t="s">
        <v>55</v>
      </c>
      <c r="BJ3" t="s">
        <v>18</v>
      </c>
      <c r="BL3" t="s">
        <v>19</v>
      </c>
      <c r="BN3" t="s">
        <v>64</v>
      </c>
    </row>
    <row r="4" spans="1:66">
      <c r="A4" s="3">
        <f t="array" ref="A4:A33">Resultatmappe!B28:B57</f>
        <v>0</v>
      </c>
      <c r="B4" s="3">
        <f t="array" ref="B4:B33">Resultatmappe!C28:C57</f>
        <v>0</v>
      </c>
      <c r="C4" s="3"/>
      <c r="D4" s="3">
        <f>Resultatmappe!E28</f>
        <v>0</v>
      </c>
      <c r="E4" s="3"/>
      <c r="F4" s="3" t="str">
        <f>Resultatmappe!ZH28</f>
        <v>Disziplin</v>
      </c>
      <c r="G4" s="3"/>
      <c r="H4" s="7" t="str">
        <f>Resultatmappe!H28</f>
        <v/>
      </c>
      <c r="J4" s="7" t="str">
        <f>Resultatmappe!T28</f>
        <v/>
      </c>
      <c r="L4" s="7" t="str">
        <f>Resultatmappe!AF28</f>
        <v/>
      </c>
      <c r="N4" s="37" t="str">
        <f>Resultatmappe!AR28</f>
        <v/>
      </c>
      <c r="P4" s="37" t="str">
        <f>Resultatmappe!BD28</f>
        <v/>
      </c>
      <c r="R4" s="37" t="str">
        <f>Resultatmappe!BP28</f>
        <v/>
      </c>
      <c r="T4" s="7" t="str">
        <f>Resultatmappe!CB28</f>
        <v/>
      </c>
      <c r="V4" s="7" t="str">
        <f>Resultatmappe!CN28</f>
        <v/>
      </c>
      <c r="X4" s="7" t="str">
        <f>Resultatmappe!CZ28</f>
        <v/>
      </c>
      <c r="Z4" s="37" t="str">
        <f>Resultatmappe!HQ28</f>
        <v/>
      </c>
      <c r="AB4" s="37" t="str">
        <f>Resultatmappe!HZ28</f>
        <v/>
      </c>
      <c r="AD4" s="37" t="str">
        <f>Resultatmappe!II28</f>
        <v/>
      </c>
      <c r="AF4" s="37" t="str">
        <f>Resultatmappe!IR28</f>
        <v/>
      </c>
      <c r="AH4" s="37" t="str">
        <f>Resultatmappe!JA28</f>
        <v/>
      </c>
      <c r="AJ4" s="37" t="str">
        <f>Resultatmappe!JJ28</f>
        <v/>
      </c>
      <c r="AL4" s="37" t="str">
        <f ca="1">Resultatmappe!MW28</f>
        <v>Zu wenige Werte</v>
      </c>
      <c r="AN4" s="37" t="str">
        <f>Resultatmappe!NH28</f>
        <v/>
      </c>
      <c r="AP4" s="37" t="str">
        <f>Resultatmappe!PD28</f>
        <v/>
      </c>
      <c r="AR4" s="37" t="str">
        <f>Resultatmappe!PP28</f>
        <v/>
      </c>
      <c r="AT4" s="37" t="str">
        <f>Resultatmappe!QC28</f>
        <v/>
      </c>
      <c r="AV4" s="7" t="str">
        <f>Resultatmappe!RO28</f>
        <v/>
      </c>
      <c r="AX4" s="7" t="str">
        <f>Resultatmappe!SA28</f>
        <v/>
      </c>
      <c r="AZ4" s="7" t="str">
        <f>Resultatmappe!SM28</f>
        <v/>
      </c>
      <c r="BB4" s="7" t="str">
        <f>Resultatmappe!SY28</f>
        <v/>
      </c>
      <c r="BD4" s="37" t="str">
        <f>Resultatmappe!TK28</f>
        <v/>
      </c>
      <c r="BF4">
        <f>Resultatmappe!ZK28</f>
        <v>0</v>
      </c>
      <c r="BH4" s="7" t="str">
        <f ca="1">Resultatmappe!ZW28</f>
        <v/>
      </c>
      <c r="BJ4" s="37" t="str">
        <f>Resultatmappe!AAS28</f>
        <v/>
      </c>
      <c r="BL4" s="37" t="str">
        <f>Resultatmappe!ABE28</f>
        <v/>
      </c>
      <c r="BN4" s="7" t="str">
        <f>Resultatmappe!ACC28</f>
        <v/>
      </c>
    </row>
    <row r="5" spans="1:66">
      <c r="A5" s="3">
        <v>0</v>
      </c>
      <c r="B5" s="3">
        <v>0</v>
      </c>
      <c r="C5" s="3"/>
      <c r="D5" s="3">
        <f>Resultatmappe!E29</f>
        <v>0</v>
      </c>
      <c r="E5" s="3"/>
      <c r="F5" s="3" t="str">
        <f>Resultatmappe!ZH29</f>
        <v>Disziplin</v>
      </c>
      <c r="G5" s="3"/>
      <c r="H5" s="7" t="str">
        <f>Resultatmappe!H29</f>
        <v/>
      </c>
      <c r="J5" s="7" t="str">
        <f>Resultatmappe!T29</f>
        <v/>
      </c>
      <c r="L5" s="7" t="str">
        <f>Resultatmappe!AF29</f>
        <v/>
      </c>
      <c r="N5" s="37" t="str">
        <f>Resultatmappe!AR29</f>
        <v/>
      </c>
      <c r="P5" s="37" t="str">
        <f>Resultatmappe!BD29</f>
        <v/>
      </c>
      <c r="R5" s="37" t="str">
        <f>Resultatmappe!BP29</f>
        <v/>
      </c>
      <c r="T5" s="7" t="str">
        <f>Resultatmappe!CB29</f>
        <v/>
      </c>
      <c r="V5" s="7" t="str">
        <f>Resultatmappe!CN29</f>
        <v/>
      </c>
      <c r="X5" s="7" t="str">
        <f>Resultatmappe!CZ29</f>
        <v/>
      </c>
      <c r="Z5" s="37" t="str">
        <f>Resultatmappe!HQ29</f>
        <v/>
      </c>
      <c r="AB5" s="37" t="str">
        <f>Resultatmappe!HZ29</f>
        <v/>
      </c>
      <c r="AD5" s="37" t="str">
        <f>Resultatmappe!II29</f>
        <v/>
      </c>
      <c r="AF5" s="37" t="str">
        <f>Resultatmappe!IR29</f>
        <v/>
      </c>
      <c r="AH5" s="37" t="str">
        <f>Resultatmappe!JA29</f>
        <v/>
      </c>
      <c r="AJ5" s="37" t="str">
        <f>Resultatmappe!JJ29</f>
        <v/>
      </c>
      <c r="AL5" s="37" t="str">
        <f ca="1">Resultatmappe!MW29</f>
        <v>Zu wenige Werte</v>
      </c>
      <c r="AN5" s="37" t="str">
        <f>Resultatmappe!NH29</f>
        <v/>
      </c>
      <c r="AP5" s="37" t="str">
        <f>Resultatmappe!PD29</f>
        <v/>
      </c>
      <c r="AR5" s="37" t="str">
        <f>Resultatmappe!PP29</f>
        <v/>
      </c>
      <c r="AT5" s="37" t="str">
        <f>Resultatmappe!QC29</f>
        <v/>
      </c>
      <c r="AV5" s="7" t="str">
        <f>Resultatmappe!RO29</f>
        <v/>
      </c>
      <c r="AX5" s="7" t="str">
        <f>Resultatmappe!SA29</f>
        <v/>
      </c>
      <c r="AZ5" s="7" t="str">
        <f>Resultatmappe!SM29</f>
        <v/>
      </c>
      <c r="BB5" s="7" t="str">
        <f>Resultatmappe!SY29</f>
        <v/>
      </c>
      <c r="BD5" s="37" t="str">
        <f>Resultatmappe!TK29</f>
        <v/>
      </c>
      <c r="BF5">
        <f>Resultatmappe!ZK29</f>
        <v>0</v>
      </c>
      <c r="BH5" s="7" t="str">
        <f ca="1">Resultatmappe!ZW29</f>
        <v/>
      </c>
      <c r="BJ5" s="37" t="str">
        <f>Resultatmappe!AAS29</f>
        <v/>
      </c>
      <c r="BL5" s="37" t="str">
        <f>Resultatmappe!ABE29</f>
        <v/>
      </c>
      <c r="BN5" s="7" t="str">
        <f>Resultatmappe!ACC29</f>
        <v/>
      </c>
    </row>
    <row r="6" spans="1:66">
      <c r="A6" s="3">
        <v>0</v>
      </c>
      <c r="B6" s="3">
        <v>0</v>
      </c>
      <c r="C6" s="3"/>
      <c r="D6" s="3">
        <f>Resultatmappe!E30</f>
        <v>0</v>
      </c>
      <c r="E6" s="3"/>
      <c r="F6" s="3" t="str">
        <f>Resultatmappe!ZH30</f>
        <v>Disziplin</v>
      </c>
      <c r="G6" s="3"/>
      <c r="H6" s="7" t="str">
        <f>Resultatmappe!H30</f>
        <v/>
      </c>
      <c r="J6" s="7" t="str">
        <f>Resultatmappe!T30</f>
        <v/>
      </c>
      <c r="L6" s="7" t="str">
        <f>Resultatmappe!AF30</f>
        <v/>
      </c>
      <c r="N6" s="37" t="str">
        <f>Resultatmappe!AR30</f>
        <v/>
      </c>
      <c r="P6" s="37" t="str">
        <f>Resultatmappe!BD30</f>
        <v/>
      </c>
      <c r="R6" s="37" t="str">
        <f>Resultatmappe!BP30</f>
        <v/>
      </c>
      <c r="T6" s="7" t="str">
        <f>Resultatmappe!CB30</f>
        <v/>
      </c>
      <c r="V6" s="7" t="str">
        <f>Resultatmappe!CN30</f>
        <v/>
      </c>
      <c r="X6" s="7" t="str">
        <f>Resultatmappe!CZ30</f>
        <v/>
      </c>
      <c r="Z6" s="37" t="str">
        <f>Resultatmappe!HQ30</f>
        <v/>
      </c>
      <c r="AB6" s="37" t="str">
        <f>Resultatmappe!HZ30</f>
        <v/>
      </c>
      <c r="AD6" s="37" t="str">
        <f>Resultatmappe!II30</f>
        <v/>
      </c>
      <c r="AF6" s="37" t="str">
        <f>Resultatmappe!IR30</f>
        <v/>
      </c>
      <c r="AH6" s="37" t="str">
        <f>Resultatmappe!JA30</f>
        <v/>
      </c>
      <c r="AJ6" s="37" t="str">
        <f>Resultatmappe!JJ30</f>
        <v/>
      </c>
      <c r="AL6" s="37" t="str">
        <f ca="1">Resultatmappe!MW30</f>
        <v>Zu wenige Werte</v>
      </c>
      <c r="AN6" s="37" t="str">
        <f>Resultatmappe!NH30</f>
        <v/>
      </c>
      <c r="AP6" s="37" t="str">
        <f>Resultatmappe!PD30</f>
        <v/>
      </c>
      <c r="AR6" s="37" t="str">
        <f>Resultatmappe!PP30</f>
        <v/>
      </c>
      <c r="AT6" s="37" t="str">
        <f>Resultatmappe!QC30</f>
        <v/>
      </c>
      <c r="AV6" s="7" t="str">
        <f>Resultatmappe!RO30</f>
        <v/>
      </c>
      <c r="AX6" s="7" t="str">
        <f>Resultatmappe!SA30</f>
        <v/>
      </c>
      <c r="AZ6" s="7" t="str">
        <f>Resultatmappe!SM30</f>
        <v/>
      </c>
      <c r="BB6" s="7" t="str">
        <f>Resultatmappe!SY30</f>
        <v/>
      </c>
      <c r="BD6" s="37" t="str">
        <f>Resultatmappe!TK30</f>
        <v/>
      </c>
      <c r="BF6">
        <f>Resultatmappe!ZK30</f>
        <v>0</v>
      </c>
      <c r="BH6" s="7" t="str">
        <f ca="1">Resultatmappe!ZW30</f>
        <v/>
      </c>
      <c r="BJ6" s="37" t="str">
        <f>Resultatmappe!AAS30</f>
        <v/>
      </c>
      <c r="BL6" s="37" t="str">
        <f>Resultatmappe!ABE30</f>
        <v/>
      </c>
      <c r="BN6" s="7" t="str">
        <f>Resultatmappe!ACC30</f>
        <v/>
      </c>
    </row>
    <row r="7" spans="1:66">
      <c r="A7" s="3">
        <v>0</v>
      </c>
      <c r="B7" s="3">
        <v>0</v>
      </c>
      <c r="C7" s="3"/>
      <c r="D7" s="3">
        <f>Resultatmappe!E31</f>
        <v>0</v>
      </c>
      <c r="E7" s="3"/>
      <c r="F7" s="3" t="str">
        <f>Resultatmappe!ZH31</f>
        <v>Disziplin</v>
      </c>
      <c r="G7" s="3"/>
      <c r="H7" s="7" t="str">
        <f>Resultatmappe!H31</f>
        <v/>
      </c>
      <c r="J7" s="7" t="str">
        <f>Resultatmappe!T31</f>
        <v/>
      </c>
      <c r="L7" s="7" t="str">
        <f>Resultatmappe!AF31</f>
        <v/>
      </c>
      <c r="N7" s="37" t="str">
        <f>Resultatmappe!AR31</f>
        <v/>
      </c>
      <c r="P7" s="37" t="str">
        <f>Resultatmappe!BD31</f>
        <v/>
      </c>
      <c r="R7" s="37" t="str">
        <f>Resultatmappe!BP31</f>
        <v/>
      </c>
      <c r="T7" s="7" t="str">
        <f>Resultatmappe!CB31</f>
        <v/>
      </c>
      <c r="V7" s="7" t="str">
        <f>Resultatmappe!CN31</f>
        <v/>
      </c>
      <c r="X7" s="7" t="str">
        <f>Resultatmappe!CZ31</f>
        <v/>
      </c>
      <c r="Z7" s="37" t="str">
        <f>Resultatmappe!HQ31</f>
        <v/>
      </c>
      <c r="AB7" s="37" t="str">
        <f>Resultatmappe!HZ31</f>
        <v/>
      </c>
      <c r="AD7" s="37" t="str">
        <f>Resultatmappe!II31</f>
        <v/>
      </c>
      <c r="AF7" s="37" t="str">
        <f>Resultatmappe!IR31</f>
        <v/>
      </c>
      <c r="AH7" s="37" t="str">
        <f>Resultatmappe!JA31</f>
        <v/>
      </c>
      <c r="AJ7" s="37" t="str">
        <f>Resultatmappe!JJ31</f>
        <v/>
      </c>
      <c r="AL7" s="37" t="str">
        <f ca="1">Resultatmappe!MW31</f>
        <v>Zu wenige Werte</v>
      </c>
      <c r="AN7" s="37" t="str">
        <f>Resultatmappe!NH31</f>
        <v/>
      </c>
      <c r="AP7" s="37" t="str">
        <f>Resultatmappe!PD31</f>
        <v/>
      </c>
      <c r="AR7" s="37" t="str">
        <f>Resultatmappe!PP31</f>
        <v/>
      </c>
      <c r="AT7" s="37" t="str">
        <f>Resultatmappe!QC31</f>
        <v/>
      </c>
      <c r="AV7" s="7" t="str">
        <f>Resultatmappe!RO31</f>
        <v/>
      </c>
      <c r="AX7" s="7" t="str">
        <f>Resultatmappe!SA31</f>
        <v/>
      </c>
      <c r="AZ7" s="7" t="str">
        <f>Resultatmappe!SM31</f>
        <v/>
      </c>
      <c r="BB7" s="7" t="str">
        <f>Resultatmappe!SY31</f>
        <v/>
      </c>
      <c r="BD7" s="37" t="str">
        <f>Resultatmappe!TK31</f>
        <v/>
      </c>
      <c r="BF7">
        <f>Resultatmappe!ZK31</f>
        <v>0</v>
      </c>
      <c r="BH7" s="7" t="str">
        <f ca="1">Resultatmappe!ZW31</f>
        <v/>
      </c>
      <c r="BJ7" s="37" t="str">
        <f>Resultatmappe!AAS31</f>
        <v/>
      </c>
      <c r="BL7" s="37" t="str">
        <f>Resultatmappe!ABE31</f>
        <v/>
      </c>
      <c r="BN7" s="7" t="str">
        <f>Resultatmappe!ACC31</f>
        <v/>
      </c>
    </row>
    <row r="8" spans="1:66">
      <c r="A8" s="3">
        <v>0</v>
      </c>
      <c r="B8" s="3">
        <v>0</v>
      </c>
      <c r="C8" s="3"/>
      <c r="D8" s="3">
        <f>Resultatmappe!E32</f>
        <v>0</v>
      </c>
      <c r="E8" s="3"/>
      <c r="F8" s="3" t="str">
        <f>Resultatmappe!ZH32</f>
        <v>Disziplin</v>
      </c>
      <c r="G8" s="3"/>
      <c r="H8" s="7" t="str">
        <f>Resultatmappe!H32</f>
        <v/>
      </c>
      <c r="J8" s="7" t="str">
        <f>Resultatmappe!T32</f>
        <v/>
      </c>
      <c r="L8" s="7" t="str">
        <f>Resultatmappe!AF32</f>
        <v/>
      </c>
      <c r="N8" s="37" t="str">
        <f>Resultatmappe!AR32</f>
        <v/>
      </c>
      <c r="P8" s="37" t="str">
        <f>Resultatmappe!BD32</f>
        <v/>
      </c>
      <c r="R8" s="37" t="str">
        <f>Resultatmappe!BP32</f>
        <v/>
      </c>
      <c r="T8" s="7" t="str">
        <f>Resultatmappe!CB32</f>
        <v/>
      </c>
      <c r="V8" s="7" t="str">
        <f>Resultatmappe!CN32</f>
        <v/>
      </c>
      <c r="X8" s="7" t="str">
        <f>Resultatmappe!CZ32</f>
        <v/>
      </c>
      <c r="Z8" s="37" t="str">
        <f>Resultatmappe!HQ32</f>
        <v/>
      </c>
      <c r="AB8" s="37" t="str">
        <f>Resultatmappe!HZ32</f>
        <v/>
      </c>
      <c r="AD8" s="37" t="str">
        <f>Resultatmappe!II32</f>
        <v/>
      </c>
      <c r="AF8" s="37" t="str">
        <f>Resultatmappe!IR32</f>
        <v/>
      </c>
      <c r="AH8" s="37" t="str">
        <f>Resultatmappe!JA32</f>
        <v/>
      </c>
      <c r="AJ8" s="37" t="str">
        <f>Resultatmappe!JJ32</f>
        <v/>
      </c>
      <c r="AL8" s="37" t="str">
        <f ca="1">Resultatmappe!MW32</f>
        <v>Zu wenige Werte</v>
      </c>
      <c r="AN8" s="37" t="str">
        <f>Resultatmappe!NH32</f>
        <v/>
      </c>
      <c r="AP8" s="37" t="str">
        <f>Resultatmappe!PD32</f>
        <v/>
      </c>
      <c r="AR8" s="37" t="str">
        <f>Resultatmappe!PP32</f>
        <v/>
      </c>
      <c r="AT8" s="37" t="str">
        <f>Resultatmappe!QC32</f>
        <v/>
      </c>
      <c r="AV8" s="7" t="str">
        <f>Resultatmappe!RO32</f>
        <v/>
      </c>
      <c r="AX8" s="7" t="str">
        <f>Resultatmappe!SA32</f>
        <v/>
      </c>
      <c r="AZ8" s="7" t="str">
        <f>Resultatmappe!SM32</f>
        <v/>
      </c>
      <c r="BB8" s="7" t="str">
        <f>Resultatmappe!SY32</f>
        <v/>
      </c>
      <c r="BD8" s="37" t="str">
        <f>Resultatmappe!TK32</f>
        <v/>
      </c>
      <c r="BF8">
        <f>Resultatmappe!ZK32</f>
        <v>0</v>
      </c>
      <c r="BH8" s="7" t="str">
        <f ca="1">Resultatmappe!ZW32</f>
        <v/>
      </c>
      <c r="BJ8" s="37" t="str">
        <f>Resultatmappe!AAS32</f>
        <v/>
      </c>
      <c r="BL8" s="37" t="str">
        <f>Resultatmappe!ABE32</f>
        <v/>
      </c>
      <c r="BN8" s="7" t="str">
        <f>Resultatmappe!ACC32</f>
        <v/>
      </c>
    </row>
    <row r="9" spans="1:66">
      <c r="A9" s="3">
        <v>0</v>
      </c>
      <c r="B9" s="3">
        <v>0</v>
      </c>
      <c r="C9" s="3"/>
      <c r="D9" s="3">
        <f>Resultatmappe!E33</f>
        <v>0</v>
      </c>
      <c r="E9" s="3"/>
      <c r="F9" s="3" t="str">
        <f>Resultatmappe!ZH33</f>
        <v>Disziplin</v>
      </c>
      <c r="G9" s="3"/>
      <c r="H9" s="7" t="str">
        <f>Resultatmappe!H33</f>
        <v/>
      </c>
      <c r="J9" s="7" t="str">
        <f>Resultatmappe!T33</f>
        <v/>
      </c>
      <c r="L9" s="7" t="str">
        <f>Resultatmappe!AF33</f>
        <v/>
      </c>
      <c r="N9" s="37" t="str">
        <f>Resultatmappe!AR33</f>
        <v/>
      </c>
      <c r="P9" s="37" t="str">
        <f>Resultatmappe!BD33</f>
        <v/>
      </c>
      <c r="R9" s="37" t="str">
        <f>Resultatmappe!BP33</f>
        <v/>
      </c>
      <c r="T9" s="7" t="str">
        <f>Resultatmappe!CB33</f>
        <v/>
      </c>
      <c r="V9" s="7" t="str">
        <f>Resultatmappe!CN33</f>
        <v/>
      </c>
      <c r="X9" s="7" t="str">
        <f>Resultatmappe!CZ33</f>
        <v/>
      </c>
      <c r="Z9" s="37" t="str">
        <f>Resultatmappe!HQ33</f>
        <v/>
      </c>
      <c r="AB9" s="37" t="str">
        <f>Resultatmappe!HZ33</f>
        <v/>
      </c>
      <c r="AD9" s="37" t="str">
        <f>Resultatmappe!II33</f>
        <v/>
      </c>
      <c r="AF9" s="37" t="str">
        <f>Resultatmappe!IR33</f>
        <v/>
      </c>
      <c r="AH9" s="37" t="str">
        <f>Resultatmappe!JA33</f>
        <v/>
      </c>
      <c r="AJ9" s="37" t="str">
        <f>Resultatmappe!JJ33</f>
        <v/>
      </c>
      <c r="AL9" s="37" t="str">
        <f ca="1">Resultatmappe!MW33</f>
        <v>Zu wenige Werte</v>
      </c>
      <c r="AN9" s="37" t="str">
        <f>Resultatmappe!NH33</f>
        <v/>
      </c>
      <c r="AP9" s="37" t="str">
        <f>Resultatmappe!PD33</f>
        <v/>
      </c>
      <c r="AR9" s="37" t="str">
        <f>Resultatmappe!PP33</f>
        <v/>
      </c>
      <c r="AT9" s="37" t="str">
        <f>Resultatmappe!QC33</f>
        <v/>
      </c>
      <c r="AV9" s="7" t="str">
        <f>Resultatmappe!RO33</f>
        <v/>
      </c>
      <c r="AX9" s="7" t="str">
        <f>Resultatmappe!SA33</f>
        <v/>
      </c>
      <c r="AZ9" s="7" t="str">
        <f>Resultatmappe!SM33</f>
        <v/>
      </c>
      <c r="BB9" s="7" t="str">
        <f>Resultatmappe!SY33</f>
        <v/>
      </c>
      <c r="BD9" s="37" t="str">
        <f>Resultatmappe!TK33</f>
        <v/>
      </c>
      <c r="BF9">
        <f>Resultatmappe!ZK33</f>
        <v>0</v>
      </c>
      <c r="BH9" s="7" t="str">
        <f ca="1">Resultatmappe!ZW33</f>
        <v/>
      </c>
      <c r="BJ9" s="37" t="str">
        <f>Resultatmappe!AAS33</f>
        <v/>
      </c>
      <c r="BL9" s="37" t="str">
        <f>Resultatmappe!ABE33</f>
        <v/>
      </c>
      <c r="BN9" s="7" t="str">
        <f>Resultatmappe!ACC33</f>
        <v/>
      </c>
    </row>
    <row r="10" spans="1:66">
      <c r="A10" s="3">
        <v>0</v>
      </c>
      <c r="B10" s="3">
        <v>0</v>
      </c>
      <c r="C10" s="3"/>
      <c r="D10" s="3">
        <f>Resultatmappe!E34</f>
        <v>0</v>
      </c>
      <c r="E10" s="3"/>
      <c r="F10" s="3" t="str">
        <f>Resultatmappe!ZH34</f>
        <v>Disziplin</v>
      </c>
      <c r="G10" s="3"/>
      <c r="H10" s="7" t="str">
        <f>Resultatmappe!H34</f>
        <v/>
      </c>
      <c r="J10" s="7" t="str">
        <f>Resultatmappe!T34</f>
        <v/>
      </c>
      <c r="L10" s="7" t="str">
        <f>Resultatmappe!AF34</f>
        <v/>
      </c>
      <c r="N10" s="37" t="str">
        <f>Resultatmappe!AR34</f>
        <v/>
      </c>
      <c r="P10" s="37" t="str">
        <f>Resultatmappe!BD34</f>
        <v/>
      </c>
      <c r="R10" s="37" t="str">
        <f>Resultatmappe!BP34</f>
        <v/>
      </c>
      <c r="T10" s="7" t="str">
        <f>Resultatmappe!CB34</f>
        <v/>
      </c>
      <c r="V10" s="7" t="str">
        <f>Resultatmappe!CN34</f>
        <v/>
      </c>
      <c r="X10" s="7" t="str">
        <f>Resultatmappe!CZ34</f>
        <v/>
      </c>
      <c r="Z10" s="37" t="str">
        <f>Resultatmappe!HQ34</f>
        <v/>
      </c>
      <c r="AB10" s="37" t="str">
        <f>Resultatmappe!HZ34</f>
        <v/>
      </c>
      <c r="AD10" s="37" t="str">
        <f>Resultatmappe!II34</f>
        <v/>
      </c>
      <c r="AF10" s="37" t="str">
        <f>Resultatmappe!IR34</f>
        <v/>
      </c>
      <c r="AH10" s="37" t="str">
        <f>Resultatmappe!JA34</f>
        <v/>
      </c>
      <c r="AJ10" s="37" t="str">
        <f>Resultatmappe!JJ34</f>
        <v/>
      </c>
      <c r="AL10" s="37" t="str">
        <f ca="1">Resultatmappe!MW34</f>
        <v>Zu wenige Werte</v>
      </c>
      <c r="AN10" s="37" t="str">
        <f>Resultatmappe!NH34</f>
        <v/>
      </c>
      <c r="AP10" s="37" t="str">
        <f>Resultatmappe!PD34</f>
        <v/>
      </c>
      <c r="AR10" s="37" t="str">
        <f>Resultatmappe!PP34</f>
        <v/>
      </c>
      <c r="AT10" s="37" t="str">
        <f>Resultatmappe!QC34</f>
        <v/>
      </c>
      <c r="AV10" s="7" t="str">
        <f>Resultatmappe!RO34</f>
        <v/>
      </c>
      <c r="AX10" s="7" t="str">
        <f>Resultatmappe!SA34</f>
        <v/>
      </c>
      <c r="AZ10" s="7" t="str">
        <f>Resultatmappe!SM34</f>
        <v/>
      </c>
      <c r="BB10" s="7" t="str">
        <f>Resultatmappe!SY34</f>
        <v/>
      </c>
      <c r="BD10" s="37" t="str">
        <f>Resultatmappe!TK34</f>
        <v/>
      </c>
      <c r="BF10">
        <f>Resultatmappe!ZK34</f>
        <v>0</v>
      </c>
      <c r="BH10" s="7" t="str">
        <f ca="1">Resultatmappe!ZW34</f>
        <v/>
      </c>
      <c r="BJ10" s="37" t="str">
        <f>Resultatmappe!AAS34</f>
        <v/>
      </c>
      <c r="BL10" s="37" t="str">
        <f>Resultatmappe!ABE34</f>
        <v/>
      </c>
      <c r="BN10" s="7" t="str">
        <f>Resultatmappe!ACC34</f>
        <v/>
      </c>
    </row>
    <row r="11" spans="1:66">
      <c r="A11" s="3">
        <v>0</v>
      </c>
      <c r="B11" s="3">
        <v>0</v>
      </c>
      <c r="C11" s="3"/>
      <c r="D11" s="3">
        <f>Resultatmappe!E35</f>
        <v>0</v>
      </c>
      <c r="E11" s="3"/>
      <c r="F11" s="3" t="str">
        <f>Resultatmappe!ZH35</f>
        <v>Disziplin</v>
      </c>
      <c r="G11" s="3"/>
      <c r="H11" s="7" t="str">
        <f>Resultatmappe!H35</f>
        <v/>
      </c>
      <c r="J11" s="7" t="str">
        <f>Resultatmappe!T35</f>
        <v/>
      </c>
      <c r="L11" s="7" t="str">
        <f>Resultatmappe!AF35</f>
        <v/>
      </c>
      <c r="N11" s="37" t="str">
        <f>Resultatmappe!AR35</f>
        <v/>
      </c>
      <c r="P11" s="37" t="str">
        <f>Resultatmappe!BD35</f>
        <v/>
      </c>
      <c r="R11" s="37" t="str">
        <f>Resultatmappe!BP35</f>
        <v/>
      </c>
      <c r="T11" s="7" t="str">
        <f>Resultatmappe!CB35</f>
        <v/>
      </c>
      <c r="V11" s="7" t="str">
        <f>Resultatmappe!CN35</f>
        <v/>
      </c>
      <c r="X11" s="7" t="str">
        <f>Resultatmappe!CZ35</f>
        <v/>
      </c>
      <c r="Z11" s="37" t="str">
        <f>Resultatmappe!HQ35</f>
        <v/>
      </c>
      <c r="AB11" s="37" t="str">
        <f>Resultatmappe!HZ35</f>
        <v/>
      </c>
      <c r="AD11" s="37" t="str">
        <f>Resultatmappe!II35</f>
        <v/>
      </c>
      <c r="AF11" s="37" t="str">
        <f>Resultatmappe!IR35</f>
        <v/>
      </c>
      <c r="AH11" s="37" t="str">
        <f>Resultatmappe!JA35</f>
        <v/>
      </c>
      <c r="AJ11" s="37" t="str">
        <f>Resultatmappe!JJ35</f>
        <v/>
      </c>
      <c r="AL11" s="37" t="str">
        <f ca="1">Resultatmappe!MW35</f>
        <v>Zu wenige Werte</v>
      </c>
      <c r="AN11" s="37" t="str">
        <f>Resultatmappe!NH35</f>
        <v/>
      </c>
      <c r="AP11" s="37" t="str">
        <f>Resultatmappe!PD35</f>
        <v/>
      </c>
      <c r="AR11" s="37" t="str">
        <f>Resultatmappe!PP35</f>
        <v/>
      </c>
      <c r="AT11" s="37" t="str">
        <f>Resultatmappe!QC35</f>
        <v/>
      </c>
      <c r="AV11" s="7" t="str">
        <f>Resultatmappe!RO35</f>
        <v/>
      </c>
      <c r="AX11" s="7" t="str">
        <f>Resultatmappe!SA35</f>
        <v/>
      </c>
      <c r="AZ11" s="7" t="str">
        <f>Resultatmappe!SM35</f>
        <v/>
      </c>
      <c r="BB11" s="7" t="str">
        <f>Resultatmappe!SY35</f>
        <v/>
      </c>
      <c r="BD11" s="37" t="str">
        <f>Resultatmappe!TK35</f>
        <v/>
      </c>
      <c r="BF11">
        <f>Resultatmappe!ZK35</f>
        <v>0</v>
      </c>
      <c r="BH11" s="7" t="str">
        <f ca="1">Resultatmappe!ZW35</f>
        <v/>
      </c>
      <c r="BJ11" s="37" t="str">
        <f>Resultatmappe!AAS35</f>
        <v/>
      </c>
      <c r="BL11" s="37" t="str">
        <f>Resultatmappe!ABE35</f>
        <v/>
      </c>
      <c r="BN11" s="7" t="str">
        <f>Resultatmappe!ACC35</f>
        <v/>
      </c>
    </row>
    <row r="12" spans="1:66">
      <c r="A12" s="3">
        <v>0</v>
      </c>
      <c r="B12" s="3">
        <v>0</v>
      </c>
      <c r="C12" s="3"/>
      <c r="D12" s="3">
        <f>Resultatmappe!E36</f>
        <v>0</v>
      </c>
      <c r="E12" s="3"/>
      <c r="F12" s="3" t="str">
        <f>Resultatmappe!ZH36</f>
        <v>Disziplin</v>
      </c>
      <c r="G12" s="3"/>
      <c r="H12" s="7" t="str">
        <f>Resultatmappe!H36</f>
        <v/>
      </c>
      <c r="J12" s="7" t="str">
        <f>Resultatmappe!T36</f>
        <v/>
      </c>
      <c r="L12" s="7" t="str">
        <f>Resultatmappe!AF36</f>
        <v/>
      </c>
      <c r="N12" s="37" t="str">
        <f>Resultatmappe!AR36</f>
        <v/>
      </c>
      <c r="P12" s="37" t="str">
        <f>Resultatmappe!BD36</f>
        <v/>
      </c>
      <c r="R12" s="37" t="str">
        <f>Resultatmappe!BP36</f>
        <v/>
      </c>
      <c r="T12" s="7" t="str">
        <f>Resultatmappe!CB36</f>
        <v/>
      </c>
      <c r="V12" s="7" t="str">
        <f>Resultatmappe!CN36</f>
        <v/>
      </c>
      <c r="X12" s="7" t="str">
        <f>Resultatmappe!CZ36</f>
        <v/>
      </c>
      <c r="Z12" s="37" t="str">
        <f>Resultatmappe!HQ36</f>
        <v/>
      </c>
      <c r="AB12" s="37" t="str">
        <f>Resultatmappe!HZ36</f>
        <v/>
      </c>
      <c r="AD12" s="37" t="str">
        <f>Resultatmappe!II36</f>
        <v/>
      </c>
      <c r="AF12" s="37" t="str">
        <f>Resultatmappe!IR36</f>
        <v/>
      </c>
      <c r="AH12" s="37" t="str">
        <f>Resultatmappe!JA36</f>
        <v/>
      </c>
      <c r="AJ12" s="37" t="str">
        <f>Resultatmappe!JJ36</f>
        <v/>
      </c>
      <c r="AL12" s="37" t="str">
        <f ca="1">Resultatmappe!MW36</f>
        <v>Zu wenige Werte</v>
      </c>
      <c r="AN12" s="37" t="str">
        <f>Resultatmappe!NH36</f>
        <v/>
      </c>
      <c r="AP12" s="37" t="str">
        <f>Resultatmappe!PD36</f>
        <v/>
      </c>
      <c r="AR12" s="37" t="str">
        <f>Resultatmappe!PP36</f>
        <v/>
      </c>
      <c r="AT12" s="37" t="str">
        <f>Resultatmappe!QC36</f>
        <v/>
      </c>
      <c r="AV12" s="7" t="str">
        <f>Resultatmappe!RO36</f>
        <v/>
      </c>
      <c r="AX12" s="7" t="str">
        <f>Resultatmappe!SA36</f>
        <v/>
      </c>
      <c r="AZ12" s="7" t="str">
        <f>Resultatmappe!SM36</f>
        <v/>
      </c>
      <c r="BB12" s="7" t="str">
        <f>Resultatmappe!SY36</f>
        <v/>
      </c>
      <c r="BD12" s="37" t="str">
        <f>Resultatmappe!TK36</f>
        <v/>
      </c>
      <c r="BF12">
        <f>Resultatmappe!ZK36</f>
        <v>0</v>
      </c>
      <c r="BH12" s="7" t="str">
        <f ca="1">Resultatmappe!ZW36</f>
        <v/>
      </c>
      <c r="BJ12" s="37" t="str">
        <f>Resultatmappe!AAS36</f>
        <v/>
      </c>
      <c r="BL12" s="37" t="str">
        <f>Resultatmappe!ABE36</f>
        <v/>
      </c>
      <c r="BN12" s="7" t="str">
        <f>Resultatmappe!ACC36</f>
        <v/>
      </c>
    </row>
    <row r="13" spans="1:66">
      <c r="A13" s="3">
        <v>0</v>
      </c>
      <c r="B13" s="3">
        <v>0</v>
      </c>
      <c r="C13" s="3"/>
      <c r="D13" s="3">
        <f>Resultatmappe!E37</f>
        <v>0</v>
      </c>
      <c r="E13" s="3"/>
      <c r="F13" s="3" t="str">
        <f>Resultatmappe!ZH37</f>
        <v>Disziplin</v>
      </c>
      <c r="G13" s="3"/>
      <c r="H13" s="7" t="str">
        <f>Resultatmappe!H37</f>
        <v/>
      </c>
      <c r="J13" s="7" t="str">
        <f>Resultatmappe!T37</f>
        <v/>
      </c>
      <c r="L13" s="7" t="str">
        <f>Resultatmappe!AF37</f>
        <v/>
      </c>
      <c r="N13" s="37" t="str">
        <f>Resultatmappe!AR37</f>
        <v/>
      </c>
      <c r="P13" s="37" t="str">
        <f>Resultatmappe!BD37</f>
        <v/>
      </c>
      <c r="R13" s="37" t="str">
        <f>Resultatmappe!BP37</f>
        <v/>
      </c>
      <c r="T13" s="7" t="str">
        <f>Resultatmappe!CB37</f>
        <v/>
      </c>
      <c r="V13" s="7" t="str">
        <f>Resultatmappe!CN37</f>
        <v/>
      </c>
      <c r="X13" s="7" t="str">
        <f>Resultatmappe!CZ37</f>
        <v/>
      </c>
      <c r="Z13" s="37" t="str">
        <f>Resultatmappe!HQ37</f>
        <v/>
      </c>
      <c r="AB13" s="37" t="str">
        <f>Resultatmappe!HZ37</f>
        <v/>
      </c>
      <c r="AD13" s="37" t="str">
        <f>Resultatmappe!II37</f>
        <v/>
      </c>
      <c r="AF13" s="37" t="str">
        <f>Resultatmappe!IR37</f>
        <v/>
      </c>
      <c r="AH13" s="37" t="str">
        <f>Resultatmappe!JA37</f>
        <v/>
      </c>
      <c r="AJ13" s="37" t="str">
        <f>Resultatmappe!JJ37</f>
        <v/>
      </c>
      <c r="AL13" s="37" t="str">
        <f ca="1">Resultatmappe!MW37</f>
        <v>Zu wenige Werte</v>
      </c>
      <c r="AN13" s="37" t="str">
        <f>Resultatmappe!NH37</f>
        <v/>
      </c>
      <c r="AP13" s="37" t="str">
        <f>Resultatmappe!PD37</f>
        <v/>
      </c>
      <c r="AR13" s="37" t="str">
        <f>Resultatmappe!PP37</f>
        <v/>
      </c>
      <c r="AT13" s="37" t="str">
        <f>Resultatmappe!QC37</f>
        <v/>
      </c>
      <c r="AV13" s="7" t="str">
        <f>Resultatmappe!RO37</f>
        <v/>
      </c>
      <c r="AX13" s="7" t="str">
        <f>Resultatmappe!SA37</f>
        <v/>
      </c>
      <c r="AZ13" s="7" t="str">
        <f>Resultatmappe!SM37</f>
        <v/>
      </c>
      <c r="BB13" s="7" t="str">
        <f>Resultatmappe!SY37</f>
        <v/>
      </c>
      <c r="BD13" s="37" t="str">
        <f>Resultatmappe!TK37</f>
        <v/>
      </c>
      <c r="BF13">
        <f>Resultatmappe!ZK37</f>
        <v>0</v>
      </c>
      <c r="BH13" s="7" t="str">
        <f ca="1">Resultatmappe!ZW37</f>
        <v/>
      </c>
      <c r="BJ13" s="37" t="str">
        <f>Resultatmappe!AAS37</f>
        <v/>
      </c>
      <c r="BL13" s="37" t="str">
        <f>Resultatmappe!ABE37</f>
        <v/>
      </c>
      <c r="BN13" s="7" t="str">
        <f>Resultatmappe!ACC37</f>
        <v/>
      </c>
    </row>
    <row r="14" spans="1:66">
      <c r="A14" s="3">
        <v>0</v>
      </c>
      <c r="B14" s="3">
        <v>0</v>
      </c>
      <c r="C14" s="3"/>
      <c r="D14" s="3">
        <f>Resultatmappe!E38</f>
        <v>0</v>
      </c>
      <c r="E14" s="3"/>
      <c r="F14" s="3" t="str">
        <f>Resultatmappe!ZH38</f>
        <v>Disziplin</v>
      </c>
      <c r="G14" s="3"/>
      <c r="H14" s="7" t="str">
        <f>Resultatmappe!H38</f>
        <v/>
      </c>
      <c r="J14" s="7" t="str">
        <f>Resultatmappe!T38</f>
        <v/>
      </c>
      <c r="L14" s="7" t="str">
        <f>Resultatmappe!AF38</f>
        <v/>
      </c>
      <c r="N14" s="37" t="str">
        <f>Resultatmappe!AR38</f>
        <v/>
      </c>
      <c r="P14" s="37" t="str">
        <f>Resultatmappe!BD38</f>
        <v/>
      </c>
      <c r="R14" s="37" t="str">
        <f>Resultatmappe!BP38</f>
        <v/>
      </c>
      <c r="T14" s="7" t="str">
        <f>Resultatmappe!CB38</f>
        <v/>
      </c>
      <c r="V14" s="7" t="str">
        <f>Resultatmappe!CN38</f>
        <v/>
      </c>
      <c r="X14" s="7" t="str">
        <f>Resultatmappe!CZ38</f>
        <v/>
      </c>
      <c r="Z14" s="37" t="str">
        <f>Resultatmappe!HQ38</f>
        <v/>
      </c>
      <c r="AB14" s="37" t="str">
        <f>Resultatmappe!HZ38</f>
        <v/>
      </c>
      <c r="AD14" s="37" t="str">
        <f>Resultatmappe!II38</f>
        <v/>
      </c>
      <c r="AF14" s="37" t="str">
        <f>Resultatmappe!IR38</f>
        <v/>
      </c>
      <c r="AH14" s="37" t="str">
        <f>Resultatmappe!JA38</f>
        <v/>
      </c>
      <c r="AJ14" s="37" t="str">
        <f>Resultatmappe!JJ38</f>
        <v/>
      </c>
      <c r="AL14" s="37" t="str">
        <f ca="1">Resultatmappe!MW38</f>
        <v>Zu wenige Werte</v>
      </c>
      <c r="AN14" s="37" t="str">
        <f>Resultatmappe!NH38</f>
        <v/>
      </c>
      <c r="AP14" s="37" t="str">
        <f>Resultatmappe!PD38</f>
        <v/>
      </c>
      <c r="AR14" s="37" t="str">
        <f>Resultatmappe!PP38</f>
        <v/>
      </c>
      <c r="AT14" s="37" t="str">
        <f>Resultatmappe!QC38</f>
        <v/>
      </c>
      <c r="AV14" s="7" t="str">
        <f>Resultatmappe!RO38</f>
        <v/>
      </c>
      <c r="AX14" s="7" t="str">
        <f>Resultatmappe!SA38</f>
        <v/>
      </c>
      <c r="AZ14" s="7" t="str">
        <f>Resultatmappe!SM38</f>
        <v/>
      </c>
      <c r="BB14" s="7" t="str">
        <f>Resultatmappe!SY38</f>
        <v/>
      </c>
      <c r="BD14" s="37" t="str">
        <f>Resultatmappe!TK38</f>
        <v/>
      </c>
      <c r="BF14">
        <f>Resultatmappe!ZK38</f>
        <v>0</v>
      </c>
      <c r="BH14" s="7" t="str">
        <f ca="1">Resultatmappe!ZW38</f>
        <v/>
      </c>
      <c r="BJ14" s="37" t="str">
        <f>Resultatmappe!AAS38</f>
        <v/>
      </c>
      <c r="BL14" s="37" t="str">
        <f>Resultatmappe!ABE38</f>
        <v/>
      </c>
      <c r="BN14" s="7" t="str">
        <f>Resultatmappe!ACC38</f>
        <v/>
      </c>
    </row>
    <row r="15" spans="1:66">
      <c r="A15" s="3">
        <v>0</v>
      </c>
      <c r="B15" s="3">
        <v>0</v>
      </c>
      <c r="C15" s="3"/>
      <c r="D15" s="3">
        <f>Resultatmappe!E39</f>
        <v>0</v>
      </c>
      <c r="E15" s="3"/>
      <c r="F15" s="3" t="str">
        <f>Resultatmappe!ZH39</f>
        <v>Disziplin</v>
      </c>
      <c r="G15" s="3"/>
      <c r="H15" s="7" t="str">
        <f>Resultatmappe!H39</f>
        <v/>
      </c>
      <c r="J15" s="7" t="str">
        <f>Resultatmappe!T39</f>
        <v/>
      </c>
      <c r="L15" s="7" t="str">
        <f>Resultatmappe!AF39</f>
        <v/>
      </c>
      <c r="N15" s="37" t="str">
        <f>Resultatmappe!AR39</f>
        <v/>
      </c>
      <c r="P15" s="37" t="str">
        <f>Resultatmappe!BD39</f>
        <v/>
      </c>
      <c r="R15" s="37" t="str">
        <f>Resultatmappe!BP39</f>
        <v/>
      </c>
      <c r="T15" s="7" t="str">
        <f>Resultatmappe!CB39</f>
        <v/>
      </c>
      <c r="V15" s="7" t="str">
        <f>Resultatmappe!CN39</f>
        <v/>
      </c>
      <c r="X15" s="7" t="str">
        <f>Resultatmappe!CZ39</f>
        <v/>
      </c>
      <c r="Z15" s="37" t="str">
        <f>Resultatmappe!HQ39</f>
        <v/>
      </c>
      <c r="AB15" s="37" t="str">
        <f>Resultatmappe!HZ39</f>
        <v/>
      </c>
      <c r="AD15" s="37" t="str">
        <f>Resultatmappe!II39</f>
        <v/>
      </c>
      <c r="AF15" s="37" t="str">
        <f>Resultatmappe!IR39</f>
        <v/>
      </c>
      <c r="AH15" s="37" t="str">
        <f>Resultatmappe!JA39</f>
        <v/>
      </c>
      <c r="AJ15" s="37" t="str">
        <f>Resultatmappe!JJ39</f>
        <v/>
      </c>
      <c r="AL15" s="37" t="str">
        <f ca="1">Resultatmappe!MW39</f>
        <v>Zu wenige Werte</v>
      </c>
      <c r="AN15" s="37" t="str">
        <f>Resultatmappe!NH39</f>
        <v/>
      </c>
      <c r="AP15" s="37" t="str">
        <f>Resultatmappe!PD39</f>
        <v/>
      </c>
      <c r="AR15" s="37" t="str">
        <f>Resultatmappe!PP39</f>
        <v/>
      </c>
      <c r="AT15" s="37" t="str">
        <f>Resultatmappe!QC39</f>
        <v/>
      </c>
      <c r="AV15" s="7" t="str">
        <f>Resultatmappe!RO39</f>
        <v/>
      </c>
      <c r="AX15" s="7" t="str">
        <f>Resultatmappe!SA39</f>
        <v/>
      </c>
      <c r="AZ15" s="7" t="str">
        <f>Resultatmappe!SM39</f>
        <v/>
      </c>
      <c r="BB15" s="7" t="str">
        <f>Resultatmappe!SY39</f>
        <v/>
      </c>
      <c r="BD15" s="37" t="str">
        <f>Resultatmappe!TK39</f>
        <v/>
      </c>
      <c r="BF15">
        <f>Resultatmappe!ZK39</f>
        <v>0</v>
      </c>
      <c r="BH15" s="7" t="str">
        <f ca="1">Resultatmappe!ZW39</f>
        <v/>
      </c>
      <c r="BJ15" s="37" t="str">
        <f>Resultatmappe!AAS39</f>
        <v/>
      </c>
      <c r="BL15" s="37" t="str">
        <f>Resultatmappe!ABE39</f>
        <v/>
      </c>
      <c r="BN15" s="7" t="str">
        <f>Resultatmappe!ACC39</f>
        <v/>
      </c>
    </row>
    <row r="16" spans="1:66">
      <c r="A16" s="3">
        <v>0</v>
      </c>
      <c r="B16" s="3">
        <v>0</v>
      </c>
      <c r="C16" s="3"/>
      <c r="D16" s="3">
        <f>Resultatmappe!E40</f>
        <v>0</v>
      </c>
      <c r="E16" s="3"/>
      <c r="F16" s="3" t="str">
        <f>Resultatmappe!ZH40</f>
        <v>Disziplin</v>
      </c>
      <c r="G16" s="3"/>
      <c r="H16" s="7" t="str">
        <f>Resultatmappe!H40</f>
        <v/>
      </c>
      <c r="J16" s="7" t="str">
        <f>Resultatmappe!T40</f>
        <v/>
      </c>
      <c r="L16" s="7" t="str">
        <f>Resultatmappe!AF40</f>
        <v/>
      </c>
      <c r="N16" s="37" t="str">
        <f>Resultatmappe!AR40</f>
        <v/>
      </c>
      <c r="P16" s="37" t="str">
        <f>Resultatmappe!BD40</f>
        <v/>
      </c>
      <c r="R16" s="37" t="str">
        <f>Resultatmappe!BP40</f>
        <v/>
      </c>
      <c r="T16" s="7" t="str">
        <f>Resultatmappe!CB40</f>
        <v/>
      </c>
      <c r="V16" s="7" t="str">
        <f>Resultatmappe!CN40</f>
        <v/>
      </c>
      <c r="X16" s="7" t="str">
        <f>Resultatmappe!CZ40</f>
        <v/>
      </c>
      <c r="Z16" s="37" t="str">
        <f>Resultatmappe!HQ40</f>
        <v/>
      </c>
      <c r="AB16" s="37" t="str">
        <f>Resultatmappe!HZ40</f>
        <v/>
      </c>
      <c r="AD16" s="37" t="str">
        <f>Resultatmappe!II40</f>
        <v/>
      </c>
      <c r="AF16" s="37" t="str">
        <f>Resultatmappe!IR40</f>
        <v/>
      </c>
      <c r="AH16" s="37" t="str">
        <f>Resultatmappe!JA40</f>
        <v/>
      </c>
      <c r="AJ16" s="37" t="str">
        <f>Resultatmappe!JJ40</f>
        <v/>
      </c>
      <c r="AL16" s="37" t="str">
        <f ca="1">Resultatmappe!MW40</f>
        <v>Zu wenige Werte</v>
      </c>
      <c r="AN16" s="37" t="str">
        <f>Resultatmappe!NH40</f>
        <v/>
      </c>
      <c r="AP16" s="37" t="str">
        <f>Resultatmappe!PD40</f>
        <v/>
      </c>
      <c r="AR16" s="37" t="str">
        <f>Resultatmappe!PP40</f>
        <v/>
      </c>
      <c r="AT16" s="37" t="str">
        <f>Resultatmappe!QC40</f>
        <v/>
      </c>
      <c r="AV16" s="7" t="str">
        <f>Resultatmappe!RO40</f>
        <v/>
      </c>
      <c r="AX16" s="7" t="str">
        <f>Resultatmappe!SA40</f>
        <v/>
      </c>
      <c r="AZ16" s="7" t="str">
        <f>Resultatmappe!SM40</f>
        <v/>
      </c>
      <c r="BB16" s="7" t="str">
        <f>Resultatmappe!SY40</f>
        <v/>
      </c>
      <c r="BD16" s="37" t="str">
        <f>Resultatmappe!TK40</f>
        <v/>
      </c>
      <c r="BF16">
        <f>Resultatmappe!ZK40</f>
        <v>0</v>
      </c>
      <c r="BH16" s="7" t="str">
        <f ca="1">Resultatmappe!ZW40</f>
        <v/>
      </c>
      <c r="BJ16" s="37" t="str">
        <f>Resultatmappe!AAS40</f>
        <v/>
      </c>
      <c r="BL16" s="37" t="str">
        <f>Resultatmappe!ABE40</f>
        <v/>
      </c>
      <c r="BN16" s="7" t="str">
        <f>Resultatmappe!ACC40</f>
        <v/>
      </c>
    </row>
    <row r="17" spans="1:66">
      <c r="A17" s="3">
        <v>0</v>
      </c>
      <c r="B17" s="3">
        <v>0</v>
      </c>
      <c r="C17" s="3"/>
      <c r="D17" s="3">
        <f>Resultatmappe!E41</f>
        <v>0</v>
      </c>
      <c r="E17" s="3"/>
      <c r="F17" s="3" t="str">
        <f>Resultatmappe!ZH41</f>
        <v>Disziplin</v>
      </c>
      <c r="G17" s="3"/>
      <c r="H17" s="7" t="str">
        <f>Resultatmappe!H41</f>
        <v/>
      </c>
      <c r="J17" s="7" t="str">
        <f>Resultatmappe!T41</f>
        <v/>
      </c>
      <c r="L17" s="7" t="str">
        <f>Resultatmappe!AF41</f>
        <v/>
      </c>
      <c r="N17" s="37" t="str">
        <f>Resultatmappe!AR41</f>
        <v/>
      </c>
      <c r="P17" s="37" t="str">
        <f>Resultatmappe!BD41</f>
        <v/>
      </c>
      <c r="R17" s="37" t="str">
        <f>Resultatmappe!BP41</f>
        <v/>
      </c>
      <c r="T17" s="7" t="str">
        <f>Resultatmappe!CB41</f>
        <v/>
      </c>
      <c r="V17" s="7" t="str">
        <f>Resultatmappe!CN41</f>
        <v/>
      </c>
      <c r="X17" s="7" t="str">
        <f>Resultatmappe!CZ41</f>
        <v/>
      </c>
      <c r="Z17" s="37" t="str">
        <f>Resultatmappe!HQ41</f>
        <v/>
      </c>
      <c r="AB17" s="37" t="str">
        <f>Resultatmappe!HZ41</f>
        <v/>
      </c>
      <c r="AD17" s="37" t="str">
        <f>Resultatmappe!II41</f>
        <v/>
      </c>
      <c r="AF17" s="37" t="str">
        <f>Resultatmappe!IR41</f>
        <v/>
      </c>
      <c r="AH17" s="37" t="str">
        <f>Resultatmappe!JA41</f>
        <v/>
      </c>
      <c r="AJ17" s="37" t="str">
        <f>Resultatmappe!JJ41</f>
        <v/>
      </c>
      <c r="AL17" s="37" t="str">
        <f ca="1">Resultatmappe!MW41</f>
        <v>Zu wenige Werte</v>
      </c>
      <c r="AN17" s="37" t="str">
        <f>Resultatmappe!NH41</f>
        <v/>
      </c>
      <c r="AP17" s="37" t="str">
        <f>Resultatmappe!PD41</f>
        <v/>
      </c>
      <c r="AR17" s="37" t="str">
        <f>Resultatmappe!PP41</f>
        <v/>
      </c>
      <c r="AT17" s="37" t="str">
        <f>Resultatmappe!QC41</f>
        <v/>
      </c>
      <c r="AV17" s="7" t="str">
        <f>Resultatmappe!RO41</f>
        <v/>
      </c>
      <c r="AX17" s="7" t="str">
        <f>Resultatmappe!SA41</f>
        <v/>
      </c>
      <c r="AZ17" s="7" t="str">
        <f>Resultatmappe!SM41</f>
        <v/>
      </c>
      <c r="BB17" s="7" t="str">
        <f>Resultatmappe!SY41</f>
        <v/>
      </c>
      <c r="BD17" s="37" t="str">
        <f>Resultatmappe!TK41</f>
        <v/>
      </c>
      <c r="BF17">
        <f>Resultatmappe!ZK41</f>
        <v>0</v>
      </c>
      <c r="BH17" s="7" t="str">
        <f ca="1">Resultatmappe!ZW41</f>
        <v/>
      </c>
      <c r="BJ17" s="37" t="str">
        <f>Resultatmappe!AAS41</f>
        <v/>
      </c>
      <c r="BL17" s="37" t="str">
        <f>Resultatmappe!ABE41</f>
        <v/>
      </c>
      <c r="BN17" s="7" t="str">
        <f>Resultatmappe!ACC41</f>
        <v/>
      </c>
    </row>
    <row r="18" spans="1:66">
      <c r="A18" s="3">
        <v>0</v>
      </c>
      <c r="B18" s="3">
        <v>0</v>
      </c>
      <c r="C18" s="3"/>
      <c r="D18" s="3">
        <f>Resultatmappe!E42</f>
        <v>0</v>
      </c>
      <c r="E18" s="3"/>
      <c r="F18" s="3" t="str">
        <f>Resultatmappe!ZH42</f>
        <v>Disziplin</v>
      </c>
      <c r="G18" s="3"/>
      <c r="H18" s="7" t="str">
        <f>Resultatmappe!H42</f>
        <v/>
      </c>
      <c r="J18" s="7" t="str">
        <f>Resultatmappe!T42</f>
        <v/>
      </c>
      <c r="L18" s="7" t="str">
        <f>Resultatmappe!AF42</f>
        <v/>
      </c>
      <c r="N18" s="37" t="str">
        <f>Resultatmappe!AR42</f>
        <v/>
      </c>
      <c r="P18" s="37" t="str">
        <f>Resultatmappe!BD42</f>
        <v/>
      </c>
      <c r="R18" s="37" t="str">
        <f>Resultatmappe!BP42</f>
        <v/>
      </c>
      <c r="T18" s="7" t="str">
        <f>Resultatmappe!CB42</f>
        <v/>
      </c>
      <c r="V18" s="7" t="str">
        <f>Resultatmappe!CN42</f>
        <v/>
      </c>
      <c r="X18" s="7" t="str">
        <f>Resultatmappe!CZ42</f>
        <v/>
      </c>
      <c r="Z18" s="37" t="str">
        <f>Resultatmappe!HQ42</f>
        <v/>
      </c>
      <c r="AB18" s="37" t="str">
        <f>Resultatmappe!HZ42</f>
        <v/>
      </c>
      <c r="AD18" s="37" t="str">
        <f>Resultatmappe!II42</f>
        <v/>
      </c>
      <c r="AF18" s="37" t="str">
        <f>Resultatmappe!IR42</f>
        <v/>
      </c>
      <c r="AH18" s="37" t="str">
        <f>Resultatmappe!JA42</f>
        <v/>
      </c>
      <c r="AJ18" s="37" t="str">
        <f>Resultatmappe!JJ42</f>
        <v/>
      </c>
      <c r="AL18" s="37" t="str">
        <f ca="1">Resultatmappe!MW42</f>
        <v>Zu wenige Werte</v>
      </c>
      <c r="AN18" s="37" t="str">
        <f>Resultatmappe!NH42</f>
        <v/>
      </c>
      <c r="AP18" s="37" t="str">
        <f>Resultatmappe!PD42</f>
        <v/>
      </c>
      <c r="AR18" s="37" t="str">
        <f>Resultatmappe!PP42</f>
        <v/>
      </c>
      <c r="AT18" s="37" t="str">
        <f>Resultatmappe!QC42</f>
        <v/>
      </c>
      <c r="AV18" s="7" t="str">
        <f>Resultatmappe!RO42</f>
        <v/>
      </c>
      <c r="AX18" s="7" t="str">
        <f>Resultatmappe!SA42</f>
        <v/>
      </c>
      <c r="AZ18" s="7" t="str">
        <f>Resultatmappe!SM42</f>
        <v/>
      </c>
      <c r="BB18" s="7" t="str">
        <f>Resultatmappe!SY42</f>
        <v/>
      </c>
      <c r="BD18" s="37" t="str">
        <f>Resultatmappe!TK42</f>
        <v/>
      </c>
      <c r="BF18">
        <f>Resultatmappe!ZK42</f>
        <v>0</v>
      </c>
      <c r="BH18" s="7" t="str">
        <f ca="1">Resultatmappe!ZW42</f>
        <v/>
      </c>
      <c r="BJ18" s="37" t="str">
        <f>Resultatmappe!AAS42</f>
        <v/>
      </c>
      <c r="BL18" s="37" t="str">
        <f>Resultatmappe!ABE42</f>
        <v/>
      </c>
      <c r="BN18" s="7" t="str">
        <f>Resultatmappe!ACC42</f>
        <v/>
      </c>
    </row>
    <row r="19" spans="1:66">
      <c r="A19" s="3">
        <v>0</v>
      </c>
      <c r="B19" s="3">
        <v>0</v>
      </c>
      <c r="C19" s="3"/>
      <c r="D19" s="3">
        <f>Resultatmappe!E43</f>
        <v>0</v>
      </c>
      <c r="E19" s="3"/>
      <c r="F19" s="3" t="str">
        <f>Resultatmappe!ZH43</f>
        <v>Disziplin</v>
      </c>
      <c r="G19" s="3"/>
      <c r="H19" s="7" t="str">
        <f>Resultatmappe!H43</f>
        <v/>
      </c>
      <c r="J19" s="7" t="str">
        <f>Resultatmappe!T43</f>
        <v/>
      </c>
      <c r="L19" s="7" t="str">
        <f>Resultatmappe!AF43</f>
        <v/>
      </c>
      <c r="N19" s="37" t="str">
        <f>Resultatmappe!AR43</f>
        <v/>
      </c>
      <c r="P19" s="37" t="str">
        <f>Resultatmappe!BD43</f>
        <v/>
      </c>
      <c r="R19" s="37" t="str">
        <f>Resultatmappe!BP43</f>
        <v/>
      </c>
      <c r="T19" s="7" t="str">
        <f>Resultatmappe!CB43</f>
        <v/>
      </c>
      <c r="V19" s="7" t="str">
        <f>Resultatmappe!CN43</f>
        <v/>
      </c>
      <c r="X19" s="7" t="str">
        <f>Resultatmappe!CZ43</f>
        <v/>
      </c>
      <c r="Z19" s="37" t="str">
        <f>Resultatmappe!HQ43</f>
        <v/>
      </c>
      <c r="AB19" s="37" t="str">
        <f>Resultatmappe!HZ43</f>
        <v/>
      </c>
      <c r="AD19" s="37" t="str">
        <f>Resultatmappe!II43</f>
        <v/>
      </c>
      <c r="AF19" s="37" t="str">
        <f>Resultatmappe!IR43</f>
        <v/>
      </c>
      <c r="AH19" s="37" t="str">
        <f>Resultatmappe!JA43</f>
        <v/>
      </c>
      <c r="AJ19" s="37" t="str">
        <f>Resultatmappe!JJ43</f>
        <v/>
      </c>
      <c r="AL19" s="37" t="str">
        <f ca="1">Resultatmappe!MW43</f>
        <v>Zu wenige Werte</v>
      </c>
      <c r="AN19" s="37" t="str">
        <f>Resultatmappe!NH43</f>
        <v/>
      </c>
      <c r="AP19" s="37" t="str">
        <f>Resultatmappe!PD43</f>
        <v/>
      </c>
      <c r="AR19" s="37" t="str">
        <f>Resultatmappe!PP43</f>
        <v/>
      </c>
      <c r="AT19" s="37" t="str">
        <f>Resultatmappe!QC43</f>
        <v/>
      </c>
      <c r="AV19" s="7" t="str">
        <f>Resultatmappe!RO43</f>
        <v/>
      </c>
      <c r="AX19" s="7" t="str">
        <f>Resultatmappe!SA43</f>
        <v/>
      </c>
      <c r="AZ19" s="7" t="str">
        <f>Resultatmappe!SM43</f>
        <v/>
      </c>
      <c r="BB19" s="7" t="str">
        <f>Resultatmappe!SY43</f>
        <v/>
      </c>
      <c r="BD19" s="37" t="str">
        <f>Resultatmappe!TK43</f>
        <v/>
      </c>
      <c r="BF19">
        <f>Resultatmappe!ZK43</f>
        <v>0</v>
      </c>
      <c r="BH19" s="7" t="str">
        <f ca="1">Resultatmappe!ZW43</f>
        <v/>
      </c>
      <c r="BJ19" s="37" t="str">
        <f>Resultatmappe!AAS43</f>
        <v/>
      </c>
      <c r="BL19" s="37" t="str">
        <f>Resultatmappe!ABE43</f>
        <v/>
      </c>
      <c r="BN19" s="7" t="str">
        <f>Resultatmappe!ACC43</f>
        <v/>
      </c>
    </row>
    <row r="20" spans="1:66">
      <c r="A20" s="3">
        <v>0</v>
      </c>
      <c r="B20" s="3">
        <v>0</v>
      </c>
      <c r="C20" s="3"/>
      <c r="D20" s="3">
        <f>Resultatmappe!E44</f>
        <v>0</v>
      </c>
      <c r="E20" s="3"/>
      <c r="F20" s="3" t="str">
        <f>Resultatmappe!ZH44</f>
        <v>Disziplin</v>
      </c>
      <c r="G20" s="3"/>
      <c r="H20" s="7" t="str">
        <f>Resultatmappe!H44</f>
        <v/>
      </c>
      <c r="J20" s="7" t="str">
        <f>Resultatmappe!T44</f>
        <v/>
      </c>
      <c r="L20" s="7" t="str">
        <f>Resultatmappe!AF44</f>
        <v/>
      </c>
      <c r="N20" s="37" t="str">
        <f>Resultatmappe!AR44</f>
        <v/>
      </c>
      <c r="P20" s="37" t="str">
        <f>Resultatmappe!BD44</f>
        <v/>
      </c>
      <c r="R20" s="37" t="str">
        <f>Resultatmappe!BP44</f>
        <v/>
      </c>
      <c r="T20" s="7" t="str">
        <f>Resultatmappe!CB44</f>
        <v/>
      </c>
      <c r="V20" s="7" t="str">
        <f>Resultatmappe!CN44</f>
        <v/>
      </c>
      <c r="X20" s="7" t="str">
        <f>Resultatmappe!CZ44</f>
        <v/>
      </c>
      <c r="Z20" s="37" t="str">
        <f>Resultatmappe!HQ44</f>
        <v/>
      </c>
      <c r="AB20" s="37" t="str">
        <f>Resultatmappe!HZ44</f>
        <v/>
      </c>
      <c r="AD20" s="37" t="str">
        <f>Resultatmappe!II44</f>
        <v/>
      </c>
      <c r="AF20" s="37" t="str">
        <f>Resultatmappe!IR44</f>
        <v/>
      </c>
      <c r="AH20" s="37" t="str">
        <f>Resultatmappe!JA44</f>
        <v/>
      </c>
      <c r="AJ20" s="37" t="str">
        <f>Resultatmappe!JJ44</f>
        <v/>
      </c>
      <c r="AL20" s="37" t="str">
        <f ca="1">Resultatmappe!MW44</f>
        <v>Zu wenige Werte</v>
      </c>
      <c r="AN20" s="37" t="str">
        <f>Resultatmappe!NH44</f>
        <v/>
      </c>
      <c r="AP20" s="37" t="str">
        <f>Resultatmappe!PD44</f>
        <v/>
      </c>
      <c r="AR20" s="37" t="str">
        <f>Resultatmappe!PP44</f>
        <v/>
      </c>
      <c r="AT20" s="37" t="str">
        <f>Resultatmappe!QC44</f>
        <v/>
      </c>
      <c r="AV20" s="7" t="str">
        <f>Resultatmappe!RO44</f>
        <v/>
      </c>
      <c r="AX20" s="7" t="str">
        <f>Resultatmappe!SA44</f>
        <v/>
      </c>
      <c r="AZ20" s="7" t="str">
        <f>Resultatmappe!SM44</f>
        <v/>
      </c>
      <c r="BB20" s="7" t="str">
        <f>Resultatmappe!SY44</f>
        <v/>
      </c>
      <c r="BD20" s="37" t="str">
        <f>Resultatmappe!TK44</f>
        <v/>
      </c>
      <c r="BF20">
        <f>Resultatmappe!ZK44</f>
        <v>0</v>
      </c>
      <c r="BH20" s="7" t="str">
        <f ca="1">Resultatmappe!ZW44</f>
        <v/>
      </c>
      <c r="BJ20" s="37" t="str">
        <f>Resultatmappe!AAS44</f>
        <v/>
      </c>
      <c r="BL20" s="37" t="str">
        <f>Resultatmappe!ABE44</f>
        <v/>
      </c>
      <c r="BN20" s="7" t="str">
        <f>Resultatmappe!ACC44</f>
        <v/>
      </c>
    </row>
    <row r="21" spans="1:66">
      <c r="A21" s="3">
        <v>0</v>
      </c>
      <c r="B21" s="3">
        <v>0</v>
      </c>
      <c r="C21" s="3"/>
      <c r="D21" s="3">
        <f>Resultatmappe!E45</f>
        <v>0</v>
      </c>
      <c r="E21" s="3"/>
      <c r="F21" s="3" t="str">
        <f>Resultatmappe!ZH45</f>
        <v>Disziplin</v>
      </c>
      <c r="G21" s="3"/>
      <c r="H21" s="7" t="str">
        <f>Resultatmappe!H45</f>
        <v/>
      </c>
      <c r="J21" s="7" t="str">
        <f>Resultatmappe!T45</f>
        <v/>
      </c>
      <c r="L21" s="7" t="str">
        <f>Resultatmappe!AF45</f>
        <v/>
      </c>
      <c r="N21" s="37" t="str">
        <f>Resultatmappe!AR45</f>
        <v/>
      </c>
      <c r="P21" s="37" t="str">
        <f>Resultatmappe!BD45</f>
        <v/>
      </c>
      <c r="R21" s="37" t="str">
        <f>Resultatmappe!BP45</f>
        <v/>
      </c>
      <c r="T21" s="7" t="str">
        <f>Resultatmappe!CB45</f>
        <v/>
      </c>
      <c r="V21" s="7" t="str">
        <f>Resultatmappe!CN45</f>
        <v/>
      </c>
      <c r="X21" s="7" t="str">
        <f>Resultatmappe!CZ45</f>
        <v/>
      </c>
      <c r="Z21" s="37" t="str">
        <f>Resultatmappe!HQ45</f>
        <v/>
      </c>
      <c r="AB21" s="37" t="str">
        <f>Resultatmappe!HZ45</f>
        <v/>
      </c>
      <c r="AD21" s="37" t="str">
        <f>Resultatmappe!II45</f>
        <v/>
      </c>
      <c r="AF21" s="37" t="str">
        <f>Resultatmappe!IR45</f>
        <v/>
      </c>
      <c r="AH21" s="37" t="str">
        <f>Resultatmappe!JA45</f>
        <v/>
      </c>
      <c r="AJ21" s="37" t="str">
        <f>Resultatmappe!JJ45</f>
        <v/>
      </c>
      <c r="AL21" s="37" t="str">
        <f ca="1">Resultatmappe!MW45</f>
        <v>Zu wenige Werte</v>
      </c>
      <c r="AN21" s="37" t="str">
        <f>Resultatmappe!NH45</f>
        <v/>
      </c>
      <c r="AP21" s="37" t="str">
        <f>Resultatmappe!PD45</f>
        <v/>
      </c>
      <c r="AR21" s="37" t="str">
        <f>Resultatmappe!PP45</f>
        <v/>
      </c>
      <c r="AT21" s="37" t="str">
        <f>Resultatmappe!QC45</f>
        <v/>
      </c>
      <c r="AV21" s="7" t="str">
        <f>Resultatmappe!RO45</f>
        <v/>
      </c>
      <c r="AX21" s="7" t="str">
        <f>Resultatmappe!SA45</f>
        <v/>
      </c>
      <c r="AZ21" s="7" t="str">
        <f>Resultatmappe!SM45</f>
        <v/>
      </c>
      <c r="BB21" s="7" t="str">
        <f>Resultatmappe!SY45</f>
        <v/>
      </c>
      <c r="BD21" s="37" t="str">
        <f>Resultatmappe!TK45</f>
        <v/>
      </c>
      <c r="BF21">
        <f>Resultatmappe!ZK45</f>
        <v>0</v>
      </c>
      <c r="BH21" s="7" t="str">
        <f ca="1">Resultatmappe!ZW45</f>
        <v/>
      </c>
      <c r="BJ21" s="37" t="str">
        <f>Resultatmappe!AAS45</f>
        <v/>
      </c>
      <c r="BL21" s="37" t="str">
        <f>Resultatmappe!ABE45</f>
        <v/>
      </c>
      <c r="BN21" s="7" t="str">
        <f>Resultatmappe!ACC45</f>
        <v/>
      </c>
    </row>
    <row r="22" spans="1:66">
      <c r="A22" s="3">
        <v>0</v>
      </c>
      <c r="B22" s="3">
        <v>0</v>
      </c>
      <c r="C22" s="3"/>
      <c r="D22" s="3">
        <f>Resultatmappe!E46</f>
        <v>0</v>
      </c>
      <c r="E22" s="3"/>
      <c r="F22" s="3" t="str">
        <f>Resultatmappe!ZH46</f>
        <v>Disziplin</v>
      </c>
      <c r="G22" s="3"/>
      <c r="H22" s="7" t="str">
        <f>Resultatmappe!H46</f>
        <v/>
      </c>
      <c r="J22" s="7" t="str">
        <f>Resultatmappe!T46</f>
        <v/>
      </c>
      <c r="L22" s="7" t="str">
        <f>Resultatmappe!AF46</f>
        <v/>
      </c>
      <c r="N22" s="37" t="str">
        <f>Resultatmappe!AR46</f>
        <v/>
      </c>
      <c r="P22" s="37" t="str">
        <f>Resultatmappe!BD46</f>
        <v/>
      </c>
      <c r="R22" s="37" t="str">
        <f>Resultatmappe!BP46</f>
        <v/>
      </c>
      <c r="T22" s="7" t="str">
        <f>Resultatmappe!CB46</f>
        <v/>
      </c>
      <c r="V22" s="7" t="str">
        <f>Resultatmappe!CN46</f>
        <v/>
      </c>
      <c r="X22" s="7" t="str">
        <f>Resultatmappe!CZ46</f>
        <v/>
      </c>
      <c r="Z22" s="37" t="str">
        <f>Resultatmappe!HQ46</f>
        <v/>
      </c>
      <c r="AB22" s="37" t="str">
        <f>Resultatmappe!HZ46</f>
        <v/>
      </c>
      <c r="AD22" s="37" t="str">
        <f>Resultatmappe!II46</f>
        <v/>
      </c>
      <c r="AF22" s="37" t="str">
        <f>Resultatmappe!IR46</f>
        <v/>
      </c>
      <c r="AH22" s="37" t="str">
        <f>Resultatmappe!JA46</f>
        <v/>
      </c>
      <c r="AJ22" s="37" t="str">
        <f>Resultatmappe!JJ46</f>
        <v/>
      </c>
      <c r="AL22" s="37" t="str">
        <f ca="1">Resultatmappe!MW46</f>
        <v>Zu wenige Werte</v>
      </c>
      <c r="AN22" s="37" t="str">
        <f>Resultatmappe!NH46</f>
        <v/>
      </c>
      <c r="AP22" s="37" t="str">
        <f>Resultatmappe!PD46</f>
        <v/>
      </c>
      <c r="AR22" s="37" t="str">
        <f>Resultatmappe!PP46</f>
        <v/>
      </c>
      <c r="AT22" s="37" t="str">
        <f>Resultatmappe!QC46</f>
        <v/>
      </c>
      <c r="AV22" s="7" t="str">
        <f>Resultatmappe!RO46</f>
        <v/>
      </c>
      <c r="AX22" s="7" t="str">
        <f>Resultatmappe!SA46</f>
        <v/>
      </c>
      <c r="AZ22" s="7" t="str">
        <f>Resultatmappe!SM46</f>
        <v/>
      </c>
      <c r="BB22" s="7" t="str">
        <f>Resultatmappe!SY46</f>
        <v/>
      </c>
      <c r="BD22" s="37" t="str">
        <f>Resultatmappe!TK46</f>
        <v/>
      </c>
      <c r="BF22">
        <f>Resultatmappe!ZK46</f>
        <v>0</v>
      </c>
      <c r="BH22" s="7" t="str">
        <f ca="1">Resultatmappe!ZW46</f>
        <v/>
      </c>
      <c r="BJ22" s="37" t="str">
        <f>Resultatmappe!AAS46</f>
        <v/>
      </c>
      <c r="BL22" s="37" t="str">
        <f>Resultatmappe!ABE46</f>
        <v/>
      </c>
      <c r="BN22" s="7" t="str">
        <f>Resultatmappe!ACC46</f>
        <v/>
      </c>
    </row>
    <row r="23" spans="1:66">
      <c r="A23" s="3">
        <v>0</v>
      </c>
      <c r="B23" s="3">
        <v>0</v>
      </c>
      <c r="C23" s="3"/>
      <c r="D23" s="3">
        <f>Resultatmappe!E47</f>
        <v>0</v>
      </c>
      <c r="E23" s="3"/>
      <c r="F23" s="3" t="str">
        <f>Resultatmappe!ZH47</f>
        <v>Disziplin</v>
      </c>
      <c r="G23" s="3"/>
      <c r="H23" s="7" t="str">
        <f>Resultatmappe!H47</f>
        <v/>
      </c>
      <c r="J23" s="7" t="str">
        <f>Resultatmappe!T47</f>
        <v/>
      </c>
      <c r="L23" s="7" t="str">
        <f>Resultatmappe!AF47</f>
        <v/>
      </c>
      <c r="N23" s="37" t="str">
        <f>Resultatmappe!AR47</f>
        <v/>
      </c>
      <c r="P23" s="37" t="str">
        <f>Resultatmappe!BD47</f>
        <v/>
      </c>
      <c r="R23" s="37" t="str">
        <f>Resultatmappe!BP47</f>
        <v/>
      </c>
      <c r="T23" s="7" t="str">
        <f>Resultatmappe!CB47</f>
        <v/>
      </c>
      <c r="V23" s="7" t="str">
        <f>Resultatmappe!CN47</f>
        <v/>
      </c>
      <c r="X23" s="7" t="str">
        <f>Resultatmappe!CZ47</f>
        <v/>
      </c>
      <c r="Z23" s="37" t="str">
        <f>Resultatmappe!HQ47</f>
        <v/>
      </c>
      <c r="AB23" s="37" t="str">
        <f>Resultatmappe!HZ47</f>
        <v/>
      </c>
      <c r="AD23" s="37" t="str">
        <f>Resultatmappe!II47</f>
        <v/>
      </c>
      <c r="AF23" s="37" t="str">
        <f>Resultatmappe!IR47</f>
        <v/>
      </c>
      <c r="AH23" s="37" t="str">
        <f>Resultatmappe!JA47</f>
        <v/>
      </c>
      <c r="AJ23" s="37" t="str">
        <f>Resultatmappe!JJ47</f>
        <v/>
      </c>
      <c r="AL23" s="37" t="str">
        <f ca="1">Resultatmappe!MW47</f>
        <v>Zu wenige Werte</v>
      </c>
      <c r="AN23" s="37" t="str">
        <f>Resultatmappe!NH47</f>
        <v/>
      </c>
      <c r="AP23" s="37" t="str">
        <f>Resultatmappe!PD47</f>
        <v/>
      </c>
      <c r="AR23" s="37" t="str">
        <f>Resultatmappe!PP47</f>
        <v/>
      </c>
      <c r="AT23" s="37" t="str">
        <f>Resultatmappe!QC47</f>
        <v/>
      </c>
      <c r="AV23" s="7" t="str">
        <f>Resultatmappe!RO47</f>
        <v/>
      </c>
      <c r="AX23" s="7" t="str">
        <f>Resultatmappe!SA47</f>
        <v/>
      </c>
      <c r="AZ23" s="7" t="str">
        <f>Resultatmappe!SM47</f>
        <v/>
      </c>
      <c r="BB23" s="7" t="str">
        <f>Resultatmappe!SY47</f>
        <v/>
      </c>
      <c r="BD23" s="37" t="str">
        <f>Resultatmappe!TK47</f>
        <v/>
      </c>
      <c r="BF23">
        <f>Resultatmappe!ZK47</f>
        <v>0</v>
      </c>
      <c r="BH23" s="7" t="str">
        <f ca="1">Resultatmappe!ZW47</f>
        <v/>
      </c>
      <c r="BJ23" s="37" t="str">
        <f>Resultatmappe!AAS47</f>
        <v/>
      </c>
      <c r="BL23" s="37" t="str">
        <f>Resultatmappe!ABE47</f>
        <v/>
      </c>
      <c r="BN23" s="7" t="str">
        <f>Resultatmappe!ACC47</f>
        <v/>
      </c>
    </row>
    <row r="24" spans="1:66">
      <c r="A24" s="3">
        <v>0</v>
      </c>
      <c r="B24" s="3">
        <v>0</v>
      </c>
      <c r="C24" s="3"/>
      <c r="D24" s="3">
        <f>Resultatmappe!E48</f>
        <v>0</v>
      </c>
      <c r="E24" s="3"/>
      <c r="F24" s="3" t="str">
        <f>Resultatmappe!ZH48</f>
        <v>Disziplin</v>
      </c>
      <c r="G24" s="3"/>
      <c r="H24" s="7" t="str">
        <f>Resultatmappe!H48</f>
        <v/>
      </c>
      <c r="J24" s="7" t="str">
        <f>Resultatmappe!T48</f>
        <v/>
      </c>
      <c r="L24" s="7" t="str">
        <f>Resultatmappe!AF48</f>
        <v/>
      </c>
      <c r="N24" s="37" t="str">
        <f>Resultatmappe!AR48</f>
        <v/>
      </c>
      <c r="P24" s="37" t="str">
        <f>Resultatmappe!BD48</f>
        <v/>
      </c>
      <c r="R24" s="37" t="str">
        <f>Resultatmappe!BP48</f>
        <v/>
      </c>
      <c r="T24" s="7" t="str">
        <f>Resultatmappe!CB48</f>
        <v/>
      </c>
      <c r="V24" s="7" t="str">
        <f>Resultatmappe!CN48</f>
        <v/>
      </c>
      <c r="X24" s="7" t="str">
        <f>Resultatmappe!CZ48</f>
        <v/>
      </c>
      <c r="Z24" s="37" t="str">
        <f>Resultatmappe!HQ48</f>
        <v/>
      </c>
      <c r="AB24" s="37" t="str">
        <f>Resultatmappe!HZ48</f>
        <v/>
      </c>
      <c r="AD24" s="37" t="str">
        <f>Resultatmappe!II48</f>
        <v/>
      </c>
      <c r="AF24" s="37" t="str">
        <f>Resultatmappe!IR48</f>
        <v/>
      </c>
      <c r="AH24" s="37" t="str">
        <f>Resultatmappe!JA48</f>
        <v/>
      </c>
      <c r="AJ24" s="37" t="str">
        <f>Resultatmappe!JJ48</f>
        <v/>
      </c>
      <c r="AL24" s="37" t="str">
        <f ca="1">Resultatmappe!MW48</f>
        <v>Zu wenige Werte</v>
      </c>
      <c r="AN24" s="37" t="str">
        <f>Resultatmappe!NH48</f>
        <v/>
      </c>
      <c r="AP24" s="37" t="str">
        <f>Resultatmappe!PD48</f>
        <v/>
      </c>
      <c r="AR24" s="37" t="str">
        <f>Resultatmappe!PP48</f>
        <v/>
      </c>
      <c r="AT24" s="37" t="str">
        <f>Resultatmappe!QC48</f>
        <v/>
      </c>
      <c r="AV24" s="7" t="str">
        <f>Resultatmappe!RO48</f>
        <v/>
      </c>
      <c r="AX24" s="7" t="str">
        <f>Resultatmappe!SA48</f>
        <v/>
      </c>
      <c r="AZ24" s="7" t="str">
        <f>Resultatmappe!SM48</f>
        <v/>
      </c>
      <c r="BB24" s="7" t="str">
        <f>Resultatmappe!SY48</f>
        <v/>
      </c>
      <c r="BD24" s="37" t="str">
        <f>Resultatmappe!TK48</f>
        <v/>
      </c>
      <c r="BF24">
        <f>Resultatmappe!ZK48</f>
        <v>0</v>
      </c>
      <c r="BH24" s="7" t="str">
        <f ca="1">Resultatmappe!ZW48</f>
        <v/>
      </c>
      <c r="BJ24" s="37" t="str">
        <f>Resultatmappe!AAS48</f>
        <v/>
      </c>
      <c r="BL24" s="37" t="str">
        <f>Resultatmappe!ABE48</f>
        <v/>
      </c>
      <c r="BN24" s="7" t="str">
        <f>Resultatmappe!ACC48</f>
        <v/>
      </c>
    </row>
    <row r="25" spans="1:66">
      <c r="A25" s="3">
        <v>0</v>
      </c>
      <c r="B25" s="3">
        <v>0</v>
      </c>
      <c r="C25" s="3"/>
      <c r="D25" s="3">
        <f>Resultatmappe!E49</f>
        <v>0</v>
      </c>
      <c r="E25" s="3"/>
      <c r="F25" s="3" t="str">
        <f>Resultatmappe!ZH49</f>
        <v>Disziplin</v>
      </c>
      <c r="G25" s="3"/>
      <c r="H25" s="7" t="str">
        <f>Resultatmappe!H49</f>
        <v/>
      </c>
      <c r="J25" s="7" t="str">
        <f>Resultatmappe!T49</f>
        <v/>
      </c>
      <c r="L25" s="7" t="str">
        <f>Resultatmappe!AF49</f>
        <v/>
      </c>
      <c r="N25" s="37" t="str">
        <f>Resultatmappe!AR49</f>
        <v/>
      </c>
      <c r="P25" s="37" t="str">
        <f>Resultatmappe!BD49</f>
        <v/>
      </c>
      <c r="R25" s="37" t="str">
        <f>Resultatmappe!BP49</f>
        <v/>
      </c>
      <c r="T25" s="7" t="str">
        <f>Resultatmappe!CB49</f>
        <v/>
      </c>
      <c r="V25" s="7" t="str">
        <f>Resultatmappe!CN49</f>
        <v/>
      </c>
      <c r="X25" s="7" t="str">
        <f>Resultatmappe!CZ49</f>
        <v/>
      </c>
      <c r="Z25" s="37" t="str">
        <f>Resultatmappe!HQ49</f>
        <v/>
      </c>
      <c r="AB25" s="37" t="str">
        <f>Resultatmappe!HZ49</f>
        <v/>
      </c>
      <c r="AD25" s="37" t="str">
        <f>Resultatmappe!II49</f>
        <v/>
      </c>
      <c r="AF25" s="37" t="str">
        <f>Resultatmappe!IR49</f>
        <v/>
      </c>
      <c r="AH25" s="37" t="str">
        <f>Resultatmappe!JA49</f>
        <v/>
      </c>
      <c r="AJ25" s="37" t="str">
        <f>Resultatmappe!JJ49</f>
        <v/>
      </c>
      <c r="AL25" s="37" t="str">
        <f ca="1">Resultatmappe!MW49</f>
        <v>Zu wenige Werte</v>
      </c>
      <c r="AN25" s="37" t="str">
        <f>Resultatmappe!NH49</f>
        <v/>
      </c>
      <c r="AP25" s="37" t="str">
        <f>Resultatmappe!PD49</f>
        <v/>
      </c>
      <c r="AR25" s="37" t="str">
        <f>Resultatmappe!PP49</f>
        <v/>
      </c>
      <c r="AT25" s="37" t="str">
        <f>Resultatmappe!QC49</f>
        <v/>
      </c>
      <c r="AV25" s="7" t="str">
        <f>Resultatmappe!RO49</f>
        <v/>
      </c>
      <c r="AX25" s="7" t="str">
        <f>Resultatmappe!SA49</f>
        <v/>
      </c>
      <c r="AZ25" s="7" t="str">
        <f>Resultatmappe!SM49</f>
        <v/>
      </c>
      <c r="BB25" s="7" t="str">
        <f>Resultatmappe!SY49</f>
        <v/>
      </c>
      <c r="BD25" s="37" t="str">
        <f>Resultatmappe!TK49</f>
        <v/>
      </c>
      <c r="BF25">
        <f>Resultatmappe!ZK49</f>
        <v>0</v>
      </c>
      <c r="BH25" s="7" t="str">
        <f ca="1">Resultatmappe!ZW49</f>
        <v/>
      </c>
      <c r="BJ25" s="37" t="str">
        <f>Resultatmappe!AAS49</f>
        <v/>
      </c>
      <c r="BL25" s="37" t="str">
        <f>Resultatmappe!ABE49</f>
        <v/>
      </c>
      <c r="BN25" s="7" t="str">
        <f>Resultatmappe!ACC49</f>
        <v/>
      </c>
    </row>
    <row r="26" spans="1:66">
      <c r="A26" s="3">
        <v>0</v>
      </c>
      <c r="B26" s="3">
        <v>0</v>
      </c>
      <c r="C26" s="3"/>
      <c r="D26" s="3">
        <f>Resultatmappe!E50</f>
        <v>0</v>
      </c>
      <c r="E26" s="3"/>
      <c r="F26" s="3" t="str">
        <f>Resultatmappe!ZH50</f>
        <v>Disziplin</v>
      </c>
      <c r="G26" s="3"/>
      <c r="H26" s="7" t="str">
        <f>Resultatmappe!H50</f>
        <v/>
      </c>
      <c r="J26" s="7" t="str">
        <f>Resultatmappe!T50</f>
        <v/>
      </c>
      <c r="L26" s="7" t="str">
        <f>Resultatmappe!AF50</f>
        <v/>
      </c>
      <c r="N26" s="37" t="str">
        <f>Resultatmappe!AR50</f>
        <v/>
      </c>
      <c r="P26" s="37" t="str">
        <f>Resultatmappe!BD50</f>
        <v/>
      </c>
      <c r="R26" s="37" t="str">
        <f>Resultatmappe!BP50</f>
        <v/>
      </c>
      <c r="T26" s="7" t="str">
        <f>Resultatmappe!CB50</f>
        <v/>
      </c>
      <c r="V26" s="7" t="str">
        <f>Resultatmappe!CN50</f>
        <v/>
      </c>
      <c r="X26" s="7" t="str">
        <f>Resultatmappe!CZ50</f>
        <v/>
      </c>
      <c r="Z26" s="37" t="str">
        <f>Resultatmappe!HQ50</f>
        <v/>
      </c>
      <c r="AB26" s="37" t="str">
        <f>Resultatmappe!HZ50</f>
        <v/>
      </c>
      <c r="AD26" s="37" t="str">
        <f>Resultatmappe!II50</f>
        <v/>
      </c>
      <c r="AF26" s="37" t="str">
        <f>Resultatmappe!IR50</f>
        <v/>
      </c>
      <c r="AH26" s="37" t="str">
        <f>Resultatmappe!JA50</f>
        <v/>
      </c>
      <c r="AJ26" s="37" t="str">
        <f>Resultatmappe!JJ50</f>
        <v/>
      </c>
      <c r="AL26" s="37" t="str">
        <f ca="1">Resultatmappe!MW50</f>
        <v>Zu wenige Werte</v>
      </c>
      <c r="AN26" s="37" t="str">
        <f>Resultatmappe!NH50</f>
        <v/>
      </c>
      <c r="AP26" s="37" t="str">
        <f>Resultatmappe!PD50</f>
        <v/>
      </c>
      <c r="AR26" s="37" t="str">
        <f>Resultatmappe!PP50</f>
        <v/>
      </c>
      <c r="AT26" s="37" t="str">
        <f>Resultatmappe!QC50</f>
        <v/>
      </c>
      <c r="AV26" s="7" t="str">
        <f>Resultatmappe!RO50</f>
        <v/>
      </c>
      <c r="AX26" s="7" t="str">
        <f>Resultatmappe!SA50</f>
        <v/>
      </c>
      <c r="AZ26" s="7" t="str">
        <f>Resultatmappe!SM50</f>
        <v/>
      </c>
      <c r="BB26" s="7" t="str">
        <f>Resultatmappe!SY50</f>
        <v/>
      </c>
      <c r="BD26" s="37" t="str">
        <f>Resultatmappe!TK50</f>
        <v/>
      </c>
      <c r="BF26">
        <f>Resultatmappe!ZK50</f>
        <v>0</v>
      </c>
      <c r="BH26" s="7" t="str">
        <f ca="1">Resultatmappe!ZW50</f>
        <v/>
      </c>
      <c r="BJ26" s="37" t="str">
        <f>Resultatmappe!AAS50</f>
        <v/>
      </c>
      <c r="BL26" s="37" t="str">
        <f>Resultatmappe!ABE50</f>
        <v/>
      </c>
      <c r="BN26" s="7" t="str">
        <f>Resultatmappe!ACC50</f>
        <v/>
      </c>
    </row>
    <row r="27" spans="1:66">
      <c r="A27" s="3">
        <v>0</v>
      </c>
      <c r="B27" s="3">
        <v>0</v>
      </c>
      <c r="C27" s="3"/>
      <c r="D27" s="3">
        <f>Resultatmappe!E51</f>
        <v>0</v>
      </c>
      <c r="E27" s="3"/>
      <c r="F27" s="3" t="str">
        <f>Resultatmappe!ZH51</f>
        <v>Disziplin</v>
      </c>
      <c r="G27" s="3"/>
      <c r="H27" s="7" t="str">
        <f>Resultatmappe!H51</f>
        <v/>
      </c>
      <c r="J27" s="7" t="str">
        <f>Resultatmappe!T51</f>
        <v/>
      </c>
      <c r="L27" s="7" t="str">
        <f>Resultatmappe!AF51</f>
        <v/>
      </c>
      <c r="N27" s="37" t="str">
        <f>Resultatmappe!AR51</f>
        <v/>
      </c>
      <c r="P27" s="37" t="str">
        <f>Resultatmappe!BD51</f>
        <v/>
      </c>
      <c r="R27" s="37" t="str">
        <f>Resultatmappe!BP51</f>
        <v/>
      </c>
      <c r="T27" s="7" t="str">
        <f>Resultatmappe!CB51</f>
        <v/>
      </c>
      <c r="V27" s="7" t="str">
        <f>Resultatmappe!CN51</f>
        <v/>
      </c>
      <c r="X27" s="7" t="str">
        <f>Resultatmappe!CZ51</f>
        <v/>
      </c>
      <c r="Z27" s="37" t="str">
        <f>Resultatmappe!HQ51</f>
        <v/>
      </c>
      <c r="AB27" s="37" t="str">
        <f>Resultatmappe!HZ51</f>
        <v/>
      </c>
      <c r="AD27" s="37" t="str">
        <f>Resultatmappe!II51</f>
        <v/>
      </c>
      <c r="AF27" s="37" t="str">
        <f>Resultatmappe!IR51</f>
        <v/>
      </c>
      <c r="AH27" s="37" t="str">
        <f>Resultatmappe!JA51</f>
        <v/>
      </c>
      <c r="AJ27" s="37" t="str">
        <f>Resultatmappe!JJ51</f>
        <v/>
      </c>
      <c r="AL27" s="37" t="str">
        <f ca="1">Resultatmappe!MW51</f>
        <v>Zu wenige Werte</v>
      </c>
      <c r="AN27" s="37" t="str">
        <f>Resultatmappe!NH51</f>
        <v/>
      </c>
      <c r="AP27" s="37" t="str">
        <f>Resultatmappe!PD51</f>
        <v/>
      </c>
      <c r="AR27" s="37" t="str">
        <f>Resultatmappe!PP51</f>
        <v/>
      </c>
      <c r="AT27" s="37" t="str">
        <f>Resultatmappe!QC51</f>
        <v/>
      </c>
      <c r="AV27" s="7" t="str">
        <f>Resultatmappe!RO51</f>
        <v/>
      </c>
      <c r="AX27" s="7" t="str">
        <f>Resultatmappe!SA51</f>
        <v/>
      </c>
      <c r="AZ27" s="7" t="str">
        <f>Resultatmappe!SM51</f>
        <v/>
      </c>
      <c r="BB27" s="7" t="str">
        <f>Resultatmappe!SY51</f>
        <v/>
      </c>
      <c r="BD27" s="37" t="str">
        <f>Resultatmappe!TK51</f>
        <v/>
      </c>
      <c r="BF27">
        <f>Resultatmappe!ZK51</f>
        <v>0</v>
      </c>
      <c r="BH27" s="7" t="str">
        <f ca="1">Resultatmappe!ZW51</f>
        <v/>
      </c>
      <c r="BJ27" s="37" t="str">
        <f>Resultatmappe!AAS51</f>
        <v/>
      </c>
      <c r="BL27" s="37" t="str">
        <f>Resultatmappe!ABE51</f>
        <v/>
      </c>
      <c r="BN27" s="7" t="str">
        <f>Resultatmappe!ACC51</f>
        <v/>
      </c>
    </row>
    <row r="28" spans="1:66">
      <c r="A28" s="3">
        <v>0</v>
      </c>
      <c r="B28" s="3">
        <v>0</v>
      </c>
      <c r="C28" s="3"/>
      <c r="D28" s="3">
        <f>Resultatmappe!E52</f>
        <v>0</v>
      </c>
      <c r="E28" s="3"/>
      <c r="F28" s="3" t="str">
        <f>Resultatmappe!ZH52</f>
        <v>Disziplin</v>
      </c>
      <c r="G28" s="3"/>
      <c r="H28" s="7" t="str">
        <f>Resultatmappe!H52</f>
        <v/>
      </c>
      <c r="J28" s="7" t="str">
        <f>Resultatmappe!T52</f>
        <v/>
      </c>
      <c r="L28" s="7" t="str">
        <f>Resultatmappe!AF52</f>
        <v/>
      </c>
      <c r="N28" s="37" t="str">
        <f>Resultatmappe!AR52</f>
        <v/>
      </c>
      <c r="P28" s="37" t="str">
        <f>Resultatmappe!BD52</f>
        <v/>
      </c>
      <c r="R28" s="37" t="str">
        <f>Resultatmappe!BP52</f>
        <v/>
      </c>
      <c r="T28" s="7" t="str">
        <f>Resultatmappe!CB52</f>
        <v/>
      </c>
      <c r="V28" s="7" t="str">
        <f>Resultatmappe!CN52</f>
        <v/>
      </c>
      <c r="X28" s="7" t="str">
        <f>Resultatmappe!CZ52</f>
        <v/>
      </c>
      <c r="Z28" s="37" t="str">
        <f>Resultatmappe!HQ52</f>
        <v/>
      </c>
      <c r="AB28" s="37" t="str">
        <f>Resultatmappe!HZ52</f>
        <v/>
      </c>
      <c r="AD28" s="37" t="str">
        <f>Resultatmappe!II52</f>
        <v/>
      </c>
      <c r="AF28" s="37" t="str">
        <f>Resultatmappe!IR52</f>
        <v/>
      </c>
      <c r="AH28" s="37" t="str">
        <f>Resultatmappe!JA52</f>
        <v/>
      </c>
      <c r="AJ28" s="37" t="str">
        <f>Resultatmappe!JJ52</f>
        <v/>
      </c>
      <c r="AL28" s="37" t="str">
        <f ca="1">Resultatmappe!MW52</f>
        <v>Zu wenige Werte</v>
      </c>
      <c r="AN28" s="37" t="str">
        <f>Resultatmappe!NH52</f>
        <v/>
      </c>
      <c r="AP28" s="37" t="str">
        <f>Resultatmappe!PD52</f>
        <v/>
      </c>
      <c r="AR28" s="37" t="str">
        <f>Resultatmappe!PP52</f>
        <v/>
      </c>
      <c r="AT28" s="37" t="str">
        <f>Resultatmappe!QC52</f>
        <v/>
      </c>
      <c r="AV28" s="7" t="str">
        <f>Resultatmappe!RO52</f>
        <v/>
      </c>
      <c r="AX28" s="7" t="str">
        <f>Resultatmappe!SA52</f>
        <v/>
      </c>
      <c r="AZ28" s="7" t="str">
        <f>Resultatmappe!SM52</f>
        <v/>
      </c>
      <c r="BB28" s="7" t="str">
        <f>Resultatmappe!SY52</f>
        <v/>
      </c>
      <c r="BD28" s="37" t="str">
        <f>Resultatmappe!TK52</f>
        <v/>
      </c>
      <c r="BF28">
        <f>Resultatmappe!ZK52</f>
        <v>0</v>
      </c>
      <c r="BH28" s="7" t="str">
        <f ca="1">Resultatmappe!ZW52</f>
        <v/>
      </c>
      <c r="BJ28" s="37" t="str">
        <f>Resultatmappe!AAS52</f>
        <v/>
      </c>
      <c r="BL28" s="37" t="str">
        <f>Resultatmappe!ABE52</f>
        <v/>
      </c>
      <c r="BN28" s="7" t="str">
        <f>Resultatmappe!ACC52</f>
        <v/>
      </c>
    </row>
    <row r="29" spans="1:66">
      <c r="A29" s="3">
        <v>0</v>
      </c>
      <c r="B29" s="3">
        <v>0</v>
      </c>
      <c r="C29" s="3"/>
      <c r="D29" s="3">
        <f>Resultatmappe!E53</f>
        <v>0</v>
      </c>
      <c r="E29" s="3"/>
      <c r="F29" s="3" t="str">
        <f>Resultatmappe!ZH53</f>
        <v>Disziplin</v>
      </c>
      <c r="G29" s="3"/>
      <c r="H29" s="7" t="str">
        <f>Resultatmappe!H53</f>
        <v/>
      </c>
      <c r="J29" s="7" t="str">
        <f>Resultatmappe!T53</f>
        <v/>
      </c>
      <c r="L29" s="7" t="str">
        <f>Resultatmappe!AF53</f>
        <v/>
      </c>
      <c r="N29" s="37" t="str">
        <f>Resultatmappe!AR53</f>
        <v/>
      </c>
      <c r="P29" s="37" t="str">
        <f>Resultatmappe!BD53</f>
        <v/>
      </c>
      <c r="R29" s="37" t="str">
        <f>Resultatmappe!BP53</f>
        <v/>
      </c>
      <c r="T29" s="7" t="str">
        <f>Resultatmappe!CB53</f>
        <v/>
      </c>
      <c r="V29" s="7" t="str">
        <f>Resultatmappe!CN53</f>
        <v/>
      </c>
      <c r="X29" s="7" t="str">
        <f>Resultatmappe!CZ53</f>
        <v/>
      </c>
      <c r="Z29" s="37" t="str">
        <f>Resultatmappe!HQ53</f>
        <v/>
      </c>
      <c r="AB29" s="37" t="str">
        <f>Resultatmappe!HZ53</f>
        <v/>
      </c>
      <c r="AD29" s="37" t="str">
        <f>Resultatmappe!II53</f>
        <v/>
      </c>
      <c r="AF29" s="37" t="str">
        <f>Resultatmappe!IR53</f>
        <v/>
      </c>
      <c r="AH29" s="37" t="str">
        <f>Resultatmappe!JA53</f>
        <v/>
      </c>
      <c r="AJ29" s="37" t="str">
        <f>Resultatmappe!JJ53</f>
        <v/>
      </c>
      <c r="AL29" s="37" t="str">
        <f ca="1">Resultatmappe!MW53</f>
        <v>Zu wenige Werte</v>
      </c>
      <c r="AN29" s="37" t="str">
        <f>Resultatmappe!NH53</f>
        <v/>
      </c>
      <c r="AP29" s="37" t="str">
        <f>Resultatmappe!PD53</f>
        <v/>
      </c>
      <c r="AR29" s="37" t="str">
        <f>Resultatmappe!PP53</f>
        <v/>
      </c>
      <c r="AT29" s="37" t="str">
        <f>Resultatmappe!QC53</f>
        <v/>
      </c>
      <c r="AV29" s="7" t="str">
        <f>Resultatmappe!RO53</f>
        <v/>
      </c>
      <c r="AX29" s="7" t="str">
        <f>Resultatmappe!SA53</f>
        <v/>
      </c>
      <c r="AZ29" s="7" t="str">
        <f>Resultatmappe!SM53</f>
        <v/>
      </c>
      <c r="BB29" s="7" t="str">
        <f>Resultatmappe!SY53</f>
        <v/>
      </c>
      <c r="BD29" s="37" t="str">
        <f>Resultatmappe!TK53</f>
        <v/>
      </c>
      <c r="BF29">
        <f>Resultatmappe!ZK53</f>
        <v>0</v>
      </c>
      <c r="BH29" s="7" t="str">
        <f ca="1">Resultatmappe!ZW53</f>
        <v/>
      </c>
      <c r="BJ29" s="37" t="str">
        <f>Resultatmappe!AAS53</f>
        <v/>
      </c>
      <c r="BL29" s="37" t="str">
        <f>Resultatmappe!ABE53</f>
        <v/>
      </c>
      <c r="BN29" s="7" t="str">
        <f>Resultatmappe!ACC53</f>
        <v/>
      </c>
    </row>
    <row r="30" spans="1:66">
      <c r="A30" s="3">
        <v>0</v>
      </c>
      <c r="B30" s="3">
        <v>0</v>
      </c>
      <c r="C30" s="3"/>
      <c r="D30" s="3">
        <f>Resultatmappe!E54</f>
        <v>0</v>
      </c>
      <c r="E30" s="3"/>
      <c r="F30" s="3" t="str">
        <f>Resultatmappe!ZH54</f>
        <v>Disziplin</v>
      </c>
      <c r="G30" s="3"/>
      <c r="H30" s="7" t="str">
        <f>Resultatmappe!H54</f>
        <v/>
      </c>
      <c r="J30" s="7" t="str">
        <f>Resultatmappe!T54</f>
        <v/>
      </c>
      <c r="L30" s="7" t="str">
        <f>Resultatmappe!AF54</f>
        <v/>
      </c>
      <c r="N30" s="37" t="str">
        <f>Resultatmappe!AR54</f>
        <v/>
      </c>
      <c r="P30" s="37" t="str">
        <f>Resultatmappe!BD54</f>
        <v/>
      </c>
      <c r="R30" s="37" t="str">
        <f>Resultatmappe!BP54</f>
        <v/>
      </c>
      <c r="T30" s="7" t="str">
        <f>Resultatmappe!CB54</f>
        <v/>
      </c>
      <c r="V30" s="7" t="str">
        <f>Resultatmappe!CN54</f>
        <v/>
      </c>
      <c r="X30" s="7" t="str">
        <f>Resultatmappe!CZ54</f>
        <v/>
      </c>
      <c r="Z30" s="37" t="str">
        <f>Resultatmappe!HQ54</f>
        <v/>
      </c>
      <c r="AB30" s="37" t="str">
        <f>Resultatmappe!HZ54</f>
        <v/>
      </c>
      <c r="AD30" s="37" t="str">
        <f>Resultatmappe!II54</f>
        <v/>
      </c>
      <c r="AF30" s="37" t="str">
        <f>Resultatmappe!IR54</f>
        <v/>
      </c>
      <c r="AH30" s="37" t="str">
        <f>Resultatmappe!JA54</f>
        <v/>
      </c>
      <c r="AJ30" s="37" t="str">
        <f>Resultatmappe!JJ54</f>
        <v/>
      </c>
      <c r="AL30" s="37" t="str">
        <f ca="1">Resultatmappe!MW54</f>
        <v>Zu wenige Werte</v>
      </c>
      <c r="AN30" s="37" t="str">
        <f>Resultatmappe!NH54</f>
        <v/>
      </c>
      <c r="AP30" s="37" t="str">
        <f>Resultatmappe!PD54</f>
        <v/>
      </c>
      <c r="AR30" s="37" t="str">
        <f>Resultatmappe!PP54</f>
        <v/>
      </c>
      <c r="AT30" s="37" t="str">
        <f>Resultatmappe!QC54</f>
        <v/>
      </c>
      <c r="AV30" s="7" t="str">
        <f>Resultatmappe!RO54</f>
        <v/>
      </c>
      <c r="AX30" s="7" t="str">
        <f>Resultatmappe!SA54</f>
        <v/>
      </c>
      <c r="AZ30" s="7" t="str">
        <f>Resultatmappe!SM54</f>
        <v/>
      </c>
      <c r="BB30" s="7" t="str">
        <f>Resultatmappe!SY54</f>
        <v/>
      </c>
      <c r="BD30" s="37" t="str">
        <f>Resultatmappe!TK54</f>
        <v/>
      </c>
      <c r="BF30">
        <f>Resultatmappe!ZK54</f>
        <v>0</v>
      </c>
      <c r="BH30" s="7" t="str">
        <f ca="1">Resultatmappe!ZW54</f>
        <v/>
      </c>
      <c r="BJ30" s="37" t="str">
        <f>Resultatmappe!AAS54</f>
        <v/>
      </c>
      <c r="BL30" s="37" t="str">
        <f>Resultatmappe!ABE54</f>
        <v/>
      </c>
      <c r="BN30" s="7" t="str">
        <f>Resultatmappe!ACC54</f>
        <v/>
      </c>
    </row>
    <row r="31" spans="1:66">
      <c r="A31" s="3">
        <v>0</v>
      </c>
      <c r="B31" s="3">
        <v>0</v>
      </c>
      <c r="C31" s="3"/>
      <c r="D31" s="3">
        <f>Resultatmappe!E55</f>
        <v>0</v>
      </c>
      <c r="E31" s="3"/>
      <c r="F31" s="3" t="str">
        <f>Resultatmappe!ZH55</f>
        <v>Disziplin</v>
      </c>
      <c r="G31" s="3"/>
      <c r="H31" s="7" t="str">
        <f>Resultatmappe!H55</f>
        <v/>
      </c>
      <c r="J31" s="7" t="str">
        <f>Resultatmappe!T55</f>
        <v/>
      </c>
      <c r="L31" s="7" t="str">
        <f>Resultatmappe!AF55</f>
        <v/>
      </c>
      <c r="N31" s="37" t="str">
        <f>Resultatmappe!AR55</f>
        <v/>
      </c>
      <c r="P31" s="37" t="str">
        <f>Resultatmappe!BD55</f>
        <v/>
      </c>
      <c r="R31" s="37" t="str">
        <f>Resultatmappe!BP55</f>
        <v/>
      </c>
      <c r="T31" s="7" t="str">
        <f>Resultatmappe!CB55</f>
        <v/>
      </c>
      <c r="V31" s="7" t="str">
        <f>Resultatmappe!CN55</f>
        <v/>
      </c>
      <c r="X31" s="7" t="str">
        <f>Resultatmappe!CZ55</f>
        <v/>
      </c>
      <c r="Z31" s="37" t="str">
        <f>Resultatmappe!HQ55</f>
        <v/>
      </c>
      <c r="AB31" s="37" t="str">
        <f>Resultatmappe!HZ55</f>
        <v/>
      </c>
      <c r="AD31" s="37" t="str">
        <f>Resultatmappe!II55</f>
        <v/>
      </c>
      <c r="AF31" s="37" t="str">
        <f>Resultatmappe!IR55</f>
        <v/>
      </c>
      <c r="AH31" s="37" t="str">
        <f>Resultatmappe!JA55</f>
        <v/>
      </c>
      <c r="AJ31" s="37" t="str">
        <f>Resultatmappe!JJ55</f>
        <v/>
      </c>
      <c r="AL31" s="37" t="str">
        <f ca="1">Resultatmappe!MW55</f>
        <v>Zu wenige Werte</v>
      </c>
      <c r="AN31" s="37" t="str">
        <f>Resultatmappe!NH55</f>
        <v/>
      </c>
      <c r="AP31" s="37" t="str">
        <f>Resultatmappe!PD55</f>
        <v/>
      </c>
      <c r="AR31" s="37" t="str">
        <f>Resultatmappe!PP55</f>
        <v/>
      </c>
      <c r="AT31" s="37" t="str">
        <f>Resultatmappe!QC55</f>
        <v/>
      </c>
      <c r="AV31" s="7" t="str">
        <f>Resultatmappe!RO55</f>
        <v/>
      </c>
      <c r="AX31" s="7" t="str">
        <f>Resultatmappe!SA55</f>
        <v/>
      </c>
      <c r="AZ31" s="7" t="str">
        <f>Resultatmappe!SM55</f>
        <v/>
      </c>
      <c r="BB31" s="7" t="str">
        <f>Resultatmappe!SY55</f>
        <v/>
      </c>
      <c r="BD31" s="37" t="str">
        <f>Resultatmappe!TK55</f>
        <v/>
      </c>
      <c r="BF31">
        <f>Resultatmappe!ZK55</f>
        <v>0</v>
      </c>
      <c r="BH31" s="7" t="str">
        <f ca="1">Resultatmappe!ZW55</f>
        <v/>
      </c>
      <c r="BJ31" s="37" t="str">
        <f>Resultatmappe!AAS55</f>
        <v/>
      </c>
      <c r="BL31" s="37" t="str">
        <f>Resultatmappe!ABE55</f>
        <v/>
      </c>
      <c r="BN31" s="7" t="str">
        <f>Resultatmappe!ACC55</f>
        <v/>
      </c>
    </row>
    <row r="32" spans="1:66">
      <c r="A32" s="3">
        <v>0</v>
      </c>
      <c r="B32" s="3">
        <v>0</v>
      </c>
      <c r="C32" s="3"/>
      <c r="D32" s="3">
        <f>Resultatmappe!E56</f>
        <v>0</v>
      </c>
      <c r="E32" s="3"/>
      <c r="F32" s="3" t="str">
        <f>Resultatmappe!ZH56</f>
        <v>Disziplin</v>
      </c>
      <c r="G32" s="3"/>
      <c r="H32" s="7" t="str">
        <f>Resultatmappe!H56</f>
        <v/>
      </c>
      <c r="J32" s="7" t="str">
        <f>Resultatmappe!T56</f>
        <v/>
      </c>
      <c r="L32" s="7" t="str">
        <f>Resultatmappe!AF56</f>
        <v/>
      </c>
      <c r="N32" s="37" t="str">
        <f>Resultatmappe!AR56</f>
        <v/>
      </c>
      <c r="P32" s="37" t="str">
        <f>Resultatmappe!BD56</f>
        <v/>
      </c>
      <c r="R32" s="37" t="str">
        <f>Resultatmappe!BP56</f>
        <v/>
      </c>
      <c r="T32" s="7" t="str">
        <f>Resultatmappe!CB56</f>
        <v/>
      </c>
      <c r="V32" s="7" t="str">
        <f>Resultatmappe!CN56</f>
        <v/>
      </c>
      <c r="X32" s="7" t="str">
        <f>Resultatmappe!CZ56</f>
        <v/>
      </c>
      <c r="Z32" s="37" t="str">
        <f>Resultatmappe!HQ56</f>
        <v/>
      </c>
      <c r="AB32" s="37" t="str">
        <f>Resultatmappe!HZ56</f>
        <v/>
      </c>
      <c r="AD32" s="37" t="str">
        <f>Resultatmappe!II56</f>
        <v/>
      </c>
      <c r="AF32" s="37" t="str">
        <f>Resultatmappe!IR56</f>
        <v/>
      </c>
      <c r="AH32" s="37" t="str">
        <f>Resultatmappe!JA56</f>
        <v/>
      </c>
      <c r="AJ32" s="37" t="str">
        <f>Resultatmappe!JJ56</f>
        <v/>
      </c>
      <c r="AL32" s="37" t="str">
        <f ca="1">Resultatmappe!MW56</f>
        <v>Zu wenige Werte</v>
      </c>
      <c r="AN32" s="37" t="str">
        <f>Resultatmappe!NH56</f>
        <v/>
      </c>
      <c r="AP32" s="37" t="str">
        <f>Resultatmappe!PD56</f>
        <v/>
      </c>
      <c r="AR32" s="37" t="str">
        <f>Resultatmappe!PP56</f>
        <v/>
      </c>
      <c r="AT32" s="37" t="str">
        <f>Resultatmappe!QC56</f>
        <v/>
      </c>
      <c r="AV32" s="7" t="str">
        <f>Resultatmappe!RO56</f>
        <v/>
      </c>
      <c r="AX32" s="7" t="str">
        <f>Resultatmappe!SA56</f>
        <v/>
      </c>
      <c r="AZ32" s="7" t="str">
        <f>Resultatmappe!SM56</f>
        <v/>
      </c>
      <c r="BB32" s="7" t="str">
        <f>Resultatmappe!SY56</f>
        <v/>
      </c>
      <c r="BD32" s="37" t="str">
        <f>Resultatmappe!TK56</f>
        <v/>
      </c>
      <c r="BF32">
        <f>Resultatmappe!ZK56</f>
        <v>0</v>
      </c>
      <c r="BH32" s="7" t="str">
        <f ca="1">Resultatmappe!ZW56</f>
        <v/>
      </c>
      <c r="BJ32" s="37" t="str">
        <f>Resultatmappe!AAS56</f>
        <v/>
      </c>
      <c r="BL32" s="37" t="str">
        <f>Resultatmappe!ABE56</f>
        <v/>
      </c>
      <c r="BN32" s="7" t="str">
        <f>Resultatmappe!ACC56</f>
        <v/>
      </c>
    </row>
    <row r="33" spans="1:66">
      <c r="A33" s="3">
        <v>0</v>
      </c>
      <c r="B33" s="3">
        <v>0</v>
      </c>
      <c r="C33" s="3"/>
      <c r="D33" s="3">
        <f>Resultatmappe!E57</f>
        <v>0</v>
      </c>
      <c r="E33" s="3"/>
      <c r="F33" s="3" t="str">
        <f>Resultatmappe!ZH57</f>
        <v>Disziplin</v>
      </c>
      <c r="G33" s="3"/>
      <c r="H33" s="7" t="str">
        <f>Resultatmappe!H57</f>
        <v/>
      </c>
      <c r="J33" s="7" t="str">
        <f>Resultatmappe!T57</f>
        <v/>
      </c>
      <c r="L33" s="7" t="str">
        <f>Resultatmappe!AF57</f>
        <v/>
      </c>
      <c r="N33" s="37" t="str">
        <f>Resultatmappe!AR57</f>
        <v/>
      </c>
      <c r="P33" s="37" t="str">
        <f>Resultatmappe!BD57</f>
        <v/>
      </c>
      <c r="R33" s="37" t="str">
        <f>Resultatmappe!BP57</f>
        <v/>
      </c>
      <c r="T33" s="7" t="str">
        <f>Resultatmappe!CB57</f>
        <v/>
      </c>
      <c r="V33" s="7" t="str">
        <f>Resultatmappe!CN57</f>
        <v/>
      </c>
      <c r="X33" s="7" t="str">
        <f>Resultatmappe!CZ57</f>
        <v/>
      </c>
      <c r="Z33" s="37" t="str">
        <f>Resultatmappe!HQ57</f>
        <v/>
      </c>
      <c r="AB33" s="37" t="str">
        <f>Resultatmappe!HZ57</f>
        <v/>
      </c>
      <c r="AD33" s="37" t="str">
        <f>Resultatmappe!II57</f>
        <v/>
      </c>
      <c r="AF33" s="37" t="str">
        <f>Resultatmappe!IR57</f>
        <v/>
      </c>
      <c r="AH33" s="37" t="str">
        <f>Resultatmappe!JA57</f>
        <v/>
      </c>
      <c r="AJ33" s="37" t="str">
        <f>Resultatmappe!JJ57</f>
        <v/>
      </c>
      <c r="AL33" s="37" t="str">
        <f ca="1">Resultatmappe!MW57</f>
        <v>Zu wenige Werte</v>
      </c>
      <c r="AN33" s="37" t="str">
        <f>Resultatmappe!NH57</f>
        <v/>
      </c>
      <c r="AP33" s="37" t="str">
        <f>Resultatmappe!PD57</f>
        <v/>
      </c>
      <c r="AR33" s="37" t="str">
        <f>Resultatmappe!PP57</f>
        <v/>
      </c>
      <c r="AT33" s="37" t="str">
        <f>Resultatmappe!QC57</f>
        <v/>
      </c>
      <c r="AV33" s="7" t="str">
        <f>Resultatmappe!RO57</f>
        <v/>
      </c>
      <c r="AX33" s="7" t="str">
        <f>Resultatmappe!SA57</f>
        <v/>
      </c>
      <c r="AZ33" s="7" t="str">
        <f>Resultatmappe!SM57</f>
        <v/>
      </c>
      <c r="BB33" s="7" t="str">
        <f>Resultatmappe!SY57</f>
        <v/>
      </c>
      <c r="BD33" s="37" t="str">
        <f>Resultatmappe!TK57</f>
        <v/>
      </c>
      <c r="BF33">
        <f>Resultatmappe!ZK57</f>
        <v>0</v>
      </c>
      <c r="BH33" s="7" t="str">
        <f ca="1">Resultatmappe!ZW57</f>
        <v/>
      </c>
      <c r="BJ33" s="37" t="str">
        <f>Resultatmappe!AAS57</f>
        <v/>
      </c>
      <c r="BL33" s="37" t="str">
        <f>Resultatmappe!ABE57</f>
        <v/>
      </c>
      <c r="BN33" s="7" t="str">
        <f>Resultatmappe!ACC57</f>
        <v/>
      </c>
    </row>
    <row r="35" spans="1:66">
      <c r="H35" t="s">
        <v>179</v>
      </c>
      <c r="J35" t="s">
        <v>180</v>
      </c>
      <c r="L35" t="s">
        <v>181</v>
      </c>
      <c r="N35" t="s">
        <v>182</v>
      </c>
      <c r="P35" t="s">
        <v>183</v>
      </c>
      <c r="R35" t="s">
        <v>184</v>
      </c>
      <c r="T35" t="s">
        <v>185</v>
      </c>
      <c r="V35" t="s">
        <v>186</v>
      </c>
      <c r="X35" t="s">
        <v>187</v>
      </c>
      <c r="Z35" t="s">
        <v>188</v>
      </c>
      <c r="AB35" t="s">
        <v>189</v>
      </c>
      <c r="AD35" t="s">
        <v>190</v>
      </c>
      <c r="AF35" t="s">
        <v>191</v>
      </c>
      <c r="AH35" t="s">
        <v>192</v>
      </c>
      <c r="AJ35" t="s">
        <v>193</v>
      </c>
      <c r="AL35" t="s">
        <v>194</v>
      </c>
      <c r="AN35" t="s">
        <v>195</v>
      </c>
      <c r="AP35" t="s">
        <v>196</v>
      </c>
      <c r="AR35" t="s">
        <v>197</v>
      </c>
      <c r="AT35" t="s">
        <v>198</v>
      </c>
      <c r="AV35" t="s">
        <v>199</v>
      </c>
      <c r="AX35" t="s">
        <v>200</v>
      </c>
      <c r="AZ35" t="s">
        <v>201</v>
      </c>
      <c r="BB35" t="s">
        <v>202</v>
      </c>
      <c r="BD35" t="s">
        <v>203</v>
      </c>
      <c r="BF35" t="s">
        <v>204</v>
      </c>
      <c r="BH35" t="s">
        <v>205</v>
      </c>
      <c r="BJ35" t="s">
        <v>206</v>
      </c>
      <c r="BL35" t="s">
        <v>207</v>
      </c>
      <c r="BN35" t="s">
        <v>208</v>
      </c>
    </row>
    <row r="36" spans="1:66">
      <c r="A36" s="3">
        <f t="array" ref="A36:A65">A4:A33</f>
        <v>0</v>
      </c>
      <c r="B36" s="3">
        <f t="array" ref="B36:B65">B4:B33</f>
        <v>0</v>
      </c>
      <c r="H36" t="str">
        <f ca="1">Resultatmappe!Q28</f>
        <v/>
      </c>
      <c r="J36" t="str">
        <f ca="1">Resultatmappe!AC28</f>
        <v/>
      </c>
      <c r="L36" t="str">
        <f ca="1">Resultatmappe!AO28</f>
        <v/>
      </c>
      <c r="N36" t="str">
        <f ca="1">Resultatmappe!BA28</f>
        <v/>
      </c>
      <c r="P36" t="str">
        <f ca="1">Resultatmappe!BM28</f>
        <v/>
      </c>
      <c r="R36" t="str">
        <f ca="1">Resultatmappe!BY28</f>
        <v/>
      </c>
      <c r="T36" t="str">
        <f ca="1">Resultatmappe!CK28</f>
        <v/>
      </c>
      <c r="V36" t="str">
        <f ca="1">Resultatmappe!CW28</f>
        <v/>
      </c>
      <c r="X36" t="str">
        <f ca="1">Resultatmappe!DI28</f>
        <v/>
      </c>
      <c r="AL36" s="7" t="str">
        <f ca="1">Resultatmappe!NE28</f>
        <v/>
      </c>
      <c r="AN36" t="str">
        <f ca="1">Resultatmappe!NR28</f>
        <v/>
      </c>
      <c r="AP36" s="7" t="str">
        <f ca="1">Resultatmappe!PM28</f>
        <v/>
      </c>
      <c r="AR36" s="7" t="str">
        <f ca="1">Resultatmappe!PZ28</f>
        <v/>
      </c>
      <c r="AT36" s="7" t="str">
        <f ca="1">Resultatmappe!QL28</f>
        <v/>
      </c>
      <c r="AV36" t="str">
        <f ca="1">Resultatmappe!RX28</f>
        <v/>
      </c>
      <c r="AX36" t="str">
        <f ca="1">Resultatmappe!SJ28</f>
        <v/>
      </c>
      <c r="AZ36" t="str">
        <f ca="1">Resultatmappe!SV28</f>
        <v/>
      </c>
      <c r="BB36" t="str">
        <f ca="1">Resultatmappe!TH28</f>
        <v/>
      </c>
      <c r="BD36" t="str">
        <f ca="1">Resultatmappe!TU28</f>
        <v/>
      </c>
      <c r="BH36" s="7" t="str">
        <f ca="1">Resultatmappe!AAD28</f>
        <v/>
      </c>
      <c r="BJ36" s="37" t="str">
        <f ca="1">Resultatmappe!ABB28</f>
        <v/>
      </c>
      <c r="BL36" t="str">
        <f ca="1">Resultatmappe!ABN28</f>
        <v/>
      </c>
      <c r="BN36" t="str">
        <f ca="1">Resultatmappe!ACM28</f>
        <v/>
      </c>
    </row>
    <row r="37" spans="1:66">
      <c r="A37" s="3">
        <v>0</v>
      </c>
      <c r="B37" s="3">
        <v>0</v>
      </c>
      <c r="H37" t="str">
        <f ca="1">Resultatmappe!Q29</f>
        <v/>
      </c>
      <c r="J37" t="str">
        <f ca="1">Resultatmappe!AC29</f>
        <v/>
      </c>
      <c r="L37" t="str">
        <f ca="1">Resultatmappe!AO29</f>
        <v/>
      </c>
      <c r="N37" t="str">
        <f ca="1">Resultatmappe!BA29</f>
        <v/>
      </c>
      <c r="P37" t="str">
        <f ca="1">Resultatmappe!BM29</f>
        <v/>
      </c>
      <c r="R37" t="str">
        <f ca="1">Resultatmappe!BY29</f>
        <v/>
      </c>
      <c r="T37" t="str">
        <f ca="1">Resultatmappe!CK29</f>
        <v/>
      </c>
      <c r="V37" t="str">
        <f ca="1">Resultatmappe!CW29</f>
        <v/>
      </c>
      <c r="X37" t="str">
        <f ca="1">Resultatmappe!DI29</f>
        <v/>
      </c>
      <c r="AL37" s="7" t="str">
        <f ca="1">Resultatmappe!NE29</f>
        <v/>
      </c>
      <c r="AN37" t="str">
        <f ca="1">Resultatmappe!NR29</f>
        <v/>
      </c>
      <c r="AP37" s="7" t="str">
        <f ca="1">Resultatmappe!PM29</f>
        <v/>
      </c>
      <c r="AR37" s="7" t="str">
        <f ca="1">Resultatmappe!PZ29</f>
        <v/>
      </c>
      <c r="AT37" s="7" t="str">
        <f ca="1">Resultatmappe!QL29</f>
        <v/>
      </c>
      <c r="AV37" t="str">
        <f ca="1">Resultatmappe!RX29</f>
        <v/>
      </c>
      <c r="AX37" t="str">
        <f ca="1">Resultatmappe!SJ29</f>
        <v/>
      </c>
      <c r="AZ37" t="str">
        <f ca="1">Resultatmappe!SV29</f>
        <v/>
      </c>
      <c r="BB37" t="str">
        <f ca="1">Resultatmappe!TH29</f>
        <v/>
      </c>
      <c r="BD37" t="str">
        <f ca="1">Resultatmappe!TU29</f>
        <v/>
      </c>
      <c r="BH37" s="7" t="str">
        <f ca="1">Resultatmappe!AAD29</f>
        <v/>
      </c>
      <c r="BJ37" s="37" t="str">
        <f ca="1">Resultatmappe!ABB29</f>
        <v/>
      </c>
      <c r="BL37" t="str">
        <f ca="1">Resultatmappe!ABN29</f>
        <v/>
      </c>
      <c r="BN37" t="str">
        <f ca="1">Resultatmappe!ACM29</f>
        <v/>
      </c>
    </row>
    <row r="38" spans="1:66">
      <c r="A38" s="3">
        <v>0</v>
      </c>
      <c r="B38" s="3">
        <v>0</v>
      </c>
      <c r="H38" t="str">
        <f ca="1">Resultatmappe!Q30</f>
        <v/>
      </c>
      <c r="J38" t="str">
        <f ca="1">Resultatmappe!AC30</f>
        <v/>
      </c>
      <c r="L38" t="str">
        <f ca="1">Resultatmappe!AO30</f>
        <v/>
      </c>
      <c r="N38" t="str">
        <f ca="1">Resultatmappe!BA30</f>
        <v/>
      </c>
      <c r="P38" t="str">
        <f ca="1">Resultatmappe!BM30</f>
        <v/>
      </c>
      <c r="R38" t="str">
        <f ca="1">Resultatmappe!BY30</f>
        <v/>
      </c>
      <c r="T38" t="str">
        <f ca="1">Resultatmappe!CK30</f>
        <v/>
      </c>
      <c r="V38" t="str">
        <f ca="1">Resultatmappe!CW30</f>
        <v/>
      </c>
      <c r="X38" t="str">
        <f ca="1">Resultatmappe!DI30</f>
        <v/>
      </c>
      <c r="AL38" s="7" t="str">
        <f ca="1">Resultatmappe!NE30</f>
        <v/>
      </c>
      <c r="AN38" t="str">
        <f ca="1">Resultatmappe!NR30</f>
        <v/>
      </c>
      <c r="AP38" s="7" t="str">
        <f ca="1">Resultatmappe!PM30</f>
        <v/>
      </c>
      <c r="AR38" s="7" t="str">
        <f ca="1">Resultatmappe!PZ30</f>
        <v/>
      </c>
      <c r="AT38" s="7" t="str">
        <f ca="1">Resultatmappe!QL30</f>
        <v/>
      </c>
      <c r="AV38" t="str">
        <f ca="1">Resultatmappe!RX30</f>
        <v/>
      </c>
      <c r="AX38" t="str">
        <f ca="1">Resultatmappe!SJ30</f>
        <v/>
      </c>
      <c r="AZ38" t="str">
        <f ca="1">Resultatmappe!SV30</f>
        <v/>
      </c>
      <c r="BB38" t="str">
        <f ca="1">Resultatmappe!TH30</f>
        <v/>
      </c>
      <c r="BD38" t="str">
        <f ca="1">Resultatmappe!TU30</f>
        <v/>
      </c>
      <c r="BH38" s="7" t="str">
        <f ca="1">Resultatmappe!AAD30</f>
        <v/>
      </c>
      <c r="BJ38" s="37" t="str">
        <f ca="1">Resultatmappe!ABB30</f>
        <v/>
      </c>
      <c r="BL38" t="str">
        <f ca="1">Resultatmappe!ABN30</f>
        <v/>
      </c>
      <c r="BN38" t="str">
        <f ca="1">Resultatmappe!ACM30</f>
        <v/>
      </c>
    </row>
    <row r="39" spans="1:66">
      <c r="A39" s="3">
        <v>0</v>
      </c>
      <c r="B39" s="3">
        <v>0</v>
      </c>
      <c r="H39" t="str">
        <f ca="1">Resultatmappe!Q31</f>
        <v/>
      </c>
      <c r="J39" t="str">
        <f ca="1">Resultatmappe!AC31</f>
        <v/>
      </c>
      <c r="L39" t="str">
        <f ca="1">Resultatmappe!AO31</f>
        <v/>
      </c>
      <c r="N39" t="str">
        <f ca="1">Resultatmappe!BA31</f>
        <v/>
      </c>
      <c r="P39" t="str">
        <f ca="1">Resultatmappe!BM31</f>
        <v/>
      </c>
      <c r="R39" t="str">
        <f ca="1">Resultatmappe!BY31</f>
        <v/>
      </c>
      <c r="T39" t="str">
        <f ca="1">Resultatmappe!CK31</f>
        <v/>
      </c>
      <c r="V39" t="str">
        <f ca="1">Resultatmappe!CW31</f>
        <v/>
      </c>
      <c r="X39" t="str">
        <f ca="1">Resultatmappe!DI31</f>
        <v/>
      </c>
      <c r="AL39" s="7" t="str">
        <f ca="1">Resultatmappe!NE31</f>
        <v/>
      </c>
      <c r="AN39" t="str">
        <f ca="1">Resultatmappe!NR31</f>
        <v/>
      </c>
      <c r="AP39" s="7" t="str">
        <f ca="1">Resultatmappe!PM31</f>
        <v/>
      </c>
      <c r="AR39" s="7" t="str">
        <f ca="1">Resultatmappe!PZ31</f>
        <v/>
      </c>
      <c r="AT39" s="7" t="str">
        <f ca="1">Resultatmappe!QL31</f>
        <v/>
      </c>
      <c r="AV39" t="str">
        <f ca="1">Resultatmappe!RX31</f>
        <v/>
      </c>
      <c r="AX39" t="str">
        <f ca="1">Resultatmappe!SJ31</f>
        <v/>
      </c>
      <c r="AZ39" t="str">
        <f ca="1">Resultatmappe!SV31</f>
        <v/>
      </c>
      <c r="BB39" t="str">
        <f ca="1">Resultatmappe!TH31</f>
        <v/>
      </c>
      <c r="BD39" t="str">
        <f ca="1">Resultatmappe!TU31</f>
        <v/>
      </c>
      <c r="BH39" s="7" t="str">
        <f ca="1">Resultatmappe!AAD31</f>
        <v/>
      </c>
      <c r="BJ39" s="37" t="str">
        <f ca="1">Resultatmappe!ABB31</f>
        <v/>
      </c>
      <c r="BL39" t="str">
        <f ca="1">Resultatmappe!ABN31</f>
        <v/>
      </c>
      <c r="BN39" t="str">
        <f ca="1">Resultatmappe!ACM31</f>
        <v/>
      </c>
    </row>
    <row r="40" spans="1:66">
      <c r="A40" s="3">
        <v>0</v>
      </c>
      <c r="B40" s="3">
        <v>0</v>
      </c>
      <c r="H40" t="str">
        <f ca="1">Resultatmappe!Q32</f>
        <v/>
      </c>
      <c r="J40" t="str">
        <f ca="1">Resultatmappe!AC32</f>
        <v/>
      </c>
      <c r="L40" t="str">
        <f ca="1">Resultatmappe!AO32</f>
        <v/>
      </c>
      <c r="N40" t="str">
        <f ca="1">Resultatmappe!BA32</f>
        <v/>
      </c>
      <c r="P40" t="str">
        <f ca="1">Resultatmappe!BM32</f>
        <v/>
      </c>
      <c r="R40" t="str">
        <f ca="1">Resultatmappe!BY32</f>
        <v/>
      </c>
      <c r="T40" t="str">
        <f ca="1">Resultatmappe!CK32</f>
        <v/>
      </c>
      <c r="V40" t="str">
        <f ca="1">Resultatmappe!CW32</f>
        <v/>
      </c>
      <c r="X40" t="str">
        <f ca="1">Resultatmappe!DI32</f>
        <v/>
      </c>
      <c r="AL40" s="7" t="str">
        <f ca="1">Resultatmappe!NE32</f>
        <v/>
      </c>
      <c r="AN40" t="str">
        <f ca="1">Resultatmappe!NR32</f>
        <v/>
      </c>
      <c r="AP40" s="7" t="str">
        <f ca="1">Resultatmappe!PM32</f>
        <v/>
      </c>
      <c r="AR40" s="7" t="str">
        <f ca="1">Resultatmappe!PZ32</f>
        <v/>
      </c>
      <c r="AT40" s="7" t="str">
        <f ca="1">Resultatmappe!QL32</f>
        <v/>
      </c>
      <c r="AV40" t="str">
        <f ca="1">Resultatmappe!RX32</f>
        <v/>
      </c>
      <c r="AX40" t="str">
        <f ca="1">Resultatmappe!SJ32</f>
        <v/>
      </c>
      <c r="AZ40" t="str">
        <f ca="1">Resultatmappe!SV32</f>
        <v/>
      </c>
      <c r="BB40" t="str">
        <f ca="1">Resultatmappe!TH32</f>
        <v/>
      </c>
      <c r="BD40" t="str">
        <f ca="1">Resultatmappe!TU32</f>
        <v/>
      </c>
      <c r="BH40" s="7" t="str">
        <f ca="1">Resultatmappe!AAD32</f>
        <v/>
      </c>
      <c r="BJ40" s="37" t="str">
        <f ca="1">Resultatmappe!ABB32</f>
        <v/>
      </c>
      <c r="BL40" t="str">
        <f ca="1">Resultatmappe!ABN32</f>
        <v/>
      </c>
      <c r="BN40" t="str">
        <f ca="1">Resultatmappe!ACM32</f>
        <v/>
      </c>
    </row>
    <row r="41" spans="1:66">
      <c r="A41" s="3">
        <v>0</v>
      </c>
      <c r="B41" s="3">
        <v>0</v>
      </c>
      <c r="H41" t="str">
        <f ca="1">Resultatmappe!Q33</f>
        <v/>
      </c>
      <c r="J41" t="str">
        <f ca="1">Resultatmappe!AC33</f>
        <v/>
      </c>
      <c r="L41" t="str">
        <f ca="1">Resultatmappe!AO33</f>
        <v/>
      </c>
      <c r="N41" t="str">
        <f ca="1">Resultatmappe!BA33</f>
        <v/>
      </c>
      <c r="P41" t="str">
        <f ca="1">Resultatmappe!BM33</f>
        <v/>
      </c>
      <c r="R41" t="str">
        <f ca="1">Resultatmappe!BY33</f>
        <v/>
      </c>
      <c r="T41" t="str">
        <f ca="1">Resultatmappe!CK33</f>
        <v/>
      </c>
      <c r="V41" t="str">
        <f ca="1">Resultatmappe!CW33</f>
        <v/>
      </c>
      <c r="X41" t="str">
        <f ca="1">Resultatmappe!DI33</f>
        <v/>
      </c>
      <c r="AL41" s="7" t="str">
        <f ca="1">Resultatmappe!NE33</f>
        <v/>
      </c>
      <c r="AN41" t="str">
        <f ca="1">Resultatmappe!NR33</f>
        <v/>
      </c>
      <c r="AP41" s="7" t="str">
        <f ca="1">Resultatmappe!PM33</f>
        <v/>
      </c>
      <c r="AR41" s="7" t="str">
        <f ca="1">Resultatmappe!PZ33</f>
        <v/>
      </c>
      <c r="AT41" s="7" t="str">
        <f ca="1">Resultatmappe!QL33</f>
        <v/>
      </c>
      <c r="AV41" t="str">
        <f ca="1">Resultatmappe!RX33</f>
        <v/>
      </c>
      <c r="AX41" t="str">
        <f ca="1">Resultatmappe!SJ33</f>
        <v/>
      </c>
      <c r="AZ41" t="str">
        <f ca="1">Resultatmappe!SV33</f>
        <v/>
      </c>
      <c r="BB41" t="str">
        <f ca="1">Resultatmappe!TH33</f>
        <v/>
      </c>
      <c r="BD41" t="str">
        <f ca="1">Resultatmappe!TU33</f>
        <v/>
      </c>
      <c r="BH41" s="7" t="str">
        <f ca="1">Resultatmappe!AAD33</f>
        <v/>
      </c>
      <c r="BJ41" s="37" t="str">
        <f ca="1">Resultatmappe!ABB33</f>
        <v/>
      </c>
      <c r="BL41" t="str">
        <f ca="1">Resultatmappe!ABN33</f>
        <v/>
      </c>
      <c r="BN41" t="str">
        <f ca="1">Resultatmappe!ACM33</f>
        <v/>
      </c>
    </row>
    <row r="42" spans="1:66">
      <c r="A42" s="3">
        <v>0</v>
      </c>
      <c r="B42" s="3">
        <v>0</v>
      </c>
      <c r="H42" t="str">
        <f ca="1">Resultatmappe!Q34</f>
        <v/>
      </c>
      <c r="J42" t="str">
        <f ca="1">Resultatmappe!AC34</f>
        <v/>
      </c>
      <c r="L42" t="str">
        <f ca="1">Resultatmappe!AO34</f>
        <v/>
      </c>
      <c r="N42" t="str">
        <f ca="1">Resultatmappe!BA34</f>
        <v/>
      </c>
      <c r="P42" t="str">
        <f ca="1">Resultatmappe!BM34</f>
        <v/>
      </c>
      <c r="R42" t="str">
        <f ca="1">Resultatmappe!BY34</f>
        <v/>
      </c>
      <c r="T42" t="str">
        <f ca="1">Resultatmappe!CK34</f>
        <v/>
      </c>
      <c r="V42" t="str">
        <f ca="1">Resultatmappe!CW34</f>
        <v/>
      </c>
      <c r="X42" t="str">
        <f ca="1">Resultatmappe!DI34</f>
        <v/>
      </c>
      <c r="AL42" s="7" t="str">
        <f ca="1">Resultatmappe!NE34</f>
        <v/>
      </c>
      <c r="AN42" t="str">
        <f ca="1">Resultatmappe!NR34</f>
        <v/>
      </c>
      <c r="AP42" s="7" t="str">
        <f ca="1">Resultatmappe!PM34</f>
        <v/>
      </c>
      <c r="AR42" s="7" t="str">
        <f ca="1">Resultatmappe!PZ34</f>
        <v/>
      </c>
      <c r="AT42" s="7" t="str">
        <f ca="1">Resultatmappe!QL34</f>
        <v/>
      </c>
      <c r="AV42" t="str">
        <f ca="1">Resultatmappe!RX34</f>
        <v/>
      </c>
      <c r="AX42" t="str">
        <f ca="1">Resultatmappe!SJ34</f>
        <v/>
      </c>
      <c r="AZ42" t="str">
        <f ca="1">Resultatmappe!SV34</f>
        <v/>
      </c>
      <c r="BB42" t="str">
        <f ca="1">Resultatmappe!TH34</f>
        <v/>
      </c>
      <c r="BD42" t="str">
        <f ca="1">Resultatmappe!TU34</f>
        <v/>
      </c>
      <c r="BH42" s="7" t="str">
        <f ca="1">Resultatmappe!AAD34</f>
        <v/>
      </c>
      <c r="BJ42" s="37" t="str">
        <f ca="1">Resultatmappe!ABB34</f>
        <v/>
      </c>
      <c r="BL42" t="str">
        <f ca="1">Resultatmappe!ABN34</f>
        <v/>
      </c>
      <c r="BN42" t="str">
        <f ca="1">Resultatmappe!ACM34</f>
        <v/>
      </c>
    </row>
    <row r="43" spans="1:66">
      <c r="A43" s="3">
        <v>0</v>
      </c>
      <c r="B43" s="3">
        <v>0</v>
      </c>
      <c r="H43" t="str">
        <f ca="1">Resultatmappe!Q35</f>
        <v/>
      </c>
      <c r="J43" t="str">
        <f ca="1">Resultatmappe!AC35</f>
        <v/>
      </c>
      <c r="L43" t="str">
        <f ca="1">Resultatmappe!AO35</f>
        <v/>
      </c>
      <c r="N43" t="str">
        <f ca="1">Resultatmappe!BA35</f>
        <v/>
      </c>
      <c r="P43" t="str">
        <f ca="1">Resultatmappe!BM35</f>
        <v/>
      </c>
      <c r="R43" t="str">
        <f ca="1">Resultatmappe!BY35</f>
        <v/>
      </c>
      <c r="T43" t="str">
        <f ca="1">Resultatmappe!CK35</f>
        <v/>
      </c>
      <c r="V43" t="str">
        <f ca="1">Resultatmappe!CW35</f>
        <v/>
      </c>
      <c r="X43" t="str">
        <f ca="1">Resultatmappe!DI35</f>
        <v/>
      </c>
      <c r="AL43" s="7" t="str">
        <f ca="1">Resultatmappe!NE35</f>
        <v/>
      </c>
      <c r="AN43" t="str">
        <f ca="1">Resultatmappe!NR35</f>
        <v/>
      </c>
      <c r="AP43" s="7" t="str">
        <f ca="1">Resultatmappe!PM35</f>
        <v/>
      </c>
      <c r="AR43" s="7" t="str">
        <f ca="1">Resultatmappe!PZ35</f>
        <v/>
      </c>
      <c r="AT43" s="7" t="str">
        <f ca="1">Resultatmappe!QL35</f>
        <v/>
      </c>
      <c r="AV43" t="str">
        <f ca="1">Resultatmappe!RX35</f>
        <v/>
      </c>
      <c r="AX43" t="str">
        <f ca="1">Resultatmappe!SJ35</f>
        <v/>
      </c>
      <c r="AZ43" t="str">
        <f ca="1">Resultatmappe!SV35</f>
        <v/>
      </c>
      <c r="BB43" t="str">
        <f ca="1">Resultatmappe!TH35</f>
        <v/>
      </c>
      <c r="BD43" t="str">
        <f ca="1">Resultatmappe!TU35</f>
        <v/>
      </c>
      <c r="BH43" s="7" t="str">
        <f ca="1">Resultatmappe!AAD35</f>
        <v/>
      </c>
      <c r="BJ43" s="37" t="str">
        <f ca="1">Resultatmappe!ABB35</f>
        <v/>
      </c>
      <c r="BL43" t="str">
        <f ca="1">Resultatmappe!ABN35</f>
        <v/>
      </c>
      <c r="BN43" t="str">
        <f ca="1">Resultatmappe!ACM35</f>
        <v/>
      </c>
    </row>
    <row r="44" spans="1:66">
      <c r="A44" s="3">
        <v>0</v>
      </c>
      <c r="B44" s="3">
        <v>0</v>
      </c>
      <c r="H44" t="str">
        <f ca="1">Resultatmappe!Q36</f>
        <v/>
      </c>
      <c r="J44" t="str">
        <f ca="1">Resultatmappe!AC36</f>
        <v/>
      </c>
      <c r="L44" t="str">
        <f ca="1">Resultatmappe!AO36</f>
        <v/>
      </c>
      <c r="N44" t="str">
        <f ca="1">Resultatmappe!BA36</f>
        <v/>
      </c>
      <c r="P44" t="str">
        <f ca="1">Resultatmappe!BM36</f>
        <v/>
      </c>
      <c r="R44" t="str">
        <f ca="1">Resultatmappe!BY36</f>
        <v/>
      </c>
      <c r="T44" t="str">
        <f ca="1">Resultatmappe!CK36</f>
        <v/>
      </c>
      <c r="V44" t="str">
        <f ca="1">Resultatmappe!CW36</f>
        <v/>
      </c>
      <c r="X44" t="str">
        <f ca="1">Resultatmappe!DI36</f>
        <v/>
      </c>
      <c r="AL44" s="7" t="str">
        <f ca="1">Resultatmappe!NE36</f>
        <v/>
      </c>
      <c r="AN44" t="str">
        <f ca="1">Resultatmappe!NR36</f>
        <v/>
      </c>
      <c r="AP44" s="7" t="str">
        <f ca="1">Resultatmappe!PM36</f>
        <v/>
      </c>
      <c r="AR44" s="7" t="str">
        <f ca="1">Resultatmappe!PZ36</f>
        <v/>
      </c>
      <c r="AT44" s="7" t="str">
        <f ca="1">Resultatmappe!QL36</f>
        <v/>
      </c>
      <c r="AV44" t="str">
        <f ca="1">Resultatmappe!RX36</f>
        <v/>
      </c>
      <c r="AX44" t="str">
        <f ca="1">Resultatmappe!SJ36</f>
        <v/>
      </c>
      <c r="AZ44" t="str">
        <f ca="1">Resultatmappe!SV36</f>
        <v/>
      </c>
      <c r="BB44" t="str">
        <f ca="1">Resultatmappe!TH36</f>
        <v/>
      </c>
      <c r="BD44" t="str">
        <f ca="1">Resultatmappe!TU36</f>
        <v/>
      </c>
      <c r="BH44" s="7" t="str">
        <f ca="1">Resultatmappe!AAD36</f>
        <v/>
      </c>
      <c r="BJ44" s="37" t="str">
        <f ca="1">Resultatmappe!ABB36</f>
        <v/>
      </c>
      <c r="BL44" t="str">
        <f ca="1">Resultatmappe!ABN36</f>
        <v/>
      </c>
      <c r="BN44" t="str">
        <f ca="1">Resultatmappe!ACM36</f>
        <v/>
      </c>
    </row>
    <row r="45" spans="1:66">
      <c r="A45" s="3">
        <v>0</v>
      </c>
      <c r="B45" s="3">
        <v>0</v>
      </c>
      <c r="H45" t="str">
        <f ca="1">Resultatmappe!Q37</f>
        <v/>
      </c>
      <c r="J45" t="str">
        <f ca="1">Resultatmappe!AC37</f>
        <v/>
      </c>
      <c r="L45" t="str">
        <f ca="1">Resultatmappe!AO37</f>
        <v/>
      </c>
      <c r="N45" t="str">
        <f ca="1">Resultatmappe!BA37</f>
        <v/>
      </c>
      <c r="P45" t="str">
        <f ca="1">Resultatmappe!BM37</f>
        <v/>
      </c>
      <c r="R45" t="str">
        <f ca="1">Resultatmappe!BY37</f>
        <v/>
      </c>
      <c r="T45" t="str">
        <f ca="1">Resultatmappe!CK37</f>
        <v/>
      </c>
      <c r="V45" t="str">
        <f ca="1">Resultatmappe!CW37</f>
        <v/>
      </c>
      <c r="X45" t="str">
        <f ca="1">Resultatmappe!DI37</f>
        <v/>
      </c>
      <c r="AL45" s="7" t="str">
        <f ca="1">Resultatmappe!NE37</f>
        <v/>
      </c>
      <c r="AN45" t="str">
        <f ca="1">Resultatmappe!NR37</f>
        <v/>
      </c>
      <c r="AP45" s="7" t="str">
        <f ca="1">Resultatmappe!PM37</f>
        <v/>
      </c>
      <c r="AR45" s="7" t="str">
        <f ca="1">Resultatmappe!PZ37</f>
        <v/>
      </c>
      <c r="AT45" s="7" t="str">
        <f ca="1">Resultatmappe!QL37</f>
        <v/>
      </c>
      <c r="AV45" t="str">
        <f ca="1">Resultatmappe!RX37</f>
        <v/>
      </c>
      <c r="AX45" t="str">
        <f ca="1">Resultatmappe!SJ37</f>
        <v/>
      </c>
      <c r="AZ45" t="str">
        <f ca="1">Resultatmappe!SV37</f>
        <v/>
      </c>
      <c r="BB45" t="str">
        <f ca="1">Resultatmappe!TH37</f>
        <v/>
      </c>
      <c r="BD45" t="str">
        <f ca="1">Resultatmappe!TU37</f>
        <v/>
      </c>
      <c r="BH45" s="7" t="str">
        <f ca="1">Resultatmappe!AAD37</f>
        <v/>
      </c>
      <c r="BJ45" s="37" t="str">
        <f ca="1">Resultatmappe!ABB37</f>
        <v/>
      </c>
      <c r="BL45" t="str">
        <f ca="1">Resultatmappe!ABN37</f>
        <v/>
      </c>
      <c r="BN45" t="str">
        <f ca="1">Resultatmappe!ACM37</f>
        <v/>
      </c>
    </row>
    <row r="46" spans="1:66">
      <c r="A46" s="3">
        <v>0</v>
      </c>
      <c r="B46" s="3">
        <v>0</v>
      </c>
      <c r="H46" t="str">
        <f ca="1">Resultatmappe!Q38</f>
        <v/>
      </c>
      <c r="J46" t="str">
        <f ca="1">Resultatmappe!AC38</f>
        <v/>
      </c>
      <c r="L46" t="str">
        <f ca="1">Resultatmappe!AO38</f>
        <v/>
      </c>
      <c r="N46" t="str">
        <f ca="1">Resultatmappe!BA38</f>
        <v/>
      </c>
      <c r="P46" t="str">
        <f ca="1">Resultatmappe!BM38</f>
        <v/>
      </c>
      <c r="R46" t="str">
        <f ca="1">Resultatmappe!BY38</f>
        <v/>
      </c>
      <c r="T46" t="str">
        <f ca="1">Resultatmappe!CK38</f>
        <v/>
      </c>
      <c r="V46" t="str">
        <f ca="1">Resultatmappe!CW38</f>
        <v/>
      </c>
      <c r="X46" t="str">
        <f ca="1">Resultatmappe!DI38</f>
        <v/>
      </c>
      <c r="AL46" s="7" t="str">
        <f ca="1">Resultatmappe!NE38</f>
        <v/>
      </c>
      <c r="AN46" t="str">
        <f ca="1">Resultatmappe!NR38</f>
        <v/>
      </c>
      <c r="AP46" s="7" t="str">
        <f ca="1">Resultatmappe!PM38</f>
        <v/>
      </c>
      <c r="AR46" s="7" t="str">
        <f ca="1">Resultatmappe!PZ38</f>
        <v/>
      </c>
      <c r="AT46" s="7" t="str">
        <f ca="1">Resultatmappe!QL38</f>
        <v/>
      </c>
      <c r="AV46" t="str">
        <f ca="1">Resultatmappe!RX38</f>
        <v/>
      </c>
      <c r="AX46" t="str">
        <f ca="1">Resultatmappe!SJ38</f>
        <v/>
      </c>
      <c r="AZ46" t="str">
        <f ca="1">Resultatmappe!SV38</f>
        <v/>
      </c>
      <c r="BB46" t="str">
        <f ca="1">Resultatmappe!TH38</f>
        <v/>
      </c>
      <c r="BD46" t="str">
        <f ca="1">Resultatmappe!TU38</f>
        <v/>
      </c>
      <c r="BH46" s="7" t="str">
        <f ca="1">Resultatmappe!AAD38</f>
        <v/>
      </c>
      <c r="BJ46" s="37" t="str">
        <f ca="1">Resultatmappe!ABB38</f>
        <v/>
      </c>
      <c r="BL46" t="str">
        <f ca="1">Resultatmappe!ABN38</f>
        <v/>
      </c>
      <c r="BN46" t="str">
        <f ca="1">Resultatmappe!ACM38</f>
        <v/>
      </c>
    </row>
    <row r="47" spans="1:66">
      <c r="A47" s="3">
        <v>0</v>
      </c>
      <c r="B47" s="3">
        <v>0</v>
      </c>
      <c r="H47" t="str">
        <f ca="1">Resultatmappe!Q39</f>
        <v/>
      </c>
      <c r="J47" t="str">
        <f ca="1">Resultatmappe!AC39</f>
        <v/>
      </c>
      <c r="L47" t="str">
        <f ca="1">Resultatmappe!AO39</f>
        <v/>
      </c>
      <c r="N47" t="str">
        <f ca="1">Resultatmappe!BA39</f>
        <v/>
      </c>
      <c r="P47" t="str">
        <f ca="1">Resultatmappe!BM39</f>
        <v/>
      </c>
      <c r="R47" t="str">
        <f ca="1">Resultatmappe!BY39</f>
        <v/>
      </c>
      <c r="T47" t="str">
        <f ca="1">Resultatmappe!CK39</f>
        <v/>
      </c>
      <c r="V47" t="str">
        <f ca="1">Resultatmappe!CW39</f>
        <v/>
      </c>
      <c r="X47" t="str">
        <f ca="1">Resultatmappe!DI39</f>
        <v/>
      </c>
      <c r="AL47" s="7" t="str">
        <f ca="1">Resultatmappe!NE39</f>
        <v/>
      </c>
      <c r="AN47" t="str">
        <f ca="1">Resultatmappe!NR39</f>
        <v/>
      </c>
      <c r="AP47" s="7" t="str">
        <f ca="1">Resultatmappe!PM39</f>
        <v/>
      </c>
      <c r="AR47" s="7" t="str">
        <f ca="1">Resultatmappe!PZ39</f>
        <v/>
      </c>
      <c r="AT47" s="7" t="str">
        <f ca="1">Resultatmappe!QL39</f>
        <v/>
      </c>
      <c r="AV47" t="str">
        <f ca="1">Resultatmappe!RX39</f>
        <v/>
      </c>
      <c r="AX47" t="str">
        <f ca="1">Resultatmappe!SJ39</f>
        <v/>
      </c>
      <c r="AZ47" t="str">
        <f ca="1">Resultatmappe!SV39</f>
        <v/>
      </c>
      <c r="BB47" t="str">
        <f ca="1">Resultatmappe!TH39</f>
        <v/>
      </c>
      <c r="BD47" t="str">
        <f ca="1">Resultatmappe!TU39</f>
        <v/>
      </c>
      <c r="BH47" s="7" t="str">
        <f ca="1">Resultatmappe!AAD39</f>
        <v/>
      </c>
      <c r="BJ47" s="37" t="str">
        <f ca="1">Resultatmappe!ABB39</f>
        <v/>
      </c>
      <c r="BL47" t="str">
        <f ca="1">Resultatmappe!ABN39</f>
        <v/>
      </c>
      <c r="BN47" t="str">
        <f ca="1">Resultatmappe!ACM39</f>
        <v/>
      </c>
    </row>
    <row r="48" spans="1:66">
      <c r="A48" s="3">
        <v>0</v>
      </c>
      <c r="B48" s="3">
        <v>0</v>
      </c>
      <c r="H48" t="str">
        <f ca="1">Resultatmappe!Q40</f>
        <v/>
      </c>
      <c r="J48" t="str">
        <f ca="1">Resultatmappe!AC40</f>
        <v/>
      </c>
      <c r="L48" t="str">
        <f ca="1">Resultatmappe!AO40</f>
        <v/>
      </c>
      <c r="N48" t="str">
        <f ca="1">Resultatmappe!BA40</f>
        <v/>
      </c>
      <c r="P48" t="str">
        <f ca="1">Resultatmappe!BM40</f>
        <v/>
      </c>
      <c r="R48" t="str">
        <f ca="1">Resultatmappe!BY40</f>
        <v/>
      </c>
      <c r="T48" t="str">
        <f ca="1">Resultatmappe!CK40</f>
        <v/>
      </c>
      <c r="V48" t="str">
        <f ca="1">Resultatmappe!CW40</f>
        <v/>
      </c>
      <c r="X48" t="str">
        <f ca="1">Resultatmappe!DI40</f>
        <v/>
      </c>
      <c r="AL48" s="7" t="str">
        <f ca="1">Resultatmappe!NE40</f>
        <v/>
      </c>
      <c r="AN48" t="str">
        <f ca="1">Resultatmappe!NR40</f>
        <v/>
      </c>
      <c r="AP48" s="7" t="str">
        <f ca="1">Resultatmappe!PM40</f>
        <v/>
      </c>
      <c r="AR48" s="7" t="str">
        <f ca="1">Resultatmappe!PZ40</f>
        <v/>
      </c>
      <c r="AT48" s="7" t="str">
        <f ca="1">Resultatmappe!QL40</f>
        <v/>
      </c>
      <c r="AV48" t="str">
        <f ca="1">Resultatmappe!RX40</f>
        <v/>
      </c>
      <c r="AX48" t="str">
        <f ca="1">Resultatmappe!SJ40</f>
        <v/>
      </c>
      <c r="AZ48" t="str">
        <f ca="1">Resultatmappe!SV40</f>
        <v/>
      </c>
      <c r="BB48" t="str">
        <f ca="1">Resultatmappe!TH40</f>
        <v/>
      </c>
      <c r="BD48" t="str">
        <f ca="1">Resultatmappe!TU40</f>
        <v/>
      </c>
      <c r="BH48" s="7" t="str">
        <f ca="1">Resultatmappe!AAD40</f>
        <v/>
      </c>
      <c r="BJ48" s="37" t="str">
        <f ca="1">Resultatmappe!ABB40</f>
        <v/>
      </c>
      <c r="BL48" t="str">
        <f ca="1">Resultatmappe!ABN40</f>
        <v/>
      </c>
      <c r="BN48" t="str">
        <f ca="1">Resultatmappe!ACM40</f>
        <v/>
      </c>
    </row>
    <row r="49" spans="1:66">
      <c r="A49" s="3">
        <v>0</v>
      </c>
      <c r="B49" s="3">
        <v>0</v>
      </c>
      <c r="H49" t="str">
        <f ca="1">Resultatmappe!Q41</f>
        <v/>
      </c>
      <c r="J49" t="str">
        <f ca="1">Resultatmappe!AC41</f>
        <v/>
      </c>
      <c r="L49" t="str">
        <f ca="1">Resultatmappe!AO41</f>
        <v/>
      </c>
      <c r="N49" t="str">
        <f ca="1">Resultatmappe!BA41</f>
        <v/>
      </c>
      <c r="P49" t="str">
        <f ca="1">Resultatmappe!BM41</f>
        <v/>
      </c>
      <c r="R49" t="str">
        <f ca="1">Resultatmappe!BY41</f>
        <v/>
      </c>
      <c r="T49" t="str">
        <f ca="1">Resultatmappe!CK41</f>
        <v/>
      </c>
      <c r="V49" t="str">
        <f ca="1">Resultatmappe!CW41</f>
        <v/>
      </c>
      <c r="X49" t="str">
        <f ca="1">Resultatmappe!DI41</f>
        <v/>
      </c>
      <c r="AL49" s="7" t="str">
        <f ca="1">Resultatmappe!NE41</f>
        <v/>
      </c>
      <c r="AN49" t="str">
        <f ca="1">Resultatmappe!NR41</f>
        <v/>
      </c>
      <c r="AP49" s="7" t="str">
        <f ca="1">Resultatmappe!PM41</f>
        <v/>
      </c>
      <c r="AR49" s="7" t="str">
        <f ca="1">Resultatmappe!PZ41</f>
        <v/>
      </c>
      <c r="AT49" s="7" t="str">
        <f ca="1">Resultatmappe!QL41</f>
        <v/>
      </c>
      <c r="AV49" t="str">
        <f ca="1">Resultatmappe!RX41</f>
        <v/>
      </c>
      <c r="AX49" t="str">
        <f ca="1">Resultatmappe!SJ41</f>
        <v/>
      </c>
      <c r="AZ49" t="str">
        <f ca="1">Resultatmappe!SV41</f>
        <v/>
      </c>
      <c r="BB49" t="str">
        <f ca="1">Resultatmappe!TH41</f>
        <v/>
      </c>
      <c r="BD49" t="str">
        <f ca="1">Resultatmappe!TU41</f>
        <v/>
      </c>
      <c r="BH49" s="7" t="str">
        <f ca="1">Resultatmappe!AAD41</f>
        <v/>
      </c>
      <c r="BJ49" s="37" t="str">
        <f ca="1">Resultatmappe!ABB41</f>
        <v/>
      </c>
      <c r="BL49" t="str">
        <f ca="1">Resultatmappe!ABN41</f>
        <v/>
      </c>
      <c r="BN49" t="str">
        <f ca="1">Resultatmappe!ACM41</f>
        <v/>
      </c>
    </row>
    <row r="50" spans="1:66">
      <c r="A50" s="3">
        <v>0</v>
      </c>
      <c r="B50" s="3">
        <v>0</v>
      </c>
      <c r="H50" t="str">
        <f ca="1">Resultatmappe!Q42</f>
        <v/>
      </c>
      <c r="J50" t="str">
        <f ca="1">Resultatmappe!AC42</f>
        <v/>
      </c>
      <c r="L50" t="str">
        <f ca="1">Resultatmappe!AO42</f>
        <v/>
      </c>
      <c r="N50" t="str">
        <f ca="1">Resultatmappe!BA42</f>
        <v/>
      </c>
      <c r="P50" t="str">
        <f ca="1">Resultatmappe!BM42</f>
        <v/>
      </c>
      <c r="R50" t="str">
        <f ca="1">Resultatmappe!BY42</f>
        <v/>
      </c>
      <c r="T50" t="str">
        <f ca="1">Resultatmappe!CK42</f>
        <v/>
      </c>
      <c r="V50" t="str">
        <f ca="1">Resultatmappe!CW42</f>
        <v/>
      </c>
      <c r="X50" t="str">
        <f ca="1">Resultatmappe!DI42</f>
        <v/>
      </c>
      <c r="AL50" s="7" t="str">
        <f ca="1">Resultatmappe!NE42</f>
        <v/>
      </c>
      <c r="AN50" t="str">
        <f ca="1">Resultatmappe!NR42</f>
        <v/>
      </c>
      <c r="AP50" s="7" t="str">
        <f ca="1">Resultatmappe!PM42</f>
        <v/>
      </c>
      <c r="AR50" s="7" t="str">
        <f ca="1">Resultatmappe!PZ42</f>
        <v/>
      </c>
      <c r="AT50" s="7" t="str">
        <f ca="1">Resultatmappe!QL42</f>
        <v/>
      </c>
      <c r="AV50" t="str">
        <f ca="1">Resultatmappe!RX42</f>
        <v/>
      </c>
      <c r="AX50" t="str">
        <f ca="1">Resultatmappe!SJ42</f>
        <v/>
      </c>
      <c r="AZ50" t="str">
        <f ca="1">Resultatmappe!SV42</f>
        <v/>
      </c>
      <c r="BB50" t="str">
        <f ca="1">Resultatmappe!TH42</f>
        <v/>
      </c>
      <c r="BD50" t="str">
        <f ca="1">Resultatmappe!TU42</f>
        <v/>
      </c>
      <c r="BH50" s="7" t="str">
        <f ca="1">Resultatmappe!AAD42</f>
        <v/>
      </c>
      <c r="BJ50" s="37" t="str">
        <f ca="1">Resultatmappe!ABB42</f>
        <v/>
      </c>
      <c r="BL50" t="str">
        <f ca="1">Resultatmappe!ABN42</f>
        <v/>
      </c>
      <c r="BN50" t="str">
        <f ca="1">Resultatmappe!ACM42</f>
        <v/>
      </c>
    </row>
    <row r="51" spans="1:66">
      <c r="A51" s="3">
        <v>0</v>
      </c>
      <c r="B51" s="3">
        <v>0</v>
      </c>
      <c r="H51" t="str">
        <f ca="1">Resultatmappe!Q43</f>
        <v/>
      </c>
      <c r="J51" t="str">
        <f ca="1">Resultatmappe!AC43</f>
        <v/>
      </c>
      <c r="L51" t="str">
        <f ca="1">Resultatmappe!AO43</f>
        <v/>
      </c>
      <c r="N51" t="str">
        <f ca="1">Resultatmappe!BA43</f>
        <v/>
      </c>
      <c r="P51" t="str">
        <f ca="1">Resultatmappe!BM43</f>
        <v/>
      </c>
      <c r="R51" t="str">
        <f ca="1">Resultatmappe!BY43</f>
        <v/>
      </c>
      <c r="T51" t="str">
        <f ca="1">Resultatmappe!CK43</f>
        <v/>
      </c>
      <c r="V51" t="str">
        <f ca="1">Resultatmappe!CW43</f>
        <v/>
      </c>
      <c r="X51" t="str">
        <f ca="1">Resultatmappe!DI43</f>
        <v/>
      </c>
      <c r="AL51" s="7" t="str">
        <f ca="1">Resultatmappe!NE43</f>
        <v/>
      </c>
      <c r="AN51" t="str">
        <f ca="1">Resultatmappe!NR43</f>
        <v/>
      </c>
      <c r="AP51" s="7" t="str">
        <f ca="1">Resultatmappe!PM43</f>
        <v/>
      </c>
      <c r="AR51" s="7" t="str">
        <f ca="1">Resultatmappe!PZ43</f>
        <v/>
      </c>
      <c r="AT51" s="7" t="str">
        <f ca="1">Resultatmappe!QL43</f>
        <v/>
      </c>
      <c r="AV51" t="str">
        <f ca="1">Resultatmappe!RX43</f>
        <v/>
      </c>
      <c r="AX51" t="str">
        <f ca="1">Resultatmappe!SJ43</f>
        <v/>
      </c>
      <c r="AZ51" t="str">
        <f ca="1">Resultatmappe!SV43</f>
        <v/>
      </c>
      <c r="BB51" t="str">
        <f ca="1">Resultatmappe!TH43</f>
        <v/>
      </c>
      <c r="BD51" t="str">
        <f ca="1">Resultatmappe!TU43</f>
        <v/>
      </c>
      <c r="BH51" s="7" t="str">
        <f ca="1">Resultatmappe!AAD43</f>
        <v/>
      </c>
      <c r="BJ51" s="37" t="str">
        <f ca="1">Resultatmappe!ABB43</f>
        <v/>
      </c>
      <c r="BL51" t="str">
        <f ca="1">Resultatmappe!ABN43</f>
        <v/>
      </c>
      <c r="BN51" t="str">
        <f ca="1">Resultatmappe!ACM43</f>
        <v/>
      </c>
    </row>
    <row r="52" spans="1:66">
      <c r="A52" s="3">
        <v>0</v>
      </c>
      <c r="B52" s="3">
        <v>0</v>
      </c>
      <c r="H52" t="str">
        <f ca="1">Resultatmappe!Q44</f>
        <v/>
      </c>
      <c r="J52" t="str">
        <f ca="1">Resultatmappe!AC44</f>
        <v/>
      </c>
      <c r="L52" t="str">
        <f ca="1">Resultatmappe!AO44</f>
        <v/>
      </c>
      <c r="N52" t="str">
        <f ca="1">Resultatmappe!BA44</f>
        <v/>
      </c>
      <c r="P52" t="str">
        <f ca="1">Resultatmappe!BM44</f>
        <v/>
      </c>
      <c r="R52" t="str">
        <f ca="1">Resultatmappe!BY44</f>
        <v/>
      </c>
      <c r="T52" t="str">
        <f ca="1">Resultatmappe!CK44</f>
        <v/>
      </c>
      <c r="V52" t="str">
        <f ca="1">Resultatmappe!CW44</f>
        <v/>
      </c>
      <c r="X52" t="str">
        <f ca="1">Resultatmappe!DI44</f>
        <v/>
      </c>
      <c r="AL52" s="7" t="str">
        <f ca="1">Resultatmappe!NE44</f>
        <v/>
      </c>
      <c r="AN52" t="str">
        <f ca="1">Resultatmappe!NR44</f>
        <v/>
      </c>
      <c r="AP52" s="7" t="str">
        <f ca="1">Resultatmappe!PM44</f>
        <v/>
      </c>
      <c r="AR52" s="7" t="str">
        <f ca="1">Resultatmappe!PZ44</f>
        <v/>
      </c>
      <c r="AT52" s="7" t="str">
        <f ca="1">Resultatmappe!QL44</f>
        <v/>
      </c>
      <c r="AV52" t="str">
        <f ca="1">Resultatmappe!RX44</f>
        <v/>
      </c>
      <c r="AX52" t="str">
        <f ca="1">Resultatmappe!SJ44</f>
        <v/>
      </c>
      <c r="AZ52" t="str">
        <f ca="1">Resultatmappe!SV44</f>
        <v/>
      </c>
      <c r="BB52" t="str">
        <f ca="1">Resultatmappe!TH44</f>
        <v/>
      </c>
      <c r="BD52" t="str">
        <f ca="1">Resultatmappe!TU44</f>
        <v/>
      </c>
      <c r="BH52" s="7" t="str">
        <f ca="1">Resultatmappe!AAD44</f>
        <v/>
      </c>
      <c r="BJ52" s="37" t="str">
        <f ca="1">Resultatmappe!ABB44</f>
        <v/>
      </c>
      <c r="BL52" t="str">
        <f ca="1">Resultatmappe!ABN44</f>
        <v/>
      </c>
      <c r="BN52" t="str">
        <f ca="1">Resultatmappe!ACM44</f>
        <v/>
      </c>
    </row>
    <row r="53" spans="1:66">
      <c r="A53" s="3">
        <v>0</v>
      </c>
      <c r="B53" s="3">
        <v>0</v>
      </c>
      <c r="H53" t="str">
        <f ca="1">Resultatmappe!Q45</f>
        <v/>
      </c>
      <c r="J53" t="str">
        <f ca="1">Resultatmappe!AC45</f>
        <v/>
      </c>
      <c r="L53" t="str">
        <f ca="1">Resultatmappe!AO45</f>
        <v/>
      </c>
      <c r="N53" t="str">
        <f ca="1">Resultatmappe!BA45</f>
        <v/>
      </c>
      <c r="P53" t="str">
        <f ca="1">Resultatmappe!BM45</f>
        <v/>
      </c>
      <c r="R53" t="str">
        <f ca="1">Resultatmappe!BY45</f>
        <v/>
      </c>
      <c r="T53" t="str">
        <f ca="1">Resultatmappe!CK45</f>
        <v/>
      </c>
      <c r="V53" t="str">
        <f ca="1">Resultatmappe!CW45</f>
        <v/>
      </c>
      <c r="X53" t="str">
        <f ca="1">Resultatmappe!DI45</f>
        <v/>
      </c>
      <c r="AL53" s="7" t="str">
        <f ca="1">Resultatmappe!NE45</f>
        <v/>
      </c>
      <c r="AN53" t="str">
        <f ca="1">Resultatmappe!NR45</f>
        <v/>
      </c>
      <c r="AP53" s="7" t="str">
        <f ca="1">Resultatmappe!PM45</f>
        <v/>
      </c>
      <c r="AR53" s="7" t="str">
        <f ca="1">Resultatmappe!PZ45</f>
        <v/>
      </c>
      <c r="AT53" s="7" t="str">
        <f ca="1">Resultatmappe!QL45</f>
        <v/>
      </c>
      <c r="AV53" t="str">
        <f ca="1">Resultatmappe!RX45</f>
        <v/>
      </c>
      <c r="AX53" t="str">
        <f ca="1">Resultatmappe!SJ45</f>
        <v/>
      </c>
      <c r="AZ53" t="str">
        <f ca="1">Resultatmappe!SV45</f>
        <v/>
      </c>
      <c r="BB53" t="str">
        <f ca="1">Resultatmappe!TH45</f>
        <v/>
      </c>
      <c r="BD53" t="str">
        <f ca="1">Resultatmappe!TU45</f>
        <v/>
      </c>
      <c r="BH53" s="7" t="str">
        <f ca="1">Resultatmappe!AAD45</f>
        <v/>
      </c>
      <c r="BJ53" s="37" t="str">
        <f ca="1">Resultatmappe!ABB45</f>
        <v/>
      </c>
      <c r="BL53" t="str">
        <f ca="1">Resultatmappe!ABN45</f>
        <v/>
      </c>
      <c r="BN53" t="str">
        <f ca="1">Resultatmappe!ACM45</f>
        <v/>
      </c>
    </row>
    <row r="54" spans="1:66">
      <c r="A54" s="3">
        <v>0</v>
      </c>
      <c r="B54" s="3">
        <v>0</v>
      </c>
      <c r="H54" t="str">
        <f ca="1">Resultatmappe!Q46</f>
        <v/>
      </c>
      <c r="J54" t="str">
        <f ca="1">Resultatmappe!AC46</f>
        <v/>
      </c>
      <c r="L54" t="str">
        <f ca="1">Resultatmappe!AO46</f>
        <v/>
      </c>
      <c r="N54" t="str">
        <f ca="1">Resultatmappe!BA46</f>
        <v/>
      </c>
      <c r="P54" t="str">
        <f ca="1">Resultatmappe!BM46</f>
        <v/>
      </c>
      <c r="R54" t="str">
        <f ca="1">Resultatmappe!BY46</f>
        <v/>
      </c>
      <c r="T54" t="str">
        <f ca="1">Resultatmappe!CK46</f>
        <v/>
      </c>
      <c r="V54" t="str">
        <f ca="1">Resultatmappe!CW46</f>
        <v/>
      </c>
      <c r="X54" t="str">
        <f ca="1">Resultatmappe!DI46</f>
        <v/>
      </c>
      <c r="AL54" s="7" t="str">
        <f ca="1">Resultatmappe!NE46</f>
        <v/>
      </c>
      <c r="AN54" t="str">
        <f ca="1">Resultatmappe!NR46</f>
        <v/>
      </c>
      <c r="AP54" s="7" t="str">
        <f ca="1">Resultatmappe!PM46</f>
        <v/>
      </c>
      <c r="AR54" s="7" t="str">
        <f ca="1">Resultatmappe!PZ46</f>
        <v/>
      </c>
      <c r="AT54" s="7" t="str">
        <f ca="1">Resultatmappe!QL46</f>
        <v/>
      </c>
      <c r="AV54" t="str">
        <f ca="1">Resultatmappe!RX46</f>
        <v/>
      </c>
      <c r="AX54" t="str">
        <f ca="1">Resultatmappe!SJ46</f>
        <v/>
      </c>
      <c r="AZ54" t="str">
        <f ca="1">Resultatmappe!SV46</f>
        <v/>
      </c>
      <c r="BB54" t="str">
        <f ca="1">Resultatmappe!TH46</f>
        <v/>
      </c>
      <c r="BD54" t="str">
        <f ca="1">Resultatmappe!TU46</f>
        <v/>
      </c>
      <c r="BH54" s="7" t="str">
        <f ca="1">Resultatmappe!AAD46</f>
        <v/>
      </c>
      <c r="BJ54" s="37" t="str">
        <f ca="1">Resultatmappe!ABB46</f>
        <v/>
      </c>
      <c r="BL54" t="str">
        <f ca="1">Resultatmappe!ABN46</f>
        <v/>
      </c>
      <c r="BN54" t="str">
        <f ca="1">Resultatmappe!ACM46</f>
        <v/>
      </c>
    </row>
    <row r="55" spans="1:66">
      <c r="A55" s="3">
        <v>0</v>
      </c>
      <c r="B55" s="3">
        <v>0</v>
      </c>
      <c r="H55" t="str">
        <f ca="1">Resultatmappe!Q47</f>
        <v/>
      </c>
      <c r="J55" t="str">
        <f ca="1">Resultatmappe!AC47</f>
        <v/>
      </c>
      <c r="L55" t="str">
        <f ca="1">Resultatmappe!AO47</f>
        <v/>
      </c>
      <c r="N55" t="str">
        <f ca="1">Resultatmappe!BA47</f>
        <v/>
      </c>
      <c r="P55" t="str">
        <f ca="1">Resultatmappe!BM47</f>
        <v/>
      </c>
      <c r="R55" t="str">
        <f ca="1">Resultatmappe!BY47</f>
        <v/>
      </c>
      <c r="T55" t="str">
        <f ca="1">Resultatmappe!CK47</f>
        <v/>
      </c>
      <c r="V55" t="str">
        <f ca="1">Resultatmappe!CW47</f>
        <v/>
      </c>
      <c r="X55" t="str">
        <f ca="1">Resultatmappe!DI47</f>
        <v/>
      </c>
      <c r="AL55" s="7" t="str">
        <f ca="1">Resultatmappe!NE47</f>
        <v/>
      </c>
      <c r="AN55" t="str">
        <f ca="1">Resultatmappe!NR47</f>
        <v/>
      </c>
      <c r="AP55" s="7" t="str">
        <f ca="1">Resultatmappe!PM47</f>
        <v/>
      </c>
      <c r="AR55" s="7" t="str">
        <f ca="1">Resultatmappe!PZ47</f>
        <v/>
      </c>
      <c r="AT55" s="7" t="str">
        <f ca="1">Resultatmappe!QL47</f>
        <v/>
      </c>
      <c r="AV55" t="str">
        <f ca="1">Resultatmappe!RX47</f>
        <v/>
      </c>
      <c r="AX55" t="str">
        <f ca="1">Resultatmappe!SJ47</f>
        <v/>
      </c>
      <c r="AZ55" t="str">
        <f ca="1">Resultatmappe!SV47</f>
        <v/>
      </c>
      <c r="BB55" t="str">
        <f ca="1">Resultatmappe!TH47</f>
        <v/>
      </c>
      <c r="BD55" t="str">
        <f ca="1">Resultatmappe!TU47</f>
        <v/>
      </c>
      <c r="BH55" s="7" t="str">
        <f ca="1">Resultatmappe!AAD47</f>
        <v/>
      </c>
      <c r="BJ55" s="37" t="str">
        <f ca="1">Resultatmappe!ABB47</f>
        <v/>
      </c>
      <c r="BL55" t="str">
        <f ca="1">Resultatmappe!ABN47</f>
        <v/>
      </c>
      <c r="BN55" t="str">
        <f ca="1">Resultatmappe!ACM47</f>
        <v/>
      </c>
    </row>
    <row r="56" spans="1:66">
      <c r="A56" s="3">
        <v>0</v>
      </c>
      <c r="B56" s="3">
        <v>0</v>
      </c>
      <c r="H56" t="str">
        <f ca="1">Resultatmappe!Q48</f>
        <v/>
      </c>
      <c r="J56" t="str">
        <f ca="1">Resultatmappe!AC48</f>
        <v/>
      </c>
      <c r="L56" t="str">
        <f ca="1">Resultatmappe!AO48</f>
        <v/>
      </c>
      <c r="N56" t="str">
        <f ca="1">Resultatmappe!BA48</f>
        <v/>
      </c>
      <c r="P56" t="str">
        <f ca="1">Resultatmappe!BM48</f>
        <v/>
      </c>
      <c r="R56" t="str">
        <f ca="1">Resultatmappe!BY48</f>
        <v/>
      </c>
      <c r="T56" t="str">
        <f ca="1">Resultatmappe!CK48</f>
        <v/>
      </c>
      <c r="V56" t="str">
        <f ca="1">Resultatmappe!CW48</f>
        <v/>
      </c>
      <c r="X56" t="str">
        <f ca="1">Resultatmappe!DI48</f>
        <v/>
      </c>
      <c r="AL56" s="7" t="str">
        <f ca="1">Resultatmappe!NE48</f>
        <v/>
      </c>
      <c r="AN56" t="str">
        <f ca="1">Resultatmappe!NR48</f>
        <v/>
      </c>
      <c r="AP56" s="7" t="str">
        <f ca="1">Resultatmappe!PM48</f>
        <v/>
      </c>
      <c r="AR56" s="7" t="str">
        <f ca="1">Resultatmappe!PZ48</f>
        <v/>
      </c>
      <c r="AT56" s="7" t="str">
        <f ca="1">Resultatmappe!QL48</f>
        <v/>
      </c>
      <c r="AV56" t="str">
        <f ca="1">Resultatmappe!RX48</f>
        <v/>
      </c>
      <c r="AX56" t="str">
        <f ca="1">Resultatmappe!SJ48</f>
        <v/>
      </c>
      <c r="AZ56" t="str">
        <f ca="1">Resultatmappe!SV48</f>
        <v/>
      </c>
      <c r="BB56" t="str">
        <f ca="1">Resultatmappe!TH48</f>
        <v/>
      </c>
      <c r="BD56" t="str">
        <f ca="1">Resultatmappe!TU48</f>
        <v/>
      </c>
      <c r="BH56" s="7" t="str">
        <f ca="1">Resultatmappe!AAD48</f>
        <v/>
      </c>
      <c r="BJ56" s="37" t="str">
        <f ca="1">Resultatmappe!ABB48</f>
        <v/>
      </c>
      <c r="BL56" t="str">
        <f ca="1">Resultatmappe!ABN48</f>
        <v/>
      </c>
      <c r="BN56" t="str">
        <f ca="1">Resultatmappe!ACM48</f>
        <v/>
      </c>
    </row>
    <row r="57" spans="1:66">
      <c r="A57" s="3">
        <v>0</v>
      </c>
      <c r="B57" s="3">
        <v>0</v>
      </c>
      <c r="H57" t="str">
        <f ca="1">Resultatmappe!Q49</f>
        <v/>
      </c>
      <c r="J57" t="str">
        <f ca="1">Resultatmappe!AC49</f>
        <v/>
      </c>
      <c r="L57" t="str">
        <f ca="1">Resultatmappe!AO49</f>
        <v/>
      </c>
      <c r="N57" t="str">
        <f ca="1">Resultatmappe!BA49</f>
        <v/>
      </c>
      <c r="P57" t="str">
        <f ca="1">Resultatmappe!BM49</f>
        <v/>
      </c>
      <c r="R57" t="str">
        <f ca="1">Resultatmappe!BY49</f>
        <v/>
      </c>
      <c r="T57" t="str">
        <f ca="1">Resultatmappe!CK49</f>
        <v/>
      </c>
      <c r="V57" t="str">
        <f ca="1">Resultatmappe!CW49</f>
        <v/>
      </c>
      <c r="X57" t="str">
        <f ca="1">Resultatmappe!DI49</f>
        <v/>
      </c>
      <c r="AL57" s="7" t="str">
        <f ca="1">Resultatmappe!NE49</f>
        <v/>
      </c>
      <c r="AN57" t="str">
        <f ca="1">Resultatmappe!NR49</f>
        <v/>
      </c>
      <c r="AP57" s="7" t="str">
        <f ca="1">Resultatmappe!PM49</f>
        <v/>
      </c>
      <c r="AR57" s="7" t="str">
        <f ca="1">Resultatmappe!PZ49</f>
        <v/>
      </c>
      <c r="AT57" s="7" t="str">
        <f ca="1">Resultatmappe!QL49</f>
        <v/>
      </c>
      <c r="AV57" t="str">
        <f ca="1">Resultatmappe!RX49</f>
        <v/>
      </c>
      <c r="AX57" t="str">
        <f ca="1">Resultatmappe!SJ49</f>
        <v/>
      </c>
      <c r="AZ57" t="str">
        <f ca="1">Resultatmappe!SV49</f>
        <v/>
      </c>
      <c r="BB57" t="str">
        <f ca="1">Resultatmappe!TH49</f>
        <v/>
      </c>
      <c r="BD57" t="str">
        <f ca="1">Resultatmappe!TU49</f>
        <v/>
      </c>
      <c r="BH57" s="7" t="str">
        <f ca="1">Resultatmappe!AAD49</f>
        <v/>
      </c>
      <c r="BJ57" s="37" t="str">
        <f ca="1">Resultatmappe!ABB49</f>
        <v/>
      </c>
      <c r="BL57" t="str">
        <f ca="1">Resultatmappe!ABN49</f>
        <v/>
      </c>
      <c r="BN57" t="str">
        <f ca="1">Resultatmappe!ACM49</f>
        <v/>
      </c>
    </row>
    <row r="58" spans="1:66">
      <c r="A58" s="3">
        <v>0</v>
      </c>
      <c r="B58" s="3">
        <v>0</v>
      </c>
      <c r="H58" t="str">
        <f ca="1">Resultatmappe!Q50</f>
        <v/>
      </c>
      <c r="J58" t="str">
        <f ca="1">Resultatmappe!AC50</f>
        <v/>
      </c>
      <c r="L58" t="str">
        <f ca="1">Resultatmappe!AO50</f>
        <v/>
      </c>
      <c r="N58" t="str">
        <f ca="1">Resultatmappe!BA50</f>
        <v/>
      </c>
      <c r="P58" t="str">
        <f ca="1">Resultatmappe!BM50</f>
        <v/>
      </c>
      <c r="R58" t="str">
        <f ca="1">Resultatmappe!BY50</f>
        <v/>
      </c>
      <c r="T58" t="str">
        <f ca="1">Resultatmappe!CK50</f>
        <v/>
      </c>
      <c r="V58" t="str">
        <f ca="1">Resultatmappe!CW50</f>
        <v/>
      </c>
      <c r="X58" t="str">
        <f ca="1">Resultatmappe!DI50</f>
        <v/>
      </c>
      <c r="AL58" s="7" t="str">
        <f ca="1">Resultatmappe!NE50</f>
        <v/>
      </c>
      <c r="AN58" t="str">
        <f ca="1">Resultatmappe!NR50</f>
        <v/>
      </c>
      <c r="AP58" s="7" t="str">
        <f ca="1">Resultatmappe!PM50</f>
        <v/>
      </c>
      <c r="AR58" s="7" t="str">
        <f ca="1">Resultatmappe!PZ50</f>
        <v/>
      </c>
      <c r="AT58" s="7" t="str">
        <f ca="1">Resultatmappe!QL50</f>
        <v/>
      </c>
      <c r="AV58" t="str">
        <f ca="1">Resultatmappe!RX50</f>
        <v/>
      </c>
      <c r="AX58" t="str">
        <f ca="1">Resultatmappe!SJ50</f>
        <v/>
      </c>
      <c r="AZ58" t="str">
        <f ca="1">Resultatmappe!SV50</f>
        <v/>
      </c>
      <c r="BB58" t="str">
        <f ca="1">Resultatmappe!TH50</f>
        <v/>
      </c>
      <c r="BD58" t="str">
        <f ca="1">Resultatmappe!TU50</f>
        <v/>
      </c>
      <c r="BH58" s="7" t="str">
        <f ca="1">Resultatmappe!AAD50</f>
        <v/>
      </c>
      <c r="BJ58" s="37" t="str">
        <f ca="1">Resultatmappe!ABB50</f>
        <v/>
      </c>
      <c r="BL58" t="str">
        <f ca="1">Resultatmappe!ABN50</f>
        <v/>
      </c>
      <c r="BN58" t="str">
        <f ca="1">Resultatmappe!ACM50</f>
        <v/>
      </c>
    </row>
    <row r="59" spans="1:66">
      <c r="A59" s="3">
        <v>0</v>
      </c>
      <c r="B59" s="3">
        <v>0</v>
      </c>
      <c r="H59" t="str">
        <f ca="1">Resultatmappe!Q51</f>
        <v/>
      </c>
      <c r="J59" t="str">
        <f ca="1">Resultatmappe!AC51</f>
        <v/>
      </c>
      <c r="L59" t="str">
        <f ca="1">Resultatmappe!AO51</f>
        <v/>
      </c>
      <c r="N59" t="str">
        <f ca="1">Resultatmappe!BA51</f>
        <v/>
      </c>
      <c r="P59" t="str">
        <f ca="1">Resultatmappe!BM51</f>
        <v/>
      </c>
      <c r="R59" t="str">
        <f ca="1">Resultatmappe!BY51</f>
        <v/>
      </c>
      <c r="T59" t="str">
        <f ca="1">Resultatmappe!CK51</f>
        <v/>
      </c>
      <c r="V59" t="str">
        <f ca="1">Resultatmappe!CW51</f>
        <v/>
      </c>
      <c r="X59" t="str">
        <f ca="1">Resultatmappe!DI51</f>
        <v/>
      </c>
      <c r="AL59" s="7" t="str">
        <f ca="1">Resultatmappe!NE51</f>
        <v/>
      </c>
      <c r="AN59" t="str">
        <f ca="1">Resultatmappe!NR51</f>
        <v/>
      </c>
      <c r="AP59" s="7" t="str">
        <f ca="1">Resultatmappe!PM51</f>
        <v/>
      </c>
      <c r="AR59" s="7" t="str">
        <f ca="1">Resultatmappe!PZ51</f>
        <v/>
      </c>
      <c r="AT59" s="7" t="str">
        <f ca="1">Resultatmappe!QL51</f>
        <v/>
      </c>
      <c r="AV59" t="str">
        <f ca="1">Resultatmappe!RX51</f>
        <v/>
      </c>
      <c r="AX59" t="str">
        <f ca="1">Resultatmappe!SJ51</f>
        <v/>
      </c>
      <c r="AZ59" t="str">
        <f ca="1">Resultatmappe!SV51</f>
        <v/>
      </c>
      <c r="BB59" t="str">
        <f ca="1">Resultatmappe!TH51</f>
        <v/>
      </c>
      <c r="BD59" t="str">
        <f ca="1">Resultatmappe!TU51</f>
        <v/>
      </c>
      <c r="BH59" s="7" t="str">
        <f ca="1">Resultatmappe!AAD51</f>
        <v/>
      </c>
      <c r="BJ59" s="37" t="str">
        <f ca="1">Resultatmappe!ABB51</f>
        <v/>
      </c>
      <c r="BL59" t="str">
        <f ca="1">Resultatmappe!ABN51</f>
        <v/>
      </c>
      <c r="BN59" t="str">
        <f ca="1">Resultatmappe!ACM51</f>
        <v/>
      </c>
    </row>
    <row r="60" spans="1:66">
      <c r="A60" s="3">
        <v>0</v>
      </c>
      <c r="B60" s="3">
        <v>0</v>
      </c>
      <c r="H60" t="str">
        <f ca="1">Resultatmappe!Q52</f>
        <v/>
      </c>
      <c r="J60" t="str">
        <f ca="1">Resultatmappe!AC52</f>
        <v/>
      </c>
      <c r="L60" t="str">
        <f ca="1">Resultatmappe!AO52</f>
        <v/>
      </c>
      <c r="N60" t="str">
        <f ca="1">Resultatmappe!BA52</f>
        <v/>
      </c>
      <c r="P60" t="str">
        <f ca="1">Resultatmappe!BM52</f>
        <v/>
      </c>
      <c r="R60" t="str">
        <f ca="1">Resultatmappe!BY52</f>
        <v/>
      </c>
      <c r="T60" t="str">
        <f ca="1">Resultatmappe!CK52</f>
        <v/>
      </c>
      <c r="V60" t="str">
        <f ca="1">Resultatmappe!CW52</f>
        <v/>
      </c>
      <c r="X60" t="str">
        <f ca="1">Resultatmappe!DI52</f>
        <v/>
      </c>
      <c r="AL60" s="7" t="str">
        <f ca="1">Resultatmappe!NE52</f>
        <v/>
      </c>
      <c r="AN60" t="str">
        <f ca="1">Resultatmappe!NR52</f>
        <v/>
      </c>
      <c r="AP60" s="7" t="str">
        <f ca="1">Resultatmappe!PM52</f>
        <v/>
      </c>
      <c r="AR60" s="7" t="str">
        <f ca="1">Resultatmappe!PZ52</f>
        <v/>
      </c>
      <c r="AT60" s="7" t="str">
        <f ca="1">Resultatmappe!QL52</f>
        <v/>
      </c>
      <c r="AV60" t="str">
        <f ca="1">Resultatmappe!RX52</f>
        <v/>
      </c>
      <c r="AX60" t="str">
        <f ca="1">Resultatmappe!SJ52</f>
        <v/>
      </c>
      <c r="AZ60" t="str">
        <f ca="1">Resultatmappe!SV52</f>
        <v/>
      </c>
      <c r="BB60" t="str">
        <f ca="1">Resultatmappe!TH52</f>
        <v/>
      </c>
      <c r="BD60" t="str">
        <f ca="1">Resultatmappe!TU52</f>
        <v/>
      </c>
      <c r="BH60" s="7" t="str">
        <f ca="1">Resultatmappe!AAD52</f>
        <v/>
      </c>
      <c r="BJ60" s="37" t="str">
        <f ca="1">Resultatmappe!ABB52</f>
        <v/>
      </c>
      <c r="BL60" t="str">
        <f ca="1">Resultatmappe!ABN52</f>
        <v/>
      </c>
      <c r="BN60" t="str">
        <f ca="1">Resultatmappe!ACM52</f>
        <v/>
      </c>
    </row>
    <row r="61" spans="1:66">
      <c r="A61" s="3">
        <v>0</v>
      </c>
      <c r="B61" s="3">
        <v>0</v>
      </c>
      <c r="H61" t="str">
        <f ca="1">Resultatmappe!Q53</f>
        <v/>
      </c>
      <c r="J61" t="str">
        <f ca="1">Resultatmappe!AC53</f>
        <v/>
      </c>
      <c r="L61" t="str">
        <f ca="1">Resultatmappe!AO53</f>
        <v/>
      </c>
      <c r="N61" t="str">
        <f ca="1">Resultatmappe!BA53</f>
        <v/>
      </c>
      <c r="P61" t="str">
        <f ca="1">Resultatmappe!BM53</f>
        <v/>
      </c>
      <c r="R61" t="str">
        <f ca="1">Resultatmappe!BY53</f>
        <v/>
      </c>
      <c r="T61" t="str">
        <f ca="1">Resultatmappe!CK53</f>
        <v/>
      </c>
      <c r="V61" t="str">
        <f ca="1">Resultatmappe!CW53</f>
        <v/>
      </c>
      <c r="X61" t="str">
        <f ca="1">Resultatmappe!DI53</f>
        <v/>
      </c>
      <c r="AL61" s="7" t="str">
        <f ca="1">Resultatmappe!NE53</f>
        <v/>
      </c>
      <c r="AN61" t="str">
        <f ca="1">Resultatmappe!NR53</f>
        <v/>
      </c>
      <c r="AP61" s="7" t="str">
        <f ca="1">Resultatmappe!PM53</f>
        <v/>
      </c>
      <c r="AR61" s="7" t="str">
        <f ca="1">Resultatmappe!PZ53</f>
        <v/>
      </c>
      <c r="AT61" s="7" t="str">
        <f ca="1">Resultatmappe!QL53</f>
        <v/>
      </c>
      <c r="AV61" t="str">
        <f ca="1">Resultatmappe!RX53</f>
        <v/>
      </c>
      <c r="AX61" t="str">
        <f ca="1">Resultatmappe!SJ53</f>
        <v/>
      </c>
      <c r="AZ61" t="str">
        <f ca="1">Resultatmappe!SV53</f>
        <v/>
      </c>
      <c r="BB61" t="str">
        <f ca="1">Resultatmappe!TH53</f>
        <v/>
      </c>
      <c r="BD61" t="str">
        <f ca="1">Resultatmappe!TU53</f>
        <v/>
      </c>
      <c r="BH61" s="7" t="str">
        <f ca="1">Resultatmappe!AAD53</f>
        <v/>
      </c>
      <c r="BJ61" s="37" t="str">
        <f ca="1">Resultatmappe!ABB53</f>
        <v/>
      </c>
      <c r="BL61" t="str">
        <f ca="1">Resultatmappe!ABN53</f>
        <v/>
      </c>
      <c r="BN61" t="str">
        <f ca="1">Resultatmappe!ACM53</f>
        <v/>
      </c>
    </row>
    <row r="62" spans="1:66">
      <c r="A62" s="3">
        <v>0</v>
      </c>
      <c r="B62" s="3">
        <v>0</v>
      </c>
      <c r="H62" t="str">
        <f ca="1">Resultatmappe!Q54</f>
        <v/>
      </c>
      <c r="J62" t="str">
        <f ca="1">Resultatmappe!AC54</f>
        <v/>
      </c>
      <c r="L62" t="str">
        <f ca="1">Resultatmappe!AO54</f>
        <v/>
      </c>
      <c r="N62" t="str">
        <f ca="1">Resultatmappe!BA54</f>
        <v/>
      </c>
      <c r="P62" t="str">
        <f ca="1">Resultatmappe!BM54</f>
        <v/>
      </c>
      <c r="R62" t="str">
        <f ca="1">Resultatmappe!BY54</f>
        <v/>
      </c>
      <c r="T62" t="str">
        <f ca="1">Resultatmappe!CK54</f>
        <v/>
      </c>
      <c r="V62" t="str">
        <f ca="1">Resultatmappe!CW54</f>
        <v/>
      </c>
      <c r="X62" t="str">
        <f ca="1">Resultatmappe!DI54</f>
        <v/>
      </c>
      <c r="AL62" s="7" t="str">
        <f ca="1">Resultatmappe!NE54</f>
        <v/>
      </c>
      <c r="AN62" t="str">
        <f ca="1">Resultatmappe!NR54</f>
        <v/>
      </c>
      <c r="AP62" s="7" t="str">
        <f ca="1">Resultatmappe!PM54</f>
        <v/>
      </c>
      <c r="AR62" s="7" t="str">
        <f ca="1">Resultatmappe!PZ54</f>
        <v/>
      </c>
      <c r="AT62" s="7" t="str">
        <f ca="1">Resultatmappe!QL54</f>
        <v/>
      </c>
      <c r="AV62" t="str">
        <f ca="1">Resultatmappe!RX54</f>
        <v/>
      </c>
      <c r="AX62" t="str">
        <f ca="1">Resultatmappe!SJ54</f>
        <v/>
      </c>
      <c r="AZ62" t="str">
        <f ca="1">Resultatmappe!SV54</f>
        <v/>
      </c>
      <c r="BB62" t="str">
        <f ca="1">Resultatmappe!TH54</f>
        <v/>
      </c>
      <c r="BD62" t="str">
        <f ca="1">Resultatmappe!TU54</f>
        <v/>
      </c>
      <c r="BH62" s="7" t="str">
        <f ca="1">Resultatmappe!AAD54</f>
        <v/>
      </c>
      <c r="BJ62" s="37" t="str">
        <f ca="1">Resultatmappe!ABB54</f>
        <v/>
      </c>
      <c r="BL62" t="str">
        <f ca="1">Resultatmappe!ABN54</f>
        <v/>
      </c>
      <c r="BN62" t="str">
        <f ca="1">Resultatmappe!ACM54</f>
        <v/>
      </c>
    </row>
    <row r="63" spans="1:66">
      <c r="A63" s="3">
        <v>0</v>
      </c>
      <c r="B63" s="3">
        <v>0</v>
      </c>
      <c r="H63" t="str">
        <f ca="1">Resultatmappe!Q55</f>
        <v/>
      </c>
      <c r="J63" t="str">
        <f ca="1">Resultatmappe!AC55</f>
        <v/>
      </c>
      <c r="L63" t="str">
        <f ca="1">Resultatmappe!AO55</f>
        <v/>
      </c>
      <c r="N63" t="str">
        <f ca="1">Resultatmappe!BA55</f>
        <v/>
      </c>
      <c r="P63" t="str">
        <f ca="1">Resultatmappe!BM55</f>
        <v/>
      </c>
      <c r="R63" t="str">
        <f ca="1">Resultatmappe!BY55</f>
        <v/>
      </c>
      <c r="T63" t="str">
        <f ca="1">Resultatmappe!CK55</f>
        <v/>
      </c>
      <c r="V63" t="str">
        <f ca="1">Resultatmappe!CW55</f>
        <v/>
      </c>
      <c r="X63" t="str">
        <f ca="1">Resultatmappe!DI55</f>
        <v/>
      </c>
      <c r="AL63" s="7" t="str">
        <f ca="1">Resultatmappe!NE55</f>
        <v/>
      </c>
      <c r="AN63" t="str">
        <f ca="1">Resultatmappe!NR55</f>
        <v/>
      </c>
      <c r="AP63" s="7" t="str">
        <f ca="1">Resultatmappe!PM55</f>
        <v/>
      </c>
      <c r="AR63" s="7" t="str">
        <f ca="1">Resultatmappe!PZ55</f>
        <v/>
      </c>
      <c r="AT63" s="7" t="str">
        <f ca="1">Resultatmappe!QL55</f>
        <v/>
      </c>
      <c r="AV63" t="str">
        <f ca="1">Resultatmappe!RX55</f>
        <v/>
      </c>
      <c r="AX63" t="str">
        <f ca="1">Resultatmappe!SJ55</f>
        <v/>
      </c>
      <c r="AZ63" t="str">
        <f ca="1">Resultatmappe!SV55</f>
        <v/>
      </c>
      <c r="BB63" t="str">
        <f ca="1">Resultatmappe!TH55</f>
        <v/>
      </c>
      <c r="BD63" t="str">
        <f ca="1">Resultatmappe!TU55</f>
        <v/>
      </c>
      <c r="BH63" s="7" t="str">
        <f ca="1">Resultatmappe!AAD55</f>
        <v/>
      </c>
      <c r="BJ63" s="37" t="str">
        <f ca="1">Resultatmappe!ABB55</f>
        <v/>
      </c>
      <c r="BL63" t="str">
        <f ca="1">Resultatmappe!ABN55</f>
        <v/>
      </c>
      <c r="BN63" t="str">
        <f ca="1">Resultatmappe!ACM55</f>
        <v/>
      </c>
    </row>
    <row r="64" spans="1:66">
      <c r="A64" s="3">
        <v>0</v>
      </c>
      <c r="B64" s="3">
        <v>0</v>
      </c>
      <c r="H64" t="str">
        <f ca="1">Resultatmappe!Q56</f>
        <v/>
      </c>
      <c r="J64" t="str">
        <f ca="1">Resultatmappe!AC56</f>
        <v/>
      </c>
      <c r="L64" t="str">
        <f ca="1">Resultatmappe!AO56</f>
        <v/>
      </c>
      <c r="N64" t="str">
        <f ca="1">Resultatmappe!BA56</f>
        <v/>
      </c>
      <c r="P64" t="str">
        <f ca="1">Resultatmappe!BM56</f>
        <v/>
      </c>
      <c r="R64" t="str">
        <f ca="1">Resultatmappe!BY56</f>
        <v/>
      </c>
      <c r="T64" t="str">
        <f ca="1">Resultatmappe!CK56</f>
        <v/>
      </c>
      <c r="V64" t="str">
        <f ca="1">Resultatmappe!CW56</f>
        <v/>
      </c>
      <c r="X64" t="str">
        <f ca="1">Resultatmappe!DI56</f>
        <v/>
      </c>
      <c r="AL64" s="7" t="str">
        <f ca="1">Resultatmappe!NE56</f>
        <v/>
      </c>
      <c r="AN64" t="str">
        <f ca="1">Resultatmappe!NR56</f>
        <v/>
      </c>
      <c r="AP64" s="7" t="str">
        <f ca="1">Resultatmappe!PM56</f>
        <v/>
      </c>
      <c r="AR64" s="7" t="str">
        <f ca="1">Resultatmappe!PZ56</f>
        <v/>
      </c>
      <c r="AT64" s="7" t="str">
        <f ca="1">Resultatmappe!QL56</f>
        <v/>
      </c>
      <c r="AV64" t="str">
        <f ca="1">Resultatmappe!RX56</f>
        <v/>
      </c>
      <c r="AX64" t="str">
        <f ca="1">Resultatmappe!SJ56</f>
        <v/>
      </c>
      <c r="AZ64" t="str">
        <f ca="1">Resultatmappe!SV56</f>
        <v/>
      </c>
      <c r="BB64" t="str">
        <f ca="1">Resultatmappe!TH56</f>
        <v/>
      </c>
      <c r="BD64" t="str">
        <f ca="1">Resultatmappe!TU56</f>
        <v/>
      </c>
      <c r="BH64" s="7" t="str">
        <f ca="1">Resultatmappe!AAD56</f>
        <v/>
      </c>
      <c r="BJ64" s="37" t="str">
        <f ca="1">Resultatmappe!ABB56</f>
        <v/>
      </c>
      <c r="BL64" t="str">
        <f ca="1">Resultatmappe!ABN56</f>
        <v/>
      </c>
      <c r="BN64" t="str">
        <f ca="1">Resultatmappe!ACM56</f>
        <v/>
      </c>
    </row>
    <row r="65" spans="1:66">
      <c r="A65" s="3">
        <v>0</v>
      </c>
      <c r="B65" s="3">
        <v>0</v>
      </c>
      <c r="H65" t="str">
        <f ca="1">Resultatmappe!Q57</f>
        <v/>
      </c>
      <c r="J65" t="str">
        <f ca="1">Resultatmappe!AC57</f>
        <v/>
      </c>
      <c r="L65" t="str">
        <f ca="1">Resultatmappe!AO57</f>
        <v/>
      </c>
      <c r="N65" t="str">
        <f ca="1">Resultatmappe!BA57</f>
        <v/>
      </c>
      <c r="P65" t="str">
        <f ca="1">Resultatmappe!BM57</f>
        <v/>
      </c>
      <c r="R65" t="str">
        <f ca="1">Resultatmappe!BY57</f>
        <v/>
      </c>
      <c r="T65" t="str">
        <f ca="1">Resultatmappe!CK57</f>
        <v/>
      </c>
      <c r="V65" t="str">
        <f ca="1">Resultatmappe!CW57</f>
        <v/>
      </c>
      <c r="X65" t="str">
        <f ca="1">Resultatmappe!DI57</f>
        <v/>
      </c>
      <c r="AL65" s="7" t="str">
        <f ca="1">Resultatmappe!NE57</f>
        <v/>
      </c>
      <c r="AN65" t="str">
        <f ca="1">Resultatmappe!NR57</f>
        <v/>
      </c>
      <c r="AP65" s="7" t="str">
        <f ca="1">Resultatmappe!PM57</f>
        <v/>
      </c>
      <c r="AR65" s="7" t="str">
        <f ca="1">Resultatmappe!PZ57</f>
        <v/>
      </c>
      <c r="AT65" s="7" t="str">
        <f ca="1">Resultatmappe!QL57</f>
        <v/>
      </c>
      <c r="AV65" t="str">
        <f ca="1">Resultatmappe!RX57</f>
        <v/>
      </c>
      <c r="AX65" t="str">
        <f ca="1">Resultatmappe!SJ57</f>
        <v/>
      </c>
      <c r="AZ65" t="str">
        <f ca="1">Resultatmappe!SV57</f>
        <v/>
      </c>
      <c r="BB65" t="str">
        <f ca="1">Resultatmappe!TH57</f>
        <v/>
      </c>
      <c r="BD65" t="str">
        <f ca="1">Resultatmappe!TU57</f>
        <v/>
      </c>
      <c r="BH65" s="7" t="str">
        <f ca="1">Resultatmappe!AAD57</f>
        <v/>
      </c>
      <c r="BJ65" s="37" t="str">
        <f ca="1">Resultatmappe!ABB57</f>
        <v/>
      </c>
      <c r="BL65" t="str">
        <f ca="1">Resultatmappe!ABN57</f>
        <v/>
      </c>
      <c r="BN65" t="str">
        <f ca="1">Resultatmappe!ACM57</f>
        <v/>
      </c>
    </row>
  </sheetData>
  <pageMargins left="0.7" right="0.7" top="0.78740157499999996" bottom="0.78740157499999996" header="0.3" footer="0.3"/>
  <tableParts count="6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41</vt:i4>
      </vt:variant>
    </vt:vector>
  </HeadingPairs>
  <TitlesOfParts>
    <vt:vector size="61" baseType="lpstr">
      <vt:lpstr>Resultatmappe</vt:lpstr>
      <vt:lpstr>Diplom</vt:lpstr>
      <vt:lpstr>Diplom_Unterschrift</vt:lpstr>
      <vt:lpstr>Diplom_Werte</vt:lpstr>
      <vt:lpstr>Diplom_Kantone</vt:lpstr>
      <vt:lpstr>Diplom_BilderMed</vt:lpstr>
      <vt:lpstr>Diplom_BilderPok</vt:lpstr>
      <vt:lpstr>BS 1_1</vt:lpstr>
      <vt:lpstr>BS 1_2</vt:lpstr>
      <vt:lpstr>BS 2_1</vt:lpstr>
      <vt:lpstr>BS 2_2</vt:lpstr>
      <vt:lpstr>BS 3_1</vt:lpstr>
      <vt:lpstr>BS 3_2</vt:lpstr>
      <vt:lpstr>BS 4_1</vt:lpstr>
      <vt:lpstr>BS 4_2</vt:lpstr>
      <vt:lpstr>BS 5</vt:lpstr>
      <vt:lpstr>BS 6</vt:lpstr>
      <vt:lpstr>FIT</vt:lpstr>
      <vt:lpstr>Stammdaten</vt:lpstr>
      <vt:lpstr>Statistik</vt:lpstr>
      <vt:lpstr>_Diplom</vt:lpstr>
      <vt:lpstr>_M_BS_1</vt:lpstr>
      <vt:lpstr>_M_BS_2</vt:lpstr>
      <vt:lpstr>_M_BS_3</vt:lpstr>
      <vt:lpstr>_M_BS_4</vt:lpstr>
      <vt:lpstr>_Spaltenindizes</vt:lpstr>
      <vt:lpstr>_Stufe_Acht</vt:lpstr>
      <vt:lpstr>_Stufe_Aero</vt:lpstr>
      <vt:lpstr>_Stufe_Ball</vt:lpstr>
      <vt:lpstr>_Stufe_Bask</vt:lpstr>
      <vt:lpstr>_Stufe_Bewe</vt:lpstr>
      <vt:lpstr>_Stufe_Bode</vt:lpstr>
      <vt:lpstr>_Stufe_Fuss</vt:lpstr>
      <vt:lpstr>_Stufe_Glei</vt:lpstr>
      <vt:lpstr>_Stufe_Hand</vt:lpstr>
      <vt:lpstr>_Stufe_Hoch</vt:lpstr>
      <vt:lpstr>_Stufe_Kond</vt:lpstr>
      <vt:lpstr>_Stufe_Kuge</vt:lpstr>
      <vt:lpstr>_Stufe_Para</vt:lpstr>
      <vt:lpstr>_Stufe_Park</vt:lpstr>
      <vt:lpstr>_Stufe_Reck</vt:lpstr>
      <vt:lpstr>_Stufe_Rope</vt:lpstr>
      <vt:lpstr>_Stufe_Rump</vt:lpstr>
      <vt:lpstr>_Stufe_Scha</vt:lpstr>
      <vt:lpstr>_Stufe_Schw</vt:lpstr>
      <vt:lpstr>_Stufe_Sech</vt:lpstr>
      <vt:lpstr>_Stufe_Spee</vt:lpstr>
      <vt:lpstr>_Stufe_Spru</vt:lpstr>
      <vt:lpstr>_Stufe_Stuf</vt:lpstr>
      <vt:lpstr>_Stufe_Tanz</vt:lpstr>
      <vt:lpstr>_Stufe_Unih</vt:lpstr>
      <vt:lpstr>_Stufe_Voll</vt:lpstr>
      <vt:lpstr>_Stufe_Weit</vt:lpstr>
      <vt:lpstr>_Stufe_ZwölF</vt:lpstr>
      <vt:lpstr>_Stufe_ZwölH</vt:lpstr>
      <vt:lpstr>Resultatmappe!_Zellen_offen_Eingabe</vt:lpstr>
      <vt:lpstr>Resultatmappe!_Zellen_offen_StartStufen</vt:lpstr>
      <vt:lpstr>Diplom!Druckbereich</vt:lpstr>
      <vt:lpstr>Resultatmappe!Druckbereich</vt:lpstr>
      <vt:lpstr>Resultatmappe!Drucktitel</vt:lpstr>
      <vt:lpstr>Unterschrift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Egli Marie-Andrea</dc:creator>
  <cp:lastModifiedBy>Samuel Rusch</cp:lastModifiedBy>
  <cp:lastPrinted>2022-02-12T21:42:16Z</cp:lastPrinted>
  <dcterms:created xsi:type="dcterms:W3CDTF">2019-07-26T15:03:23Z</dcterms:created>
  <dcterms:modified xsi:type="dcterms:W3CDTF">2026-08-16T22:42:06Z</dcterms:modified>
</cp:coreProperties>
</file>